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a\Desktop\PASTAS\PREGÃO 2022-2023 - UASG 90059\PREGÃO 02 - APOIO ADMINISTRATIVO - MARCELA\"/>
    </mc:Choice>
  </mc:AlternateContent>
  <bookViews>
    <workbookView xWindow="0" yWindow="0" windowWidth="20490" windowHeight="7455" tabRatio="500" firstSheet="1" activeTab="1"/>
  </bookViews>
  <sheets>
    <sheet name="Ocorrências Mensais - FAT" sheetId="19" state="hidden" r:id="rId1"/>
    <sheet name="INSTRUÇÕES" sheetId="18" r:id="rId2"/>
    <sheet name="Resumo" sheetId="4" r:id="rId3"/>
    <sheet name="Dados" sheetId="3" r:id="rId4"/>
    <sheet name="Encargos" sheetId="1" r:id="rId5"/>
    <sheet name="Uniforme" sheetId="2" r:id="rId6"/>
    <sheet name="Ascensorista 150" sheetId="5" r:id="rId7"/>
    <sheet name="Atendente 200" sheetId="6" r:id="rId8"/>
    <sheet name="Aux Admin I 150" sheetId="7" r:id="rId9"/>
    <sheet name="Aux. Almoxarifado 200" sheetId="8" r:id="rId10"/>
    <sheet name="Aux Admin II 200" sheetId="9" r:id="rId11"/>
    <sheet name="Aux Admin III 150" sheetId="10" r:id="rId12"/>
    <sheet name="Assistente Financeiro 200" sheetId="11" r:id="rId13"/>
    <sheet name="Aux Admin IV 200" sheetId="12" r:id="rId14"/>
    <sheet name="Encarregado Geral 220" sheetId="14" r:id="rId15"/>
    <sheet name="Op. Ed. Audio e Video 150" sheetId="13" r:id="rId16"/>
    <sheet name="Recepcionista 220" sheetId="15" r:id="rId17"/>
    <sheet name="Custo Estimativo Substituto" sheetId="17" r:id="rId18"/>
    <sheet name="IPCA" sheetId="20" state="hidden" r:id="rId19"/>
  </sheets>
  <definedNames>
    <definedName name="_xlnm._FilterDatabase" localSheetId="16" hidden="1">'Recepcionista 220'!$A$1:$I$41</definedName>
    <definedName name="_xlnm.Print_Area" localSheetId="3">Dados!$A$1:$L$62</definedName>
    <definedName name="_xlnm.Print_Area" localSheetId="2">Resumo!$A$1:$U$23</definedName>
    <definedName name="_xlnm.Print_Area" localSheetId="5">Uniforme!$A$1:$F$65</definedName>
    <definedName name="BS">NA()</definedName>
    <definedName name="BT">NA()</definedName>
    <definedName name="CIDADE">NA()</definedName>
    <definedName name="CIDADES">NA()</definedName>
    <definedName name="CPMF">NA()</definedName>
    <definedName name="d">NA()</definedName>
    <definedName name="ENCARGOS">NA()</definedName>
    <definedName name="Excel_BuiltIn_Print_Area_1_1">"$#REF!.$A$2:$C$99"</definedName>
    <definedName name="Excel_BuiltIn_Print_Area_6_1">NA()</definedName>
    <definedName name="Excel_BuiltIn_Print_Area_7_1">NA()</definedName>
    <definedName name="Excel_BuiltIn_Print_Area_8_1">NA()</definedName>
    <definedName name="Excel_BuiltIn_Print_Area_9_1">NA()</definedName>
    <definedName name="ISS">NA()</definedName>
    <definedName name="Jornada">NA()</definedName>
    <definedName name="TERRIT">NA()</definedName>
    <definedName name="Tipo_de_Joranda_de_Trabalho">NA()</definedName>
    <definedName name="TP_SERV">NA()</definedName>
    <definedName name="TP_SERVPERC">NA()</definedName>
    <definedName name="VRSELEC">NA()</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Q12" i="4" l="1"/>
  <c r="Q13" i="4"/>
  <c r="Q14" i="4"/>
  <c r="Q15" i="4"/>
  <c r="Q16" i="4"/>
  <c r="Q17" i="4"/>
  <c r="Q18" i="4"/>
  <c r="Q19" i="4"/>
  <c r="Q20" i="4"/>
  <c r="Q21" i="4"/>
  <c r="Q11" i="4"/>
  <c r="Q22" i="4" s="1"/>
  <c r="A5" i="3" l="1"/>
  <c r="A6" i="4" s="1"/>
  <c r="W18" i="19"/>
  <c r="W17" i="19"/>
  <c r="W16" i="19"/>
  <c r="W15" i="19"/>
  <c r="C34" i="19"/>
  <c r="F65" i="3"/>
  <c r="M65" i="3" s="1"/>
  <c r="F66" i="3"/>
  <c r="M66" i="3" s="1"/>
  <c r="F67" i="3"/>
  <c r="F68" i="3"/>
  <c r="M68" i="3" s="1"/>
  <c r="F69" i="3"/>
  <c r="M69" i="3" s="1"/>
  <c r="K63" i="2"/>
  <c r="K62" i="2"/>
  <c r="K61" i="2"/>
  <c r="K60" i="2"/>
  <c r="K56" i="2"/>
  <c r="K55" i="2"/>
  <c r="K54" i="2"/>
  <c r="K53" i="2"/>
  <c r="K52" i="2"/>
  <c r="K48" i="2"/>
  <c r="K47" i="2"/>
  <c r="K46" i="2"/>
  <c r="K45" i="2"/>
  <c r="K41" i="2"/>
  <c r="K40" i="2"/>
  <c r="K39" i="2"/>
  <c r="K38" i="2"/>
  <c r="K37" i="2"/>
  <c r="K33" i="2"/>
  <c r="K32" i="2"/>
  <c r="K31" i="2"/>
  <c r="K30" i="2"/>
  <c r="K26" i="2"/>
  <c r="K24" i="2"/>
  <c r="K23" i="2"/>
  <c r="K19" i="2"/>
  <c r="K18" i="2"/>
  <c r="K17" i="2"/>
  <c r="K16" i="2"/>
  <c r="K7" i="2"/>
  <c r="K8" i="2"/>
  <c r="K9" i="2"/>
  <c r="K10" i="2"/>
  <c r="K11" i="2"/>
  <c r="K12" i="2"/>
  <c r="P63" i="2"/>
  <c r="P62" i="2"/>
  <c r="P61" i="2"/>
  <c r="P60" i="2"/>
  <c r="P56" i="2"/>
  <c r="P55" i="2"/>
  <c r="P54" i="2"/>
  <c r="P53" i="2"/>
  <c r="P52" i="2"/>
  <c r="P26" i="2"/>
  <c r="P24" i="2"/>
  <c r="P23" i="2"/>
  <c r="P8" i="2"/>
  <c r="P9" i="2"/>
  <c r="P10" i="2"/>
  <c r="P11" i="2"/>
  <c r="P12" i="2"/>
  <c r="P48" i="2"/>
  <c r="P47" i="2"/>
  <c r="P46" i="2"/>
  <c r="P45" i="2"/>
  <c r="P41" i="2"/>
  <c r="P40" i="2"/>
  <c r="P39" i="2"/>
  <c r="P38" i="2"/>
  <c r="P37" i="2"/>
  <c r="P33" i="2"/>
  <c r="P32" i="2"/>
  <c r="P31" i="2"/>
  <c r="P30" i="2"/>
  <c r="P19" i="2"/>
  <c r="P18" i="2"/>
  <c r="P17" i="2"/>
  <c r="P16" i="2"/>
  <c r="P7" i="2"/>
  <c r="L74" i="3"/>
  <c r="G74" i="3"/>
  <c r="M67" i="3"/>
  <c r="AG18" i="20"/>
  <c r="AH18" i="20" s="1"/>
  <c r="Z18" i="20"/>
  <c r="AA18" i="20" s="1"/>
  <c r="S18" i="20"/>
  <c r="T18" i="20" s="1"/>
  <c r="L18" i="20"/>
  <c r="M18" i="20" s="1"/>
  <c r="J18" i="20"/>
  <c r="I18" i="20"/>
  <c r="P18" i="20" s="1"/>
  <c r="W18" i="20" s="1"/>
  <c r="AD18" i="20" s="1"/>
  <c r="F18" i="20"/>
  <c r="AH17" i="20"/>
  <c r="AA17" i="20"/>
  <c r="T17" i="20"/>
  <c r="M17" i="20"/>
  <c r="J17" i="20"/>
  <c r="I17" i="20"/>
  <c r="P17" i="20" s="1"/>
  <c r="W17" i="20" s="1"/>
  <c r="AD17" i="20" s="1"/>
  <c r="F17" i="20"/>
  <c r="AH16" i="20"/>
  <c r="AA16" i="20"/>
  <c r="T16" i="20"/>
  <c r="M16" i="20"/>
  <c r="J16" i="20"/>
  <c r="I16" i="20"/>
  <c r="P16" i="20" s="1"/>
  <c r="W16" i="20" s="1"/>
  <c r="AD16" i="20" s="1"/>
  <c r="F16" i="20"/>
  <c r="AH15" i="20"/>
  <c r="AA15" i="20"/>
  <c r="T15" i="20"/>
  <c r="M15" i="20"/>
  <c r="J15" i="20"/>
  <c r="I15" i="20"/>
  <c r="P15" i="20" s="1"/>
  <c r="W15" i="20" s="1"/>
  <c r="AD15" i="20" s="1"/>
  <c r="F15" i="20"/>
  <c r="AH14" i="20"/>
  <c r="AA14" i="20"/>
  <c r="T14" i="20"/>
  <c r="M14" i="20"/>
  <c r="J14" i="20"/>
  <c r="I14" i="20"/>
  <c r="P14" i="20" s="1"/>
  <c r="W14" i="20" s="1"/>
  <c r="AD14" i="20" s="1"/>
  <c r="F14" i="20"/>
  <c r="AH13" i="20"/>
  <c r="AA13" i="20"/>
  <c r="T13" i="20"/>
  <c r="M13" i="20"/>
  <c r="J13" i="20"/>
  <c r="I13" i="20"/>
  <c r="P13" i="20" s="1"/>
  <c r="W13" i="20" s="1"/>
  <c r="AD13" i="20" s="1"/>
  <c r="F13" i="20"/>
  <c r="AH12" i="20"/>
  <c r="AA12" i="20"/>
  <c r="T12" i="20"/>
  <c r="M12" i="20"/>
  <c r="J12" i="20"/>
  <c r="I12" i="20"/>
  <c r="P12" i="20" s="1"/>
  <c r="W12" i="20" s="1"/>
  <c r="AD12" i="20" s="1"/>
  <c r="F12" i="20"/>
  <c r="AH11" i="20"/>
  <c r="AA11" i="20"/>
  <c r="T11" i="20"/>
  <c r="M11" i="20"/>
  <c r="J11" i="20"/>
  <c r="I11" i="20"/>
  <c r="P11" i="20" s="1"/>
  <c r="W11" i="20" s="1"/>
  <c r="AD11" i="20" s="1"/>
  <c r="F11" i="20"/>
  <c r="AH10" i="20"/>
  <c r="AA10" i="20"/>
  <c r="T10" i="20"/>
  <c r="M10" i="20"/>
  <c r="J10" i="20"/>
  <c r="I10" i="20"/>
  <c r="P10" i="20" s="1"/>
  <c r="W10" i="20" s="1"/>
  <c r="AD10" i="20" s="1"/>
  <c r="F10" i="20"/>
  <c r="AH9" i="20"/>
  <c r="AA9" i="20"/>
  <c r="T9" i="20"/>
  <c r="M9" i="20"/>
  <c r="J9" i="20"/>
  <c r="I9" i="20"/>
  <c r="P9" i="20" s="1"/>
  <c r="W9" i="20" s="1"/>
  <c r="AD9" i="20" s="1"/>
  <c r="F9" i="20"/>
  <c r="AH8" i="20"/>
  <c r="AA8" i="20"/>
  <c r="T8" i="20"/>
  <c r="M8" i="20"/>
  <c r="J8" i="20"/>
  <c r="I8" i="20"/>
  <c r="P8" i="20" s="1"/>
  <c r="W8" i="20" s="1"/>
  <c r="AD8" i="20" s="1"/>
  <c r="F8" i="20"/>
  <c r="AH7" i="20"/>
  <c r="AA7" i="20"/>
  <c r="T7" i="20"/>
  <c r="M7" i="20"/>
  <c r="J7" i="20"/>
  <c r="I7" i="20"/>
  <c r="P7" i="20" s="1"/>
  <c r="W7" i="20" s="1"/>
  <c r="AD7" i="20" s="1"/>
  <c r="F7" i="20"/>
  <c r="AG6" i="20"/>
  <c r="AH6" i="20" s="1"/>
  <c r="AI6" i="20" s="1"/>
  <c r="AI7" i="20" s="1"/>
  <c r="AI8" i="20" s="1"/>
  <c r="Z6" i="20"/>
  <c r="AA6" i="20" s="1"/>
  <c r="AB6" i="20" s="1"/>
  <c r="AB7" i="20" s="1"/>
  <c r="AB8" i="20" s="1"/>
  <c r="AB9" i="20" s="1"/>
  <c r="AB10" i="20" s="1"/>
  <c r="AB11" i="20" s="1"/>
  <c r="AB12" i="20" s="1"/>
  <c r="AB13" i="20" s="1"/>
  <c r="AB14" i="20" s="1"/>
  <c r="AB15" i="20" s="1"/>
  <c r="AB16" i="20" s="1"/>
  <c r="AB17" i="20" s="1"/>
  <c r="AB18" i="20" s="1"/>
  <c r="AB19" i="20" s="1"/>
  <c r="S6" i="20"/>
  <c r="T6" i="20" s="1"/>
  <c r="U6" i="20" s="1"/>
  <c r="U7" i="20" s="1"/>
  <c r="U8" i="20" s="1"/>
  <c r="U9" i="20" s="1"/>
  <c r="U10" i="20" s="1"/>
  <c r="U11" i="20" s="1"/>
  <c r="U12" i="20" s="1"/>
  <c r="U13" i="20" s="1"/>
  <c r="U14" i="20" s="1"/>
  <c r="U15" i="20" s="1"/>
  <c r="U16" i="20" s="1"/>
  <c r="U17" i="20" s="1"/>
  <c r="L6" i="20"/>
  <c r="M6" i="20" s="1"/>
  <c r="N6" i="20" s="1"/>
  <c r="N7" i="20" s="1"/>
  <c r="N8" i="20" s="1"/>
  <c r="N9" i="20" s="1"/>
  <c r="N10" i="20" s="1"/>
  <c r="N11" i="20" s="1"/>
  <c r="N12" i="20" s="1"/>
  <c r="N13" i="20" s="1"/>
  <c r="N14" i="20" s="1"/>
  <c r="N15" i="20" s="1"/>
  <c r="N16" i="20" s="1"/>
  <c r="N17" i="20" s="1"/>
  <c r="N18" i="20" s="1"/>
  <c r="N19" i="20" s="1"/>
  <c r="J6" i="20"/>
  <c r="I6" i="20"/>
  <c r="P6" i="20" s="1"/>
  <c r="W6" i="20" s="1"/>
  <c r="AD6" i="20" s="1"/>
  <c r="F6" i="20"/>
  <c r="G6" i="20" s="1"/>
  <c r="B12" i="4"/>
  <c r="B15" i="19" s="1"/>
  <c r="B13" i="4"/>
  <c r="B16" i="19" s="1"/>
  <c r="B14" i="4"/>
  <c r="B17" i="19" s="1"/>
  <c r="B15" i="4"/>
  <c r="B18" i="19" s="1"/>
  <c r="B16" i="4"/>
  <c r="B17" i="4"/>
  <c r="B18" i="4"/>
  <c r="B21" i="19" s="1"/>
  <c r="B19" i="4"/>
  <c r="B22" i="19" s="1"/>
  <c r="B20" i="4"/>
  <c r="B23" i="19" s="1"/>
  <c r="B21" i="4"/>
  <c r="B24" i="19" s="1"/>
  <c r="B11" i="4"/>
  <c r="B14" i="19" s="1"/>
  <c r="V18" i="19"/>
  <c r="V17" i="19"/>
  <c r="V16" i="19"/>
  <c r="V15" i="19"/>
  <c r="N12" i="4"/>
  <c r="N13" i="4"/>
  <c r="N14" i="4"/>
  <c r="N15" i="4"/>
  <c r="N16" i="4"/>
  <c r="N17" i="4"/>
  <c r="N18" i="4"/>
  <c r="N19" i="4"/>
  <c r="N20" i="4"/>
  <c r="N21" i="4"/>
  <c r="N11" i="4"/>
  <c r="K15" i="19"/>
  <c r="K12" i="4" s="1"/>
  <c r="K16" i="19"/>
  <c r="K13" i="4" s="1"/>
  <c r="K17" i="19"/>
  <c r="K14" i="4" s="1"/>
  <c r="K18" i="19"/>
  <c r="K15" i="4" s="1"/>
  <c r="K19" i="19"/>
  <c r="K16" i="4" s="1"/>
  <c r="K20" i="19"/>
  <c r="K17" i="4" s="1"/>
  <c r="K21" i="19"/>
  <c r="K18" i="4" s="1"/>
  <c r="K22" i="19"/>
  <c r="K19" i="4" s="1"/>
  <c r="K23" i="19"/>
  <c r="K20" i="4" s="1"/>
  <c r="K24" i="19"/>
  <c r="K21" i="4" s="1"/>
  <c r="F15" i="19"/>
  <c r="H12" i="4" s="1"/>
  <c r="F16" i="19"/>
  <c r="H13" i="4" s="1"/>
  <c r="F17" i="19"/>
  <c r="H14" i="4" s="1"/>
  <c r="F18" i="19"/>
  <c r="H15" i="4" s="1"/>
  <c r="F19" i="19"/>
  <c r="H16" i="4" s="1"/>
  <c r="F20" i="19"/>
  <c r="H17" i="4" s="1"/>
  <c r="F21" i="19"/>
  <c r="H18" i="4" s="1"/>
  <c r="F22" i="19"/>
  <c r="H19" i="4" s="1"/>
  <c r="F23" i="19"/>
  <c r="H20" i="4" s="1"/>
  <c r="F24" i="19"/>
  <c r="H21" i="4" s="1"/>
  <c r="F14" i="19"/>
  <c r="H11" i="4" s="1"/>
  <c r="A15" i="19"/>
  <c r="A16" i="19"/>
  <c r="A17" i="19"/>
  <c r="A18" i="19"/>
  <c r="A19" i="19"/>
  <c r="A20" i="19"/>
  <c r="A21" i="19"/>
  <c r="A22" i="19"/>
  <c r="A23" i="19"/>
  <c r="A24" i="19"/>
  <c r="A14" i="19"/>
  <c r="C45" i="19"/>
  <c r="C44" i="19"/>
  <c r="C43" i="19"/>
  <c r="C42" i="19"/>
  <c r="C41" i="19"/>
  <c r="C40" i="19"/>
  <c r="C39" i="19"/>
  <c r="F29" i="19" s="1"/>
  <c r="K14" i="19"/>
  <c r="K11" i="4" s="1"/>
  <c r="F8" i="19"/>
  <c r="E8" i="19"/>
  <c r="D35" i="5"/>
  <c r="D35" i="6"/>
  <c r="D35" i="7"/>
  <c r="D35" i="8"/>
  <c r="D35" i="9"/>
  <c r="D35" i="10"/>
  <c r="D35" i="11"/>
  <c r="D35" i="12"/>
  <c r="D35" i="14"/>
  <c r="D35" i="13"/>
  <c r="D35" i="15"/>
  <c r="D34" i="5"/>
  <c r="D34" i="6"/>
  <c r="D34" i="7"/>
  <c r="D34" i="8"/>
  <c r="D34" i="9"/>
  <c r="D34" i="10"/>
  <c r="D34" i="11"/>
  <c r="D34" i="12"/>
  <c r="D34" i="14"/>
  <c r="D34" i="13"/>
  <c r="D34" i="15"/>
  <c r="G7" i="20" l="1"/>
  <c r="G8" i="20" s="1"/>
  <c r="G9" i="20" s="1"/>
  <c r="G10" i="20" s="1"/>
  <c r="G11" i="20" s="1"/>
  <c r="G12" i="20" s="1"/>
  <c r="G13" i="20" s="1"/>
  <c r="G14" i="20" s="1"/>
  <c r="G15" i="20" s="1"/>
  <c r="G16" i="20" s="1"/>
  <c r="G17" i="20" s="1"/>
  <c r="G18" i="20" s="1"/>
  <c r="G19" i="20" s="1"/>
  <c r="AI9" i="20"/>
  <c r="AI10" i="20" s="1"/>
  <c r="AI11" i="20" s="1"/>
  <c r="AI12" i="20" s="1"/>
  <c r="AI13" i="20" s="1"/>
  <c r="AI14" i="20" s="1"/>
  <c r="AI15" i="20" s="1"/>
  <c r="AI16" i="20" s="1"/>
  <c r="AI17" i="20" s="1"/>
  <c r="AI18" i="20" s="1"/>
  <c r="AI19" i="20" s="1"/>
  <c r="L9" i="2"/>
  <c r="H74" i="3"/>
  <c r="I74" i="3" s="1"/>
  <c r="J74" i="3" s="1"/>
  <c r="K74" i="3" s="1"/>
  <c r="L24" i="2"/>
  <c r="M24" i="2" s="1"/>
  <c r="N24" i="2" s="1"/>
  <c r="O24" i="2" s="1"/>
  <c r="L18" i="2"/>
  <c r="M18" i="2" s="1"/>
  <c r="N18" i="2" s="1"/>
  <c r="O18" i="2" s="1"/>
  <c r="L33" i="2"/>
  <c r="M33" i="2" s="1"/>
  <c r="N33" i="2" s="1"/>
  <c r="O33" i="2" s="1"/>
  <c r="L47" i="2"/>
  <c r="M47" i="2" s="1"/>
  <c r="N47" i="2" s="1"/>
  <c r="O47" i="2" s="1"/>
  <c r="L61" i="2"/>
  <c r="M61" i="2" s="1"/>
  <c r="N61" i="2" s="1"/>
  <c r="O61" i="2" s="1"/>
  <c r="L11" i="2"/>
  <c r="L39" i="2"/>
  <c r="M39" i="2" s="1"/>
  <c r="N39" i="2" s="1"/>
  <c r="O39" i="2" s="1"/>
  <c r="L8" i="2"/>
  <c r="M8" i="2" s="1"/>
  <c r="N8" i="2" s="1"/>
  <c r="O8" i="2" s="1"/>
  <c r="L23" i="2"/>
  <c r="M23" i="2" s="1"/>
  <c r="N23" i="2" s="1"/>
  <c r="O23" i="2" s="1"/>
  <c r="L38" i="2"/>
  <c r="M38" i="2" s="1"/>
  <c r="N38" i="2" s="1"/>
  <c r="O38" i="2" s="1"/>
  <c r="L52" i="2"/>
  <c r="M52" i="2" s="1"/>
  <c r="N52" i="2" s="1"/>
  <c r="O52" i="2" s="1"/>
  <c r="L63" i="2"/>
  <c r="M63" i="2" s="1"/>
  <c r="N63" i="2" s="1"/>
  <c r="O63" i="2" s="1"/>
  <c r="L53" i="2"/>
  <c r="M53" i="2" s="1"/>
  <c r="N53" i="2" s="1"/>
  <c r="O53" i="2" s="1"/>
  <c r="M11" i="2"/>
  <c r="N11" i="2" s="1"/>
  <c r="O11" i="2" s="1"/>
  <c r="M9" i="2"/>
  <c r="N9" i="2" s="1"/>
  <c r="O9" i="2" s="1"/>
  <c r="L7" i="2"/>
  <c r="M7" i="2" s="1"/>
  <c r="N7" i="2" s="1"/>
  <c r="O7" i="2" s="1"/>
  <c r="L26" i="2"/>
  <c r="M26" i="2" s="1"/>
  <c r="N26" i="2" s="1"/>
  <c r="O26" i="2" s="1"/>
  <c r="L40" i="2"/>
  <c r="M40" i="2" s="1"/>
  <c r="N40" i="2" s="1"/>
  <c r="O40" i="2" s="1"/>
  <c r="L54" i="2"/>
  <c r="M54" i="2" s="1"/>
  <c r="N54" i="2" s="1"/>
  <c r="O54" i="2" s="1"/>
  <c r="L30" i="2"/>
  <c r="M30" i="2" s="1"/>
  <c r="N30" i="2" s="1"/>
  <c r="O30" i="2" s="1"/>
  <c r="L41" i="2"/>
  <c r="M41" i="2" s="1"/>
  <c r="N41" i="2" s="1"/>
  <c r="O41" i="2" s="1"/>
  <c r="L55" i="2"/>
  <c r="M55" i="2" s="1"/>
  <c r="N55" i="2" s="1"/>
  <c r="O55" i="2" s="1"/>
  <c r="L16" i="2"/>
  <c r="M16" i="2" s="1"/>
  <c r="N16" i="2" s="1"/>
  <c r="O16" i="2" s="1"/>
  <c r="L31" i="2"/>
  <c r="M31" i="2" s="1"/>
  <c r="N31" i="2" s="1"/>
  <c r="O31" i="2" s="1"/>
  <c r="L45" i="2"/>
  <c r="M45" i="2" s="1"/>
  <c r="N45" i="2" s="1"/>
  <c r="O45" i="2" s="1"/>
  <c r="L56" i="2"/>
  <c r="M56" i="2" s="1"/>
  <c r="N56" i="2" s="1"/>
  <c r="O56" i="2" s="1"/>
  <c r="L12" i="2"/>
  <c r="M12" i="2" s="1"/>
  <c r="N12" i="2" s="1"/>
  <c r="O12" i="2" s="1"/>
  <c r="L17" i="2"/>
  <c r="M17" i="2" s="1"/>
  <c r="N17" i="2" s="1"/>
  <c r="O17" i="2" s="1"/>
  <c r="L32" i="2"/>
  <c r="M32" i="2" s="1"/>
  <c r="N32" i="2" s="1"/>
  <c r="O32" i="2" s="1"/>
  <c r="L46" i="2"/>
  <c r="M46" i="2" s="1"/>
  <c r="N46" i="2" s="1"/>
  <c r="O46" i="2" s="1"/>
  <c r="L60" i="2"/>
  <c r="M60" i="2" s="1"/>
  <c r="N60" i="2" s="1"/>
  <c r="O60" i="2" s="1"/>
  <c r="L10" i="2"/>
  <c r="M10" i="2" s="1"/>
  <c r="N10" i="2" s="1"/>
  <c r="O10" i="2" s="1"/>
  <c r="L19" i="2"/>
  <c r="M19" i="2" s="1"/>
  <c r="N19" i="2" s="1"/>
  <c r="O19" i="2" s="1"/>
  <c r="L37" i="2"/>
  <c r="M37" i="2" s="1"/>
  <c r="N37" i="2" s="1"/>
  <c r="O37" i="2" s="1"/>
  <c r="L48" i="2"/>
  <c r="M48" i="2" s="1"/>
  <c r="N48" i="2" s="1"/>
  <c r="O48" i="2" s="1"/>
  <c r="L62" i="2"/>
  <c r="M62" i="2" s="1"/>
  <c r="N62" i="2" s="1"/>
  <c r="O62" i="2" s="1"/>
  <c r="U18" i="20"/>
  <c r="U19" i="20" s="1"/>
  <c r="R25" i="19"/>
  <c r="H49" i="1"/>
  <c r="E23" i="17"/>
  <c r="E21" i="17"/>
  <c r="E19" i="17"/>
  <c r="E18" i="17"/>
  <c r="P5" i="17"/>
  <c r="O5" i="17"/>
  <c r="N5" i="17"/>
  <c r="M5" i="17"/>
  <c r="J5" i="17"/>
  <c r="I5" i="17"/>
  <c r="H5" i="17"/>
  <c r="G5" i="17"/>
  <c r="F5" i="17"/>
  <c r="E24" i="17"/>
  <c r="B24" i="17"/>
  <c r="E21" i="5"/>
  <c r="E21" i="15"/>
  <c r="E21" i="14"/>
  <c r="E21" i="13"/>
  <c r="E21" i="12"/>
  <c r="E21" i="11"/>
  <c r="E21" i="10"/>
  <c r="E21" i="9"/>
  <c r="E21" i="8"/>
  <c r="E21" i="7"/>
  <c r="E21" i="6"/>
  <c r="D21" i="5"/>
  <c r="D21" i="15"/>
  <c r="D21" i="14"/>
  <c r="D21" i="13"/>
  <c r="D21" i="12"/>
  <c r="D21" i="11"/>
  <c r="D21" i="10"/>
  <c r="D21" i="9"/>
  <c r="D21" i="8"/>
  <c r="D21" i="7"/>
  <c r="D21" i="6"/>
  <c r="D23" i="6"/>
  <c r="D23" i="7"/>
  <c r="D23" i="8"/>
  <c r="D23" i="9"/>
  <c r="D23" i="10"/>
  <c r="D23" i="11"/>
  <c r="D23" i="12"/>
  <c r="D23" i="13"/>
  <c r="D23" i="14"/>
  <c r="D23" i="15"/>
  <c r="D23" i="5"/>
  <c r="D22" i="6"/>
  <c r="D22" i="7"/>
  <c r="D22" i="8"/>
  <c r="D22" i="9"/>
  <c r="D22" i="10"/>
  <c r="D22" i="11"/>
  <c r="D22" i="12"/>
  <c r="D22" i="13"/>
  <c r="D22" i="14"/>
  <c r="D22" i="15"/>
  <c r="D22" i="5"/>
  <c r="C21" i="6"/>
  <c r="C21" i="7"/>
  <c r="C21" i="8"/>
  <c r="C21" i="9"/>
  <c r="C21" i="10"/>
  <c r="C21" i="11"/>
  <c r="C21" i="12"/>
  <c r="C21" i="13"/>
  <c r="C21" i="14"/>
  <c r="C21" i="15"/>
  <c r="C21" i="5"/>
  <c r="C20" i="6"/>
  <c r="C20" i="7"/>
  <c r="C20" i="8"/>
  <c r="C20" i="9"/>
  <c r="C20" i="10"/>
  <c r="C20" i="11"/>
  <c r="C20" i="12"/>
  <c r="C20" i="13"/>
  <c r="C20" i="14"/>
  <c r="C20" i="15"/>
  <c r="C20" i="5"/>
  <c r="E20" i="17" l="1"/>
  <c r="D37" i="6" l="1"/>
  <c r="D37" i="7"/>
  <c r="D37" i="8"/>
  <c r="D37" i="9"/>
  <c r="D37" i="10"/>
  <c r="D37" i="11"/>
  <c r="D37" i="12"/>
  <c r="D37" i="13"/>
  <c r="D37" i="14"/>
  <c r="D37" i="15"/>
  <c r="D37" i="5"/>
  <c r="A37" i="6"/>
  <c r="A37" i="7"/>
  <c r="A37" i="8"/>
  <c r="A37" i="9"/>
  <c r="A37" i="10"/>
  <c r="A37" i="11"/>
  <c r="A37" i="12"/>
  <c r="A37" i="13"/>
  <c r="A37" i="14"/>
  <c r="A37" i="15"/>
  <c r="A37" i="5"/>
  <c r="H24" i="6"/>
  <c r="H25" i="6" s="1"/>
  <c r="H24" i="7"/>
  <c r="H24" i="8"/>
  <c r="H25" i="8" s="1"/>
  <c r="H24" i="9"/>
  <c r="H24" i="10"/>
  <c r="H25" i="10" s="1"/>
  <c r="H24" i="11"/>
  <c r="H25" i="11" s="1"/>
  <c r="H24" i="12"/>
  <c r="H24" i="13"/>
  <c r="H24" i="14"/>
  <c r="H24" i="15"/>
  <c r="H24" i="5"/>
  <c r="F23" i="13"/>
  <c r="F22" i="10"/>
  <c r="F22" i="11"/>
  <c r="F23" i="6"/>
  <c r="F23" i="7"/>
  <c r="F23" i="8"/>
  <c r="F23" i="9"/>
  <c r="F23" i="10"/>
  <c r="F23" i="11"/>
  <c r="F23" i="12"/>
  <c r="F23" i="14"/>
  <c r="F23" i="15"/>
  <c r="F23" i="5"/>
  <c r="F22" i="6"/>
  <c r="F22" i="7"/>
  <c r="F22" i="8"/>
  <c r="F22" i="9"/>
  <c r="F22" i="12"/>
  <c r="F22" i="13"/>
  <c r="F22" i="14"/>
  <c r="F22" i="15"/>
  <c r="F22" i="5"/>
  <c r="A23" i="6"/>
  <c r="A23" i="7"/>
  <c r="A23" i="8"/>
  <c r="A23" i="9"/>
  <c r="A23" i="10"/>
  <c r="A23" i="11"/>
  <c r="A23" i="12"/>
  <c r="A23" i="13"/>
  <c r="A23" i="14"/>
  <c r="A23" i="15"/>
  <c r="A23" i="5"/>
  <c r="A22" i="6"/>
  <c r="A22" i="7"/>
  <c r="A22" i="8"/>
  <c r="A22" i="9"/>
  <c r="A22" i="10"/>
  <c r="A22" i="11"/>
  <c r="A22" i="12"/>
  <c r="A22" i="13"/>
  <c r="A22" i="14"/>
  <c r="A22" i="15"/>
  <c r="A22" i="5"/>
  <c r="B54" i="3"/>
  <c r="G62" i="3"/>
  <c r="C41" i="1"/>
  <c r="C40" i="1"/>
  <c r="C39" i="1"/>
  <c r="C38" i="1"/>
  <c r="C25" i="1"/>
  <c r="C32" i="1"/>
  <c r="C37" i="1"/>
  <c r="C29" i="1"/>
  <c r="C30" i="1" s="1"/>
  <c r="C34" i="1"/>
  <c r="C19" i="1"/>
  <c r="G30" i="3"/>
  <c r="C14" i="1" s="1"/>
  <c r="C16" i="1" s="1"/>
  <c r="C12" i="4"/>
  <c r="C15" i="19" s="1"/>
  <c r="C13" i="4"/>
  <c r="C16" i="19" s="1"/>
  <c r="C14" i="4"/>
  <c r="C17" i="19" s="1"/>
  <c r="C15" i="4"/>
  <c r="C18" i="19" s="1"/>
  <c r="C16" i="4"/>
  <c r="C19" i="19" s="1"/>
  <c r="C17" i="4"/>
  <c r="C20" i="19" s="1"/>
  <c r="C18" i="4"/>
  <c r="C21" i="19" s="1"/>
  <c r="C19" i="4"/>
  <c r="C22" i="19" s="1"/>
  <c r="C20" i="4"/>
  <c r="C23" i="19" s="1"/>
  <c r="C21" i="4"/>
  <c r="C24" i="19" s="1"/>
  <c r="C11" i="4"/>
  <c r="C14" i="19" s="1"/>
  <c r="D12" i="4"/>
  <c r="A19" i="2" s="1"/>
  <c r="D18" i="2" s="1"/>
  <c r="F18" i="2" s="1"/>
  <c r="D13" i="4"/>
  <c r="A26" i="2" s="1"/>
  <c r="D14" i="4"/>
  <c r="D15" i="4"/>
  <c r="D16" i="4"/>
  <c r="D17" i="4"/>
  <c r="D18" i="4"/>
  <c r="A41" i="2" s="1"/>
  <c r="D39" i="2" s="1"/>
  <c r="D19" i="4"/>
  <c r="A48" i="2" s="1"/>
  <c r="D46" i="2" s="1"/>
  <c r="D20" i="4"/>
  <c r="A56" i="2" s="1"/>
  <c r="D55" i="2" s="1"/>
  <c r="F55" i="2" s="1"/>
  <c r="D21" i="4"/>
  <c r="A63" i="2" s="1"/>
  <c r="D62" i="2" s="1"/>
  <c r="F62" i="2" s="1"/>
  <c r="D11" i="4"/>
  <c r="A10" i="2" s="1"/>
  <c r="D12" i="2" s="1"/>
  <c r="F12" i="2" s="1"/>
  <c r="F18" i="13"/>
  <c r="D36" i="15"/>
  <c r="D30" i="15"/>
  <c r="D28" i="15"/>
  <c r="E20" i="15"/>
  <c r="D20" i="15"/>
  <c r="F19" i="15"/>
  <c r="F18" i="15"/>
  <c r="E10" i="15"/>
  <c r="D10" i="15"/>
  <c r="D36" i="14"/>
  <c r="D30" i="14"/>
  <c r="D28" i="14"/>
  <c r="H25" i="14"/>
  <c r="E20" i="14"/>
  <c r="D20" i="14"/>
  <c r="F19" i="14"/>
  <c r="F18" i="14"/>
  <c r="E10" i="14"/>
  <c r="D10" i="14"/>
  <c r="D36" i="13"/>
  <c r="D38" i="13" s="1"/>
  <c r="D30" i="13"/>
  <c r="D28" i="13"/>
  <c r="E20" i="13"/>
  <c r="D20" i="13"/>
  <c r="F19" i="13"/>
  <c r="E10" i="13"/>
  <c r="D10" i="13"/>
  <c r="F11" i="13" s="1"/>
  <c r="D36" i="12"/>
  <c r="D30" i="12"/>
  <c r="D28" i="12"/>
  <c r="H25" i="12"/>
  <c r="E20" i="12"/>
  <c r="D20" i="12"/>
  <c r="F19" i="12"/>
  <c r="F18" i="12"/>
  <c r="E10" i="12"/>
  <c r="D10" i="12"/>
  <c r="D36" i="11"/>
  <c r="D30" i="11"/>
  <c r="D28" i="11"/>
  <c r="E20" i="11"/>
  <c r="D20" i="11"/>
  <c r="F19" i="11"/>
  <c r="F18" i="11"/>
  <c r="E10" i="11"/>
  <c r="D10" i="11"/>
  <c r="D36" i="10"/>
  <c r="D30" i="10"/>
  <c r="D28" i="10"/>
  <c r="E20" i="10"/>
  <c r="D20" i="10"/>
  <c r="F19" i="10"/>
  <c r="F18" i="10"/>
  <c r="E10" i="10"/>
  <c r="D10" i="10"/>
  <c r="F20" i="10" s="1"/>
  <c r="G20" i="10" s="1"/>
  <c r="G24" i="10" s="1"/>
  <c r="D36" i="9"/>
  <c r="D30" i="9"/>
  <c r="D28" i="9"/>
  <c r="H25" i="9"/>
  <c r="E20" i="9"/>
  <c r="D20" i="9"/>
  <c r="F19" i="9"/>
  <c r="F18" i="9"/>
  <c r="E10" i="9"/>
  <c r="D10" i="9"/>
  <c r="F11" i="9" s="1"/>
  <c r="D36" i="8"/>
  <c r="D30" i="8"/>
  <c r="D28" i="8"/>
  <c r="E20" i="8"/>
  <c r="D20" i="8"/>
  <c r="F19" i="8"/>
  <c r="F18" i="8"/>
  <c r="E10" i="8"/>
  <c r="D10" i="8"/>
  <c r="F11" i="8" s="1"/>
  <c r="D36" i="7"/>
  <c r="D30" i="7"/>
  <c r="D28" i="7"/>
  <c r="H25" i="7"/>
  <c r="E20" i="7"/>
  <c r="D20" i="7"/>
  <c r="F19" i="7"/>
  <c r="F18" i="7"/>
  <c r="E10" i="7"/>
  <c r="D10" i="7"/>
  <c r="F11" i="7" s="1"/>
  <c r="D36" i="6"/>
  <c r="D30" i="6"/>
  <c r="D28" i="6"/>
  <c r="E20" i="6"/>
  <c r="D20" i="6"/>
  <c r="F19" i="6"/>
  <c r="F18" i="6"/>
  <c r="D10" i="6"/>
  <c r="F11" i="6" s="1"/>
  <c r="D36" i="5"/>
  <c r="D30" i="5"/>
  <c r="D28" i="5"/>
  <c r="E20" i="5"/>
  <c r="D20" i="5"/>
  <c r="F19" i="5"/>
  <c r="F18" i="5"/>
  <c r="E10" i="5"/>
  <c r="D10" i="5"/>
  <c r="A7" i="5" s="1"/>
  <c r="N22" i="4"/>
  <c r="K22" i="4"/>
  <c r="H22" i="4"/>
  <c r="F18" i="3"/>
  <c r="H18" i="3" s="1"/>
  <c r="P7" i="17" s="1"/>
  <c r="F17" i="3"/>
  <c r="H17" i="3" s="1"/>
  <c r="O7" i="17" s="1"/>
  <c r="F16" i="3"/>
  <c r="H16" i="3" s="1"/>
  <c r="N7" i="17" s="1"/>
  <c r="F15" i="3"/>
  <c r="H15" i="3" s="1"/>
  <c r="M7" i="17" s="1"/>
  <c r="F14" i="3"/>
  <c r="H14" i="3" s="1"/>
  <c r="L7" i="17" s="1"/>
  <c r="F13" i="3"/>
  <c r="H13" i="3" s="1"/>
  <c r="K7" i="17" s="1"/>
  <c r="F12" i="3"/>
  <c r="H12" i="3" s="1"/>
  <c r="J7" i="17" s="1"/>
  <c r="F11" i="3"/>
  <c r="H11" i="3" s="1"/>
  <c r="I7" i="17" s="1"/>
  <c r="F10" i="3"/>
  <c r="H10" i="3" s="1"/>
  <c r="H7" i="17" s="1"/>
  <c r="E9" i="3"/>
  <c r="E10" i="6" s="1"/>
  <c r="F8" i="3"/>
  <c r="H8" i="3" s="1"/>
  <c r="F7" i="17" s="1"/>
  <c r="C47" i="1"/>
  <c r="C54" i="1" s="1"/>
  <c r="C42" i="1"/>
  <c r="C31" i="1"/>
  <c r="F55" i="1" s="1"/>
  <c r="G55" i="1" s="1"/>
  <c r="H55" i="1" s="1"/>
  <c r="N8" i="17" l="1"/>
  <c r="F51" i="1"/>
  <c r="G51" i="1" s="1"/>
  <c r="H51" i="1" s="1"/>
  <c r="E8" i="17"/>
  <c r="F8" i="17" s="1"/>
  <c r="O8" i="17"/>
  <c r="M8" i="17"/>
  <c r="H8" i="17"/>
  <c r="P8" i="17"/>
  <c r="J8" i="17"/>
  <c r="F50" i="1"/>
  <c r="K8" i="17"/>
  <c r="G25" i="10"/>
  <c r="G28" i="10" s="1"/>
  <c r="C20" i="1"/>
  <c r="F52" i="1" s="1"/>
  <c r="G52" i="1" s="1"/>
  <c r="H52" i="1" s="1"/>
  <c r="K13" i="17"/>
  <c r="D23" i="2"/>
  <c r="D25" i="2"/>
  <c r="F25" i="2" s="1"/>
  <c r="D38" i="12"/>
  <c r="D38" i="15"/>
  <c r="D38" i="9"/>
  <c r="D38" i="10"/>
  <c r="H48" i="1"/>
  <c r="E9" i="17"/>
  <c r="A5" i="11"/>
  <c r="A5" i="9"/>
  <c r="A5" i="5"/>
  <c r="A5" i="8"/>
  <c r="A5" i="15"/>
  <c r="A5" i="7"/>
  <c r="A5" i="14"/>
  <c r="A5" i="6"/>
  <c r="A5" i="10"/>
  <c r="A5" i="13"/>
  <c r="A5" i="12"/>
  <c r="D38" i="11"/>
  <c r="D38" i="6"/>
  <c r="D38" i="5"/>
  <c r="D38" i="7"/>
  <c r="D38" i="14"/>
  <c r="D38" i="8"/>
  <c r="A7" i="7"/>
  <c r="A39" i="7" s="1"/>
  <c r="F10" i="13"/>
  <c r="F21" i="13" s="1"/>
  <c r="O14" i="17" s="1"/>
  <c r="F20" i="14"/>
  <c r="G20" i="14" s="1"/>
  <c r="G24" i="14" s="1"/>
  <c r="F10" i="5"/>
  <c r="F21" i="5" s="1"/>
  <c r="F14" i="17" s="1"/>
  <c r="D22" i="4"/>
  <c r="F10" i="9"/>
  <c r="H28" i="14"/>
  <c r="H29" i="14" s="1"/>
  <c r="H30" i="14" s="1"/>
  <c r="H31" i="14" s="1"/>
  <c r="H32" i="14" s="1"/>
  <c r="F10" i="7"/>
  <c r="F10" i="10"/>
  <c r="F21" i="10" s="1"/>
  <c r="K14" i="17" s="1"/>
  <c r="K16" i="17" s="1"/>
  <c r="K30" i="17" s="1"/>
  <c r="F11" i="10"/>
  <c r="A33" i="2"/>
  <c r="D33" i="2" s="1"/>
  <c r="F33" i="2" s="1"/>
  <c r="A7" i="9"/>
  <c r="A40" i="9" s="1"/>
  <c r="D31" i="8"/>
  <c r="F9" i="3"/>
  <c r="H9" i="3" s="1"/>
  <c r="G7" i="17" s="1"/>
  <c r="G8" i="17" s="1"/>
  <c r="A7" i="13"/>
  <c r="A40" i="13" s="1"/>
  <c r="D31" i="14"/>
  <c r="F20" i="15"/>
  <c r="G20" i="15" s="1"/>
  <c r="G24" i="15" s="1"/>
  <c r="F10" i="8"/>
  <c r="F11" i="14"/>
  <c r="A7" i="8"/>
  <c r="A40" i="8" s="1"/>
  <c r="F20" i="8"/>
  <c r="G20" i="8" s="1"/>
  <c r="G24" i="8" s="1"/>
  <c r="H28" i="9"/>
  <c r="H29" i="9" s="1"/>
  <c r="H30" i="9" s="1"/>
  <c r="H31" i="9" s="1"/>
  <c r="H32" i="9" s="1"/>
  <c r="A7" i="6"/>
  <c r="A40" i="6" s="1"/>
  <c r="D31" i="9"/>
  <c r="H28" i="11"/>
  <c r="H29" i="11" s="1"/>
  <c r="H30" i="11" s="1"/>
  <c r="H31" i="11" s="1"/>
  <c r="H32" i="11" s="1"/>
  <c r="D26" i="2"/>
  <c r="F26" i="2" s="1"/>
  <c r="D38" i="2"/>
  <c r="F38" i="2" s="1"/>
  <c r="F20" i="13"/>
  <c r="G20" i="13" s="1"/>
  <c r="G24" i="13" s="1"/>
  <c r="F10" i="14"/>
  <c r="F21" i="14" s="1"/>
  <c r="N14" i="17" s="1"/>
  <c r="D24" i="2"/>
  <c r="F24" i="2" s="1"/>
  <c r="D31" i="5"/>
  <c r="F10" i="15"/>
  <c r="F21" i="15" s="1"/>
  <c r="P14" i="17" s="1"/>
  <c r="D45" i="2"/>
  <c r="F45" i="2" s="1"/>
  <c r="F10" i="6"/>
  <c r="D31" i="6"/>
  <c r="H26" i="9"/>
  <c r="D31" i="11"/>
  <c r="F11" i="15"/>
  <c r="D37" i="2"/>
  <c r="F37" i="2" s="1"/>
  <c r="D48" i="2"/>
  <c r="F48" i="2" s="1"/>
  <c r="C43" i="1"/>
  <c r="C44" i="1" s="1"/>
  <c r="C53" i="1" s="1"/>
  <c r="D31" i="10"/>
  <c r="D41" i="2"/>
  <c r="F41" i="2" s="1"/>
  <c r="D47" i="2"/>
  <c r="F47" i="2" s="1"/>
  <c r="D31" i="13"/>
  <c r="A7" i="14"/>
  <c r="A40" i="14" s="1"/>
  <c r="D40" i="2"/>
  <c r="F40" i="2" s="1"/>
  <c r="F20" i="9"/>
  <c r="G20" i="9" s="1"/>
  <c r="G24" i="9" s="1"/>
  <c r="A7" i="15"/>
  <c r="B10" i="15" s="1"/>
  <c r="D52" i="2"/>
  <c r="F52" i="2" s="1"/>
  <c r="F46" i="2"/>
  <c r="F39" i="2"/>
  <c r="D56" i="2"/>
  <c r="F56" i="2" s="1"/>
  <c r="D8" i="2"/>
  <c r="F8" i="2" s="1"/>
  <c r="D19" i="2"/>
  <c r="F19" i="2" s="1"/>
  <c r="D54" i="2"/>
  <c r="F54" i="2" s="1"/>
  <c r="D60" i="2"/>
  <c r="F60" i="2" s="1"/>
  <c r="D63" i="2"/>
  <c r="F63" i="2" s="1"/>
  <c r="D17" i="2"/>
  <c r="F17" i="2" s="1"/>
  <c r="D61" i="2"/>
  <c r="F61" i="2" s="1"/>
  <c r="F23" i="2"/>
  <c r="A40" i="5"/>
  <c r="A39" i="5"/>
  <c r="B10" i="5"/>
  <c r="C33" i="1"/>
  <c r="C35" i="1" s="1"/>
  <c r="C52" i="1" s="1"/>
  <c r="D7" i="2"/>
  <c r="F7" i="2" s="1"/>
  <c r="D9" i="2"/>
  <c r="F9" i="2" s="1"/>
  <c r="F20" i="5"/>
  <c r="G20" i="5" s="1"/>
  <c r="G24" i="5" s="1"/>
  <c r="C49" i="1"/>
  <c r="D11" i="2"/>
  <c r="F11" i="2" s="1"/>
  <c r="F11" i="5"/>
  <c r="H25" i="5"/>
  <c r="H26" i="5" s="1"/>
  <c r="C26" i="1"/>
  <c r="C27" i="1" s="1"/>
  <c r="C51" i="1" s="1"/>
  <c r="H28" i="6"/>
  <c r="H29" i="6" s="1"/>
  <c r="H30" i="6" s="1"/>
  <c r="D10" i="2"/>
  <c r="F10" i="2" s="1"/>
  <c r="D16" i="2"/>
  <c r="F16" i="2" s="1"/>
  <c r="D53" i="2"/>
  <c r="F53" i="2" s="1"/>
  <c r="H28" i="7"/>
  <c r="H29" i="7" s="1"/>
  <c r="H30" i="7" s="1"/>
  <c r="F11" i="11"/>
  <c r="F20" i="11"/>
  <c r="G20" i="11" s="1"/>
  <c r="G24" i="11" s="1"/>
  <c r="A7" i="11"/>
  <c r="F20" i="6"/>
  <c r="G20" i="6" s="1"/>
  <c r="G24" i="6" s="1"/>
  <c r="H26" i="6"/>
  <c r="F20" i="7"/>
  <c r="G20" i="7" s="1"/>
  <c r="G24" i="7" s="1"/>
  <c r="H26" i="7"/>
  <c r="H28" i="8"/>
  <c r="F11" i="12"/>
  <c r="F20" i="12"/>
  <c r="G20" i="12" s="1"/>
  <c r="G24" i="12" s="1"/>
  <c r="H25" i="13"/>
  <c r="H26" i="8"/>
  <c r="H28" i="10"/>
  <c r="H29" i="10" s="1"/>
  <c r="H30" i="10" s="1"/>
  <c r="H28" i="12"/>
  <c r="H29" i="12" s="1"/>
  <c r="H30" i="12" s="1"/>
  <c r="D31" i="7"/>
  <c r="H25" i="15"/>
  <c r="F10" i="11"/>
  <c r="F21" i="11" s="1"/>
  <c r="M14" i="17" s="1"/>
  <c r="F10" i="12"/>
  <c r="F21" i="12" s="1"/>
  <c r="L14" i="17" s="1"/>
  <c r="H26" i="11"/>
  <c r="D31" i="12"/>
  <c r="D31" i="15"/>
  <c r="G25" i="6" l="1"/>
  <c r="G28" i="6" s="1"/>
  <c r="G25" i="14"/>
  <c r="G28" i="14" s="1"/>
  <c r="G29" i="10"/>
  <c r="G30" i="10" s="1"/>
  <c r="G31" i="10"/>
  <c r="G32" i="10" s="1"/>
  <c r="G39" i="10" s="1"/>
  <c r="G25" i="12"/>
  <c r="G28" i="12" s="1"/>
  <c r="G25" i="15"/>
  <c r="G28" i="15" s="1"/>
  <c r="G25" i="13"/>
  <c r="G28" i="13" s="1"/>
  <c r="G25" i="11"/>
  <c r="G28" i="11" s="1"/>
  <c r="G25" i="9"/>
  <c r="G28" i="9" s="1"/>
  <c r="F53" i="1"/>
  <c r="F54" i="1" s="1"/>
  <c r="F56" i="1" s="1"/>
  <c r="F58" i="1" s="1"/>
  <c r="G50" i="1"/>
  <c r="C21" i="1"/>
  <c r="C22" i="1" s="1"/>
  <c r="C23" i="1" s="1"/>
  <c r="C50" i="1" s="1"/>
  <c r="G25" i="7"/>
  <c r="G28" i="7" s="1"/>
  <c r="G25" i="5"/>
  <c r="G28" i="5" s="1"/>
  <c r="G25" i="8"/>
  <c r="G28" i="8" s="1"/>
  <c r="L8" i="17"/>
  <c r="I8" i="17"/>
  <c r="P13" i="17"/>
  <c r="J13" i="17"/>
  <c r="G13" i="17"/>
  <c r="N13" i="17"/>
  <c r="N16" i="17" s="1"/>
  <c r="N30" i="17" s="1"/>
  <c r="L13" i="17"/>
  <c r="I13" i="17"/>
  <c r="M13" i="17"/>
  <c r="F13" i="17"/>
  <c r="H13" i="17"/>
  <c r="O13" i="17"/>
  <c r="O16" i="17" s="1"/>
  <c r="O30" i="17" s="1"/>
  <c r="F12" i="13"/>
  <c r="F9" i="17"/>
  <c r="F10" i="17" s="1"/>
  <c r="F11" i="17" s="1"/>
  <c r="F29" i="17" s="1"/>
  <c r="G9" i="17"/>
  <c r="G10" i="17" s="1"/>
  <c r="G11" i="17" s="1"/>
  <c r="G29" i="17" s="1"/>
  <c r="K9" i="17"/>
  <c r="K10" i="17" s="1"/>
  <c r="K11" i="17" s="1"/>
  <c r="K29" i="17" s="1"/>
  <c r="K31" i="17" s="1"/>
  <c r="K18" i="17" s="1"/>
  <c r="K19" i="17" s="1"/>
  <c r="K20" i="17" s="1"/>
  <c r="K25" i="17" s="1"/>
  <c r="K32" i="17" s="1"/>
  <c r="K33" i="17" s="1"/>
  <c r="H9" i="17"/>
  <c r="H10" i="17" s="1"/>
  <c r="H11" i="17" s="1"/>
  <c r="H29" i="17" s="1"/>
  <c r="L9" i="17"/>
  <c r="L10" i="17" s="1"/>
  <c r="L11" i="17" s="1"/>
  <c r="L29" i="17" s="1"/>
  <c r="E10" i="17"/>
  <c r="I9" i="17"/>
  <c r="I10" i="17" s="1"/>
  <c r="I11" i="17" s="1"/>
  <c r="I29" i="17" s="1"/>
  <c r="J9" i="17"/>
  <c r="J10" i="17" s="1"/>
  <c r="J11" i="17" s="1"/>
  <c r="J29" i="17" s="1"/>
  <c r="N9" i="17"/>
  <c r="N10" i="17" s="1"/>
  <c r="N11" i="17" s="1"/>
  <c r="N29" i="17" s="1"/>
  <c r="P9" i="17"/>
  <c r="P10" i="17" s="1"/>
  <c r="P11" i="17" s="1"/>
  <c r="P29" i="17" s="1"/>
  <c r="M9" i="17"/>
  <c r="M10" i="17" s="1"/>
  <c r="M11" i="17" s="1"/>
  <c r="M29" i="17" s="1"/>
  <c r="O9" i="17"/>
  <c r="O10" i="17" s="1"/>
  <c r="O11" i="17" s="1"/>
  <c r="O29" i="17" s="1"/>
  <c r="M16" i="17"/>
  <c r="M30" i="17" s="1"/>
  <c r="F16" i="17"/>
  <c r="F30" i="17" s="1"/>
  <c r="F31" i="17" s="1"/>
  <c r="F18" i="17" s="1"/>
  <c r="F19" i="17" s="1"/>
  <c r="F12" i="7"/>
  <c r="F21" i="7"/>
  <c r="I14" i="17" s="1"/>
  <c r="F12" i="9"/>
  <c r="F21" i="9"/>
  <c r="J14" i="17" s="1"/>
  <c r="F12" i="6"/>
  <c r="F21" i="6"/>
  <c r="G14" i="17" s="1"/>
  <c r="G16" i="17" s="1"/>
  <c r="G30" i="17" s="1"/>
  <c r="G31" i="17" s="1"/>
  <c r="G18" i="17" s="1"/>
  <c r="L16" i="17"/>
  <c r="L30" i="17" s="1"/>
  <c r="F12" i="8"/>
  <c r="F21" i="8"/>
  <c r="H14" i="17" s="1"/>
  <c r="H16" i="17" s="1"/>
  <c r="H30" i="17" s="1"/>
  <c r="H31" i="17" s="1"/>
  <c r="H18" i="17" s="1"/>
  <c r="P16" i="17"/>
  <c r="P30" i="17" s="1"/>
  <c r="D31" i="2"/>
  <c r="F31" i="2" s="1"/>
  <c r="A39" i="15"/>
  <c r="D32" i="2"/>
  <c r="F32" i="2" s="1"/>
  <c r="B10" i="7"/>
  <c r="D30" i="2"/>
  <c r="F30" i="2" s="1"/>
  <c r="H39" i="14"/>
  <c r="B10" i="9"/>
  <c r="A40" i="7"/>
  <c r="F12" i="5"/>
  <c r="A40" i="15"/>
  <c r="H39" i="11"/>
  <c r="F12" i="10"/>
  <c r="B10" i="13"/>
  <c r="A39" i="9"/>
  <c r="B10" i="14"/>
  <c r="A39" i="6"/>
  <c r="B10" i="6"/>
  <c r="F49" i="2"/>
  <c r="F50" i="2" s="1"/>
  <c r="I16" i="3" s="1"/>
  <c r="F17" i="14" s="1"/>
  <c r="F24" i="14" s="1"/>
  <c r="B10" i="8"/>
  <c r="F12" i="14"/>
  <c r="I21" i="14"/>
  <c r="I24" i="14" s="1"/>
  <c r="A39" i="14"/>
  <c r="A39" i="8"/>
  <c r="A39" i="13"/>
  <c r="F12" i="12"/>
  <c r="F12" i="11"/>
  <c r="F12" i="15"/>
  <c r="F57" i="2"/>
  <c r="F58" i="2" s="1"/>
  <c r="F42" i="2"/>
  <c r="F43" i="2" s="1"/>
  <c r="I15" i="3" s="1"/>
  <c r="F17" i="11" s="1"/>
  <c r="F24" i="11" s="1"/>
  <c r="F64" i="2"/>
  <c r="F65" i="2" s="1"/>
  <c r="F20" i="2"/>
  <c r="F21" i="2" s="1"/>
  <c r="I9" i="3" s="1"/>
  <c r="F17" i="6" s="1"/>
  <c r="F27" i="2"/>
  <c r="F28" i="2" s="1"/>
  <c r="I10" i="3" s="1"/>
  <c r="F17" i="8" s="1"/>
  <c r="I21" i="13"/>
  <c r="I24" i="13" s="1"/>
  <c r="I21" i="10"/>
  <c r="I24" i="10" s="1"/>
  <c r="H28" i="13"/>
  <c r="H29" i="13" s="1"/>
  <c r="H30" i="13" s="1"/>
  <c r="A40" i="11"/>
  <c r="A39" i="11"/>
  <c r="B10" i="11"/>
  <c r="F13" i="2"/>
  <c r="F14" i="2" s="1"/>
  <c r="I8" i="3" s="1"/>
  <c r="I21" i="12"/>
  <c r="I24" i="12" s="1"/>
  <c r="I21" i="11"/>
  <c r="I24" i="11" s="1"/>
  <c r="I21" i="5"/>
  <c r="I24" i="5" s="1"/>
  <c r="H28" i="15"/>
  <c r="H29" i="15" s="1"/>
  <c r="H30" i="15" s="1"/>
  <c r="H31" i="7"/>
  <c r="H32" i="7" s="1"/>
  <c r="H39" i="7" s="1"/>
  <c r="H37" i="7" s="1"/>
  <c r="H31" i="6"/>
  <c r="H32" i="6" s="1"/>
  <c r="H39" i="6" s="1"/>
  <c r="H37" i="6" s="1"/>
  <c r="H28" i="5"/>
  <c r="H29" i="5" s="1"/>
  <c r="H30" i="5" s="1"/>
  <c r="I21" i="15"/>
  <c r="I24" i="15" s="1"/>
  <c r="H39" i="9"/>
  <c r="H37" i="9" s="1"/>
  <c r="H31" i="12"/>
  <c r="H32" i="12" s="1"/>
  <c r="H39" i="12" s="1"/>
  <c r="H37" i="12" s="1"/>
  <c r="H31" i="10"/>
  <c r="H32" i="10" s="1"/>
  <c r="H39" i="10" s="1"/>
  <c r="H37" i="10" s="1"/>
  <c r="H29" i="8"/>
  <c r="H30" i="8" s="1"/>
  <c r="H31" i="8" s="1"/>
  <c r="H32" i="8" s="1"/>
  <c r="H39" i="8" s="1"/>
  <c r="H37" i="8" s="1"/>
  <c r="C55" i="1"/>
  <c r="G28" i="3" s="1"/>
  <c r="H36" i="14" l="1"/>
  <c r="H37" i="14"/>
  <c r="G29" i="5"/>
  <c r="G30" i="5" s="1"/>
  <c r="G31" i="5" s="1"/>
  <c r="G32" i="5" s="1"/>
  <c r="G39" i="5" s="1"/>
  <c r="G29" i="12"/>
  <c r="G30" i="12" s="1"/>
  <c r="G31" i="12" s="1"/>
  <c r="G32" i="12" s="1"/>
  <c r="G39" i="12" s="1"/>
  <c r="G29" i="7"/>
  <c r="G30" i="7" s="1"/>
  <c r="G31" i="7"/>
  <c r="G32" i="7" s="1"/>
  <c r="G39" i="7" s="1"/>
  <c r="P16" i="4"/>
  <c r="R16" i="4" s="1"/>
  <c r="G36" i="10"/>
  <c r="G37" i="10"/>
  <c r="G40" i="10"/>
  <c r="G35" i="10"/>
  <c r="G34" i="10"/>
  <c r="G38" i="10" s="1"/>
  <c r="H40" i="11"/>
  <c r="H37" i="11"/>
  <c r="G29" i="11"/>
  <c r="G30" i="11" s="1"/>
  <c r="G31" i="11" s="1"/>
  <c r="G32" i="11" s="1"/>
  <c r="G39" i="11" s="1"/>
  <c r="G29" i="13"/>
  <c r="G30" i="13" s="1"/>
  <c r="G31" i="13" s="1"/>
  <c r="G32" i="13" s="1"/>
  <c r="G39" i="13" s="1"/>
  <c r="G29" i="9"/>
  <c r="G30" i="9" s="1"/>
  <c r="G31" i="9"/>
  <c r="G32" i="9" s="1"/>
  <c r="G39" i="9" s="1"/>
  <c r="G29" i="14"/>
  <c r="G30" i="14" s="1"/>
  <c r="G31" i="14"/>
  <c r="G32" i="14" s="1"/>
  <c r="G39" i="14" s="1"/>
  <c r="G29" i="8"/>
  <c r="G30" i="8" s="1"/>
  <c r="G31" i="8"/>
  <c r="G32" i="8" s="1"/>
  <c r="G39" i="8" s="1"/>
  <c r="H50" i="1"/>
  <c r="H53" i="1" s="1"/>
  <c r="H54" i="1" s="1"/>
  <c r="H56" i="1" s="1"/>
  <c r="H58" i="1" s="1"/>
  <c r="G53" i="1"/>
  <c r="G54" i="1" s="1"/>
  <c r="G56" i="1" s="1"/>
  <c r="G58" i="1" s="1"/>
  <c r="G29" i="15"/>
  <c r="G30" i="15" s="1"/>
  <c r="G31" i="15"/>
  <c r="G32" i="15" s="1"/>
  <c r="G39" i="15" s="1"/>
  <c r="G29" i="6"/>
  <c r="G30" i="6" s="1"/>
  <c r="G31" i="6"/>
  <c r="G32" i="6" s="1"/>
  <c r="G39" i="6" s="1"/>
  <c r="I16" i="17"/>
  <c r="I30" i="17" s="1"/>
  <c r="J16" i="17"/>
  <c r="J30" i="17" s="1"/>
  <c r="J31" i="17" s="1"/>
  <c r="J18" i="17" s="1"/>
  <c r="J19" i="17" s="1"/>
  <c r="J20" i="17" s="1"/>
  <c r="J25" i="17" s="1"/>
  <c r="J32" i="17" s="1"/>
  <c r="J33" i="17" s="1"/>
  <c r="M15" i="4" s="1"/>
  <c r="O15" i="4" s="1"/>
  <c r="P31" i="17"/>
  <c r="N31" i="17"/>
  <c r="N18" i="17" s="1"/>
  <c r="N19" i="17" s="1"/>
  <c r="L31" i="17"/>
  <c r="L18" i="17" s="1"/>
  <c r="L19" i="17" s="1"/>
  <c r="L20" i="17" s="1"/>
  <c r="O31" i="17"/>
  <c r="O18" i="17" s="1"/>
  <c r="O19" i="17" s="1"/>
  <c r="I21" i="9"/>
  <c r="I24" i="9" s="1"/>
  <c r="M31" i="17"/>
  <c r="M18" i="17" s="1"/>
  <c r="M19" i="17" s="1"/>
  <c r="M20" i="17" s="1"/>
  <c r="M16" i="4"/>
  <c r="O16" i="4" s="1"/>
  <c r="K22" i="17"/>
  <c r="K23" i="17"/>
  <c r="K21" i="17"/>
  <c r="K24" i="17"/>
  <c r="I31" i="17"/>
  <c r="I18" i="17" s="1"/>
  <c r="I19" i="17" s="1"/>
  <c r="I20" i="17" s="1"/>
  <c r="I21" i="6"/>
  <c r="I24" i="6" s="1"/>
  <c r="F24" i="6"/>
  <c r="I21" i="8"/>
  <c r="I24" i="8" s="1"/>
  <c r="F20" i="17"/>
  <c r="F25" i="17" s="1"/>
  <c r="F32" i="17" s="1"/>
  <c r="F33" i="17" s="1"/>
  <c r="H19" i="17"/>
  <c r="H20" i="17" s="1"/>
  <c r="G19" i="17"/>
  <c r="G20" i="17" s="1"/>
  <c r="G25" i="17" s="1"/>
  <c r="G32" i="17" s="1"/>
  <c r="G33" i="17" s="1"/>
  <c r="M12" i="4" s="1"/>
  <c r="O12" i="4" s="1"/>
  <c r="P18" i="17"/>
  <c r="P19" i="17" s="1"/>
  <c r="M25" i="17"/>
  <c r="M32" i="17" s="1"/>
  <c r="M33" i="17" s="1"/>
  <c r="M18" i="4" s="1"/>
  <c r="O18" i="4" s="1"/>
  <c r="F24" i="8"/>
  <c r="H34" i="14"/>
  <c r="I21" i="7"/>
  <c r="I24" i="7" s="1"/>
  <c r="F34" i="2"/>
  <c r="F35" i="2" s="1"/>
  <c r="I13" i="3" s="1"/>
  <c r="F17" i="10" s="1"/>
  <c r="F24" i="10" s="1"/>
  <c r="H40" i="14"/>
  <c r="H35" i="14"/>
  <c r="H36" i="11"/>
  <c r="H34" i="11"/>
  <c r="H35" i="11"/>
  <c r="I18" i="3"/>
  <c r="F17" i="15" s="1"/>
  <c r="F24" i="15" s="1"/>
  <c r="I17" i="3"/>
  <c r="F17" i="13" s="1"/>
  <c r="F24" i="13" s="1"/>
  <c r="F17" i="5"/>
  <c r="F24" i="5" s="1"/>
  <c r="H35" i="8"/>
  <c r="H36" i="8"/>
  <c r="H40" i="8"/>
  <c r="H34" i="8"/>
  <c r="I25" i="13"/>
  <c r="I25" i="15"/>
  <c r="H31" i="13"/>
  <c r="H32" i="13" s="1"/>
  <c r="H39" i="13" s="1"/>
  <c r="H37" i="13" s="1"/>
  <c r="H40" i="10"/>
  <c r="H34" i="10"/>
  <c r="H35" i="10"/>
  <c r="H36" i="10"/>
  <c r="H34" i="12"/>
  <c r="H40" i="12"/>
  <c r="H36" i="12"/>
  <c r="H35" i="12"/>
  <c r="H40" i="7"/>
  <c r="H36" i="7"/>
  <c r="H35" i="7"/>
  <c r="H34" i="7"/>
  <c r="H40" i="6"/>
  <c r="H36" i="6"/>
  <c r="H35" i="6"/>
  <c r="H34" i="6"/>
  <c r="H31" i="15"/>
  <c r="H32" i="15" s="1"/>
  <c r="H39" i="15" s="1"/>
  <c r="H37" i="15" s="1"/>
  <c r="I25" i="12"/>
  <c r="I25" i="10"/>
  <c r="H31" i="5"/>
  <c r="H32" i="5" s="1"/>
  <c r="H39" i="5" s="1"/>
  <c r="H40" i="9"/>
  <c r="H34" i="9"/>
  <c r="H35" i="9"/>
  <c r="H36" i="9"/>
  <c r="I25" i="14"/>
  <c r="E13" i="14"/>
  <c r="F13" i="14" s="1"/>
  <c r="F14" i="14" s="1"/>
  <c r="E13" i="10"/>
  <c r="F13" i="10" s="1"/>
  <c r="F14" i="10" s="1"/>
  <c r="E13" i="15"/>
  <c r="F13" i="15" s="1"/>
  <c r="F14" i="15" s="1"/>
  <c r="E13" i="12"/>
  <c r="F13" i="12" s="1"/>
  <c r="F14" i="12" s="1"/>
  <c r="E13" i="8"/>
  <c r="F13" i="8" s="1"/>
  <c r="F14" i="8" s="1"/>
  <c r="E13" i="13"/>
  <c r="F13" i="13" s="1"/>
  <c r="F14" i="13" s="1"/>
  <c r="E13" i="11"/>
  <c r="F13" i="11" s="1"/>
  <c r="F14" i="11" s="1"/>
  <c r="E13" i="9"/>
  <c r="F13" i="9" s="1"/>
  <c r="F14" i="9" s="1"/>
  <c r="E13" i="7"/>
  <c r="F13" i="7" s="1"/>
  <c r="F14" i="7" s="1"/>
  <c r="E13" i="6"/>
  <c r="F13" i="6" s="1"/>
  <c r="F14" i="6" s="1"/>
  <c r="E13" i="5"/>
  <c r="F13" i="5" s="1"/>
  <c r="F14" i="5" s="1"/>
  <c r="G37" i="13" l="1"/>
  <c r="P20" i="4"/>
  <c r="R20" i="4" s="1"/>
  <c r="G36" i="13"/>
  <c r="G34" i="13"/>
  <c r="G40" i="13"/>
  <c r="G35" i="13"/>
  <c r="G36" i="11"/>
  <c r="G40" i="11"/>
  <c r="G35" i="11"/>
  <c r="P18" i="4"/>
  <c r="R18" i="4" s="1"/>
  <c r="G37" i="11"/>
  <c r="G34" i="11"/>
  <c r="G36" i="12"/>
  <c r="G37" i="12"/>
  <c r="G40" i="12"/>
  <c r="G35" i="12"/>
  <c r="P17" i="4"/>
  <c r="R17" i="4" s="1"/>
  <c r="G34" i="12"/>
  <c r="G34" i="5"/>
  <c r="G37" i="5"/>
  <c r="P11" i="4"/>
  <c r="R11" i="4" s="1"/>
  <c r="G36" i="5"/>
  <c r="G40" i="5"/>
  <c r="G35" i="5"/>
  <c r="G37" i="6"/>
  <c r="G34" i="6"/>
  <c r="P12" i="4"/>
  <c r="R12" i="4" s="1"/>
  <c r="G36" i="6"/>
  <c r="G40" i="6"/>
  <c r="G35" i="6"/>
  <c r="G37" i="15"/>
  <c r="G40" i="15"/>
  <c r="G35" i="15"/>
  <c r="P21" i="4"/>
  <c r="R21" i="4" s="1"/>
  <c r="G36" i="15"/>
  <c r="G34" i="15"/>
  <c r="G36" i="9"/>
  <c r="P15" i="4"/>
  <c r="R15" i="4" s="1"/>
  <c r="G40" i="9"/>
  <c r="G35" i="9"/>
  <c r="G34" i="9"/>
  <c r="G37" i="9"/>
  <c r="G40" i="7"/>
  <c r="G35" i="7"/>
  <c r="P14" i="4"/>
  <c r="R14" i="4" s="1"/>
  <c r="G37" i="7"/>
  <c r="G36" i="7"/>
  <c r="G34" i="7"/>
  <c r="G38" i="7" s="1"/>
  <c r="G37" i="14"/>
  <c r="G36" i="14"/>
  <c r="P19" i="4"/>
  <c r="R19" i="4" s="1"/>
  <c r="G34" i="14"/>
  <c r="G40" i="14"/>
  <c r="G35" i="14"/>
  <c r="T24" i="19"/>
  <c r="T21" i="19"/>
  <c r="T17" i="19"/>
  <c r="T20" i="19"/>
  <c r="T22" i="19"/>
  <c r="T19" i="19"/>
  <c r="T14" i="19"/>
  <c r="T15" i="19"/>
  <c r="T16" i="19"/>
  <c r="T18" i="19"/>
  <c r="T23" i="19"/>
  <c r="G36" i="8"/>
  <c r="G37" i="8"/>
  <c r="G40" i="8"/>
  <c r="G35" i="8"/>
  <c r="P13" i="4"/>
  <c r="R13" i="4" s="1"/>
  <c r="G34" i="8"/>
  <c r="J23" i="17"/>
  <c r="J21" i="17"/>
  <c r="J24" i="17"/>
  <c r="J22" i="17"/>
  <c r="O20" i="17"/>
  <c r="O25" i="17" s="1"/>
  <c r="O32" i="17" s="1"/>
  <c r="O33" i="17" s="1"/>
  <c r="O22" i="17" s="1"/>
  <c r="H25" i="17"/>
  <c r="H32" i="17" s="1"/>
  <c r="H33" i="17" s="1"/>
  <c r="M13" i="4" s="1"/>
  <c r="O13" i="4" s="1"/>
  <c r="I25" i="17"/>
  <c r="I32" i="17" s="1"/>
  <c r="I33" i="17" s="1"/>
  <c r="M14" i="4" s="1"/>
  <c r="O14" i="4" s="1"/>
  <c r="F21" i="17"/>
  <c r="M11" i="4"/>
  <c r="O11" i="4" s="1"/>
  <c r="N20" i="17"/>
  <c r="N25" i="17" s="1"/>
  <c r="N32" i="17" s="1"/>
  <c r="N33" i="17" s="1"/>
  <c r="M19" i="4" s="1"/>
  <c r="O19" i="4" s="1"/>
  <c r="P20" i="17"/>
  <c r="P25" i="17" s="1"/>
  <c r="P32" i="17" s="1"/>
  <c r="P33" i="17" s="1"/>
  <c r="F24" i="17"/>
  <c r="F23" i="17"/>
  <c r="F22" i="17"/>
  <c r="G22" i="17"/>
  <c r="G21" i="17"/>
  <c r="G23" i="17"/>
  <c r="G24" i="17"/>
  <c r="L25" i="17"/>
  <c r="L32" i="17" s="1"/>
  <c r="L33" i="17" s="1"/>
  <c r="M17" i="4" s="1"/>
  <c r="O17" i="4" s="1"/>
  <c r="H38" i="8"/>
  <c r="M22" i="17"/>
  <c r="M24" i="17"/>
  <c r="M21" i="17"/>
  <c r="M23" i="17"/>
  <c r="H38" i="6"/>
  <c r="H38" i="9"/>
  <c r="H38" i="10"/>
  <c r="H38" i="11"/>
  <c r="H38" i="12"/>
  <c r="H38" i="7"/>
  <c r="H38" i="14"/>
  <c r="I14" i="3"/>
  <c r="F17" i="12" s="1"/>
  <c r="I11" i="3"/>
  <c r="F17" i="7" s="1"/>
  <c r="I12" i="3"/>
  <c r="F17" i="9" s="1"/>
  <c r="F25" i="6"/>
  <c r="F28" i="6" s="1"/>
  <c r="I28" i="14"/>
  <c r="I29" i="14" s="1"/>
  <c r="I30" i="14" s="1"/>
  <c r="F25" i="5"/>
  <c r="F28" i="5" s="1"/>
  <c r="F25" i="11"/>
  <c r="F28" i="11" s="1"/>
  <c r="F25" i="15"/>
  <c r="F28" i="15" s="1"/>
  <c r="I25" i="7"/>
  <c r="I28" i="10"/>
  <c r="I29" i="10" s="1"/>
  <c r="I30" i="10" s="1"/>
  <c r="I28" i="12"/>
  <c r="I29" i="12" s="1"/>
  <c r="I30" i="12" s="1"/>
  <c r="I25" i="5"/>
  <c r="H36" i="13"/>
  <c r="H34" i="13"/>
  <c r="H40" i="13"/>
  <c r="H35" i="13"/>
  <c r="F25" i="13"/>
  <c r="F28" i="13" s="1"/>
  <c r="F25" i="10"/>
  <c r="F28" i="10" s="1"/>
  <c r="I25" i="6"/>
  <c r="I26" i="6" s="1"/>
  <c r="H40" i="5"/>
  <c r="H36" i="5"/>
  <c r="H35" i="5"/>
  <c r="H34" i="5"/>
  <c r="I25" i="8"/>
  <c r="H40" i="15"/>
  <c r="H36" i="15"/>
  <c r="H35" i="15"/>
  <c r="H34" i="15"/>
  <c r="I25" i="9"/>
  <c r="I28" i="13"/>
  <c r="I29" i="13" s="1"/>
  <c r="I30" i="13" s="1"/>
  <c r="I28" i="15"/>
  <c r="I29" i="15" s="1"/>
  <c r="I30" i="15" s="1"/>
  <c r="F25" i="8"/>
  <c r="F28" i="8" s="1"/>
  <c r="F25" i="14"/>
  <c r="F28" i="14" s="1"/>
  <c r="I25" i="11"/>
  <c r="G38" i="8" l="1"/>
  <c r="W14" i="19"/>
  <c r="W19" i="19" s="1"/>
  <c r="T25" i="19"/>
  <c r="R22" i="4"/>
  <c r="M25" i="19" s="1"/>
  <c r="G38" i="14"/>
  <c r="G38" i="15"/>
  <c r="G38" i="11"/>
  <c r="G38" i="13"/>
  <c r="G38" i="5"/>
  <c r="G38" i="6"/>
  <c r="G38" i="12"/>
  <c r="G38" i="9"/>
  <c r="H21" i="17"/>
  <c r="H24" i="17"/>
  <c r="H22" i="17"/>
  <c r="O21" i="17"/>
  <c r="M20" i="4"/>
  <c r="O20" i="4" s="1"/>
  <c r="N21" i="17"/>
  <c r="O23" i="17"/>
  <c r="O24" i="17"/>
  <c r="N22" i="17"/>
  <c r="N23" i="17"/>
  <c r="H23" i="17"/>
  <c r="I24" i="17"/>
  <c r="N24" i="17"/>
  <c r="I23" i="17"/>
  <c r="I22" i="17"/>
  <c r="I21" i="17"/>
  <c r="P22" i="17"/>
  <c r="M21" i="4"/>
  <c r="O21" i="4" s="1"/>
  <c r="H38" i="5"/>
  <c r="P23" i="17"/>
  <c r="P24" i="17"/>
  <c r="P21" i="17"/>
  <c r="L21" i="17"/>
  <c r="L22" i="17"/>
  <c r="L24" i="17"/>
  <c r="L23" i="17"/>
  <c r="H38" i="13"/>
  <c r="H38" i="15"/>
  <c r="F24" i="7"/>
  <c r="F25" i="7" s="1"/>
  <c r="F24" i="12"/>
  <c r="F25" i="12" s="1"/>
  <c r="F24" i="9"/>
  <c r="F25" i="9" s="1"/>
  <c r="F28" i="9" s="1"/>
  <c r="I28" i="11"/>
  <c r="I29" i="11" s="1"/>
  <c r="I30" i="11" s="1"/>
  <c r="I26" i="11"/>
  <c r="F29" i="8"/>
  <c r="I31" i="15"/>
  <c r="I32" i="15" s="1"/>
  <c r="I39" i="15" s="1"/>
  <c r="I37" i="15" s="1"/>
  <c r="I28" i="8"/>
  <c r="I29" i="8" s="1"/>
  <c r="I30" i="8" s="1"/>
  <c r="I26" i="8"/>
  <c r="E30" i="6"/>
  <c r="F30" i="6" s="1"/>
  <c r="E30" i="15"/>
  <c r="F30" i="15" s="1"/>
  <c r="E30" i="5"/>
  <c r="F30" i="5" s="1"/>
  <c r="I31" i="14"/>
  <c r="I32" i="14" s="1"/>
  <c r="I39" i="14" s="1"/>
  <c r="I37" i="14" s="1"/>
  <c r="I28" i="9"/>
  <c r="I29" i="9" s="1"/>
  <c r="I30" i="9" s="1"/>
  <c r="I26" i="9"/>
  <c r="I28" i="5"/>
  <c r="I29" i="5" s="1"/>
  <c r="I30" i="5" s="1"/>
  <c r="I31" i="10"/>
  <c r="I32" i="10" s="1"/>
  <c r="I39" i="10" s="1"/>
  <c r="I37" i="10" s="1"/>
  <c r="I26" i="5"/>
  <c r="E30" i="11"/>
  <c r="F30" i="11" s="1"/>
  <c r="I31" i="13"/>
  <c r="I32" i="13" s="1"/>
  <c r="I39" i="13" s="1"/>
  <c r="I37" i="13" s="1"/>
  <c r="I28" i="6"/>
  <c r="I29" i="6" s="1"/>
  <c r="I30" i="6" s="1"/>
  <c r="E30" i="13"/>
  <c r="F30" i="13" s="1"/>
  <c r="I31" i="12"/>
  <c r="I32" i="12" s="1"/>
  <c r="I39" i="12" s="1"/>
  <c r="I37" i="12" s="1"/>
  <c r="I28" i="7"/>
  <c r="I26" i="7"/>
  <c r="F28" i="12" l="1"/>
  <c r="F29" i="12" s="1"/>
  <c r="F28" i="7"/>
  <c r="E30" i="7" s="1"/>
  <c r="F30" i="7" s="1"/>
  <c r="F31" i="7" s="1"/>
  <c r="F32" i="7" s="1"/>
  <c r="F39" i="7" s="1"/>
  <c r="F37" i="7" s="1"/>
  <c r="F29" i="6"/>
  <c r="I40" i="15"/>
  <c r="G21" i="4" s="1"/>
  <c r="I21" i="4" s="1"/>
  <c r="I36" i="15"/>
  <c r="I35" i="15"/>
  <c r="I34" i="15"/>
  <c r="I40" i="10"/>
  <c r="G16" i="4" s="1"/>
  <c r="I16" i="4" s="1"/>
  <c r="I35" i="10"/>
  <c r="I36" i="10"/>
  <c r="I34" i="10"/>
  <c r="I31" i="9"/>
  <c r="I32" i="9" s="1"/>
  <c r="I39" i="9" s="1"/>
  <c r="I37" i="9" s="1"/>
  <c r="I40" i="14"/>
  <c r="G19" i="4" s="1"/>
  <c r="I19" i="4" s="1"/>
  <c r="I36" i="14"/>
  <c r="I35" i="14"/>
  <c r="I34" i="14"/>
  <c r="F31" i="5"/>
  <c r="F32" i="5" s="1"/>
  <c r="F39" i="5" s="1"/>
  <c r="F37" i="5" s="1"/>
  <c r="F29" i="15"/>
  <c r="I34" i="12"/>
  <c r="I40" i="12"/>
  <c r="G17" i="4" s="1"/>
  <c r="I17" i="4" s="1"/>
  <c r="I35" i="12"/>
  <c r="I36" i="12"/>
  <c r="F31" i="13"/>
  <c r="F32" i="13" s="1"/>
  <c r="F39" i="13" s="1"/>
  <c r="F37" i="13" s="1"/>
  <c r="I31" i="6"/>
  <c r="I32" i="6" s="1"/>
  <c r="I39" i="6" s="1"/>
  <c r="I37" i="6" s="1"/>
  <c r="F29" i="14"/>
  <c r="I31" i="5"/>
  <c r="I32" i="5" s="1"/>
  <c r="I39" i="5" s="1"/>
  <c r="F29" i="5"/>
  <c r="E30" i="10"/>
  <c r="F30" i="10" s="1"/>
  <c r="F31" i="10" s="1"/>
  <c r="F32" i="10" s="1"/>
  <c r="F39" i="10" s="1"/>
  <c r="F37" i="10" s="1"/>
  <c r="F29" i="9"/>
  <c r="E30" i="8"/>
  <c r="F30" i="8" s="1"/>
  <c r="F31" i="8" s="1"/>
  <c r="F32" i="8" s="1"/>
  <c r="F39" i="8" s="1"/>
  <c r="F37" i="8" s="1"/>
  <c r="I31" i="11"/>
  <c r="I32" i="11" s="1"/>
  <c r="I39" i="11" s="1"/>
  <c r="I37" i="11" s="1"/>
  <c r="I40" i="13"/>
  <c r="G20" i="4" s="1"/>
  <c r="I20" i="4" s="1"/>
  <c r="I36" i="13"/>
  <c r="I35" i="13"/>
  <c r="I34" i="13"/>
  <c r="F31" i="11"/>
  <c r="F32" i="11" s="1"/>
  <c r="F39" i="11" s="1"/>
  <c r="F37" i="11" s="1"/>
  <c r="F31" i="15"/>
  <c r="F32" i="15" s="1"/>
  <c r="F39" i="15" s="1"/>
  <c r="F37" i="15" s="1"/>
  <c r="I29" i="7"/>
  <c r="I30" i="7" s="1"/>
  <c r="I31" i="7" s="1"/>
  <c r="I32" i="7" s="1"/>
  <c r="I39" i="7" s="1"/>
  <c r="I37" i="7" s="1"/>
  <c r="F29" i="13"/>
  <c r="E30" i="14"/>
  <c r="F30" i="14" s="1"/>
  <c r="F31" i="14" s="1"/>
  <c r="F32" i="14" s="1"/>
  <c r="F39" i="14" s="1"/>
  <c r="F37" i="14" s="1"/>
  <c r="F29" i="11"/>
  <c r="F31" i="6"/>
  <c r="F32" i="6" s="1"/>
  <c r="F39" i="6" s="1"/>
  <c r="F37" i="6" s="1"/>
  <c r="F29" i="10"/>
  <c r="I31" i="8"/>
  <c r="I32" i="8" s="1"/>
  <c r="I39" i="8" s="1"/>
  <c r="I37" i="8" s="1"/>
  <c r="E30" i="9"/>
  <c r="F30" i="9" s="1"/>
  <c r="F31" i="9" s="1"/>
  <c r="F32" i="9" s="1"/>
  <c r="F39" i="9" s="1"/>
  <c r="F37" i="9" s="1"/>
  <c r="F29" i="7" l="1"/>
  <c r="E30" i="12"/>
  <c r="F30" i="12" s="1"/>
  <c r="F31" i="12" s="1"/>
  <c r="F32" i="12" s="1"/>
  <c r="F39" i="12" s="1"/>
  <c r="F37" i="12" s="1"/>
  <c r="I38" i="10"/>
  <c r="I38" i="12"/>
  <c r="I38" i="14"/>
  <c r="I38" i="13"/>
  <c r="I38" i="15"/>
  <c r="I40" i="7"/>
  <c r="G14" i="4" s="1"/>
  <c r="I14" i="4" s="1"/>
  <c r="I36" i="7"/>
  <c r="I35" i="7"/>
  <c r="I34" i="7"/>
  <c r="F40" i="8"/>
  <c r="F36" i="8"/>
  <c r="F35" i="8"/>
  <c r="F34" i="8"/>
  <c r="F40" i="14"/>
  <c r="F36" i="14"/>
  <c r="F35" i="14"/>
  <c r="F34" i="14"/>
  <c r="F40" i="9"/>
  <c r="F36" i="9"/>
  <c r="F35" i="9"/>
  <c r="F34" i="9"/>
  <c r="F36" i="10"/>
  <c r="F35" i="10"/>
  <c r="F34" i="10"/>
  <c r="F40" i="10"/>
  <c r="I36" i="8"/>
  <c r="I40" i="8"/>
  <c r="G13" i="4" s="1"/>
  <c r="I13" i="4" s="1"/>
  <c r="I34" i="8"/>
  <c r="I35" i="8"/>
  <c r="I40" i="5"/>
  <c r="G11" i="4" s="1"/>
  <c r="I11" i="4" s="1"/>
  <c r="I36" i="5"/>
  <c r="I35" i="5"/>
  <c r="I34" i="5"/>
  <c r="I40" i="6"/>
  <c r="G12" i="4" s="1"/>
  <c r="I12" i="4" s="1"/>
  <c r="I36" i="6"/>
  <c r="I35" i="6"/>
  <c r="I34" i="6"/>
  <c r="F40" i="5"/>
  <c r="F36" i="5"/>
  <c r="F35" i="5"/>
  <c r="F34" i="5"/>
  <c r="F40" i="11"/>
  <c r="F34" i="11"/>
  <c r="F36" i="11"/>
  <c r="F35" i="11"/>
  <c r="F40" i="7"/>
  <c r="F36" i="7"/>
  <c r="F35" i="7"/>
  <c r="F34" i="7"/>
  <c r="F40" i="6"/>
  <c r="J12" i="4" s="1"/>
  <c r="L12" i="4" s="1"/>
  <c r="F36" i="6"/>
  <c r="F35" i="6"/>
  <c r="F34" i="6"/>
  <c r="I40" i="11"/>
  <c r="G18" i="4" s="1"/>
  <c r="I18" i="4" s="1"/>
  <c r="I36" i="11"/>
  <c r="I35" i="11"/>
  <c r="I34" i="11"/>
  <c r="F40" i="13"/>
  <c r="F36" i="13"/>
  <c r="F35" i="13"/>
  <c r="F34" i="13"/>
  <c r="I40" i="9"/>
  <c r="G15" i="4" s="1"/>
  <c r="I15" i="4" s="1"/>
  <c r="I34" i="9"/>
  <c r="I35" i="9"/>
  <c r="I36" i="9"/>
  <c r="F40" i="15"/>
  <c r="F36" i="15"/>
  <c r="F35" i="15"/>
  <c r="F34" i="15"/>
  <c r="F35" i="12"/>
  <c r="F34" i="12"/>
  <c r="F36" i="12" l="1"/>
  <c r="F38" i="12" s="1"/>
  <c r="F40" i="12"/>
  <c r="S12" i="4"/>
  <c r="O15" i="19" s="1"/>
  <c r="I38" i="11"/>
  <c r="I38" i="5"/>
  <c r="I38" i="6"/>
  <c r="F38" i="7"/>
  <c r="F38" i="5"/>
  <c r="F38" i="15"/>
  <c r="F38" i="6"/>
  <c r="F38" i="14"/>
  <c r="I38" i="7"/>
  <c r="F38" i="10"/>
  <c r="F38" i="11"/>
  <c r="F38" i="9"/>
  <c r="F38" i="8"/>
  <c r="I38" i="9"/>
  <c r="F38" i="13"/>
  <c r="I38" i="8"/>
  <c r="F41" i="5"/>
  <c r="J11" i="4"/>
  <c r="L11" i="4" s="1"/>
  <c r="S11" i="4" s="1"/>
  <c r="E11" i="4"/>
  <c r="F11" i="4" s="1"/>
  <c r="F41" i="10"/>
  <c r="J16" i="4"/>
  <c r="L16" i="4" s="1"/>
  <c r="S16" i="4" s="1"/>
  <c r="E16" i="4"/>
  <c r="F16" i="4" s="1"/>
  <c r="F41" i="6"/>
  <c r="E12" i="4"/>
  <c r="F12" i="4" s="1"/>
  <c r="I22" i="4"/>
  <c r="H25" i="19" s="1"/>
  <c r="F41" i="13"/>
  <c r="J20" i="4"/>
  <c r="E20" i="4"/>
  <c r="F20" i="4" s="1"/>
  <c r="F41" i="12"/>
  <c r="J17" i="4"/>
  <c r="L17" i="4" s="1"/>
  <c r="S17" i="4" s="1"/>
  <c r="E17" i="4"/>
  <c r="F17" i="4" s="1"/>
  <c r="F41" i="15"/>
  <c r="J21" i="4"/>
  <c r="E21" i="4"/>
  <c r="F21" i="4" s="1"/>
  <c r="F41" i="7"/>
  <c r="J14" i="4"/>
  <c r="E14" i="4"/>
  <c r="F14" i="4" s="1"/>
  <c r="F41" i="11"/>
  <c r="J18" i="4"/>
  <c r="E18" i="4"/>
  <c r="F18" i="4" s="1"/>
  <c r="F41" i="9"/>
  <c r="J15" i="4"/>
  <c r="E15" i="4"/>
  <c r="F15" i="4" s="1"/>
  <c r="F41" i="14"/>
  <c r="J19" i="4"/>
  <c r="E19" i="4"/>
  <c r="F19" i="4" s="1"/>
  <c r="F41" i="8"/>
  <c r="J13" i="4"/>
  <c r="E13" i="4"/>
  <c r="F13" i="4" s="1"/>
  <c r="L19" i="4" l="1"/>
  <c r="S19" i="4" s="1"/>
  <c r="L21" i="4"/>
  <c r="S21" i="4" s="1"/>
  <c r="L20" i="4"/>
  <c r="S20" i="4" s="1"/>
  <c r="L13" i="4"/>
  <c r="S13" i="4" s="1"/>
  <c r="L18" i="4"/>
  <c r="S18" i="4" s="1"/>
  <c r="L15" i="4"/>
  <c r="S15" i="4" s="1"/>
  <c r="L14" i="4"/>
  <c r="T12" i="4"/>
  <c r="Q15" i="19" s="1"/>
  <c r="F22" i="4"/>
  <c r="O22" i="4"/>
  <c r="L25" i="19" s="1"/>
  <c r="M22" i="4"/>
  <c r="J22" i="4"/>
  <c r="S14" i="4" l="1"/>
  <c r="O17" i="19" s="1"/>
  <c r="O24" i="19"/>
  <c r="T21" i="4"/>
  <c r="Q24" i="19" s="1"/>
  <c r="O22" i="19"/>
  <c r="T19" i="4"/>
  <c r="Q22" i="19" s="1"/>
  <c r="O21" i="19"/>
  <c r="T18" i="4"/>
  <c r="Q21" i="19" s="1"/>
  <c r="O16" i="19"/>
  <c r="T13" i="4"/>
  <c r="Q16" i="19" s="1"/>
  <c r="O23" i="19"/>
  <c r="T20" i="4"/>
  <c r="Q23" i="19" s="1"/>
  <c r="O18" i="19"/>
  <c r="T15" i="4"/>
  <c r="Q18" i="19" s="1"/>
  <c r="T17" i="4"/>
  <c r="Q20" i="19" s="1"/>
  <c r="O20" i="19"/>
  <c r="T16" i="4"/>
  <c r="Q19" i="19" s="1"/>
  <c r="O19" i="19"/>
  <c r="L22" i="4"/>
  <c r="K25" i="19" s="1"/>
  <c r="O25" i="19" s="1"/>
  <c r="O14" i="19"/>
  <c r="T14" i="4" l="1"/>
  <c r="Q17" i="19" s="1"/>
  <c r="S22" i="4"/>
  <c r="T11" i="4"/>
  <c r="Q14" i="19" s="1"/>
  <c r="V14" i="19" l="1"/>
  <c r="V19" i="19" s="1"/>
  <c r="Q25" i="19"/>
  <c r="T22" i="4"/>
  <c r="U11" i="4"/>
  <c r="T23" i="4" l="1"/>
  <c r="A7" i="12" l="1"/>
  <c r="B20" i="19"/>
  <c r="K5" i="17"/>
  <c r="B19" i="19"/>
  <c r="A39" i="12" l="1"/>
  <c r="A40" i="12"/>
  <c r="B10" i="12"/>
  <c r="A7" i="10"/>
  <c r="L5" i="17"/>
  <c r="A39" i="10" l="1"/>
  <c r="B10" i="10"/>
  <c r="A40" i="10"/>
</calcChain>
</file>

<file path=xl/sharedStrings.xml><?xml version="1.0" encoding="utf-8"?>
<sst xmlns="http://schemas.openxmlformats.org/spreadsheetml/2006/main" count="1200" uniqueCount="472">
  <si>
    <t>Tribunal Regional Federal da 6ª Região</t>
  </si>
  <si>
    <t>Seção de Gestão e Suporte a Contratos de Terceirização - Seget/MG</t>
  </si>
  <si>
    <t>ANEXO IX</t>
  </si>
  <si>
    <t>Planilha de Encargos Sociais e Trabalhistas</t>
  </si>
  <si>
    <t>ITEM</t>
  </si>
  <si>
    <t>DESCRIÇÃO</t>
  </si>
  <si>
    <t>PERCENTUAL</t>
  </si>
  <si>
    <t>Grupo A</t>
  </si>
  <si>
    <t>Encargos Previdenciários, FGTS e Outras Contribuições</t>
  </si>
  <si>
    <t>PREVIDÊNCIA SOCIAL - INSS</t>
  </si>
  <si>
    <t>SESI ou SESC</t>
  </si>
  <si>
    <t>SENAI ou SENAC</t>
  </si>
  <si>
    <t>INCRA</t>
  </si>
  <si>
    <t>Salário Educação</t>
  </si>
  <si>
    <t>FGTS</t>
  </si>
  <si>
    <t>Seguro Acidentes Trabalho - RAT</t>
  </si>
  <si>
    <t>SEBRAE</t>
  </si>
  <si>
    <t>Total Grupo A - Encargos previdenciários, FGTS e Outras Contribuições</t>
  </si>
  <si>
    <t>Grupo B</t>
  </si>
  <si>
    <t>Grupo B.1</t>
  </si>
  <si>
    <t>13º Salário e Adicional de Férias</t>
  </si>
  <si>
    <t>13º Salário</t>
  </si>
  <si>
    <t>Adicional de Férias</t>
  </si>
  <si>
    <t>Subtotal</t>
  </si>
  <si>
    <t>Incidência do Submódulo 4.1 sobre 13º salário e adicional de férias</t>
  </si>
  <si>
    <t>Total Grupo B.1 - 13º salário e adicional de férias</t>
  </si>
  <si>
    <t>Grupo B.2</t>
  </si>
  <si>
    <t>Afastamento Maternidade</t>
  </si>
  <si>
    <t>Licença Maternidade</t>
  </si>
  <si>
    <t>Incidência do submódulo 4.1 sobre o afastamento maternidade</t>
  </si>
  <si>
    <t>Total Grupo B.2 - Afastamento maternidade</t>
  </si>
  <si>
    <t>Grupo B.3</t>
  </si>
  <si>
    <t>Provisão para Rescisão</t>
  </si>
  <si>
    <t>Aviso Prévio Indenizado</t>
  </si>
  <si>
    <t>Incidência do FGTS sobre o Aviso Prévio Indenizado</t>
  </si>
  <si>
    <t>Multa do FGTS do Aviso Prévio Indenizado</t>
  </si>
  <si>
    <t>Aviso Prévio Trabalhado</t>
  </si>
  <si>
    <t xml:space="preserve">Incidência do submódulo 4.1 sobre o Aviso Prévio Trabalhado </t>
  </si>
  <si>
    <t xml:space="preserve">Multa do FGTS do Aviso Prévio Trabalhado </t>
  </si>
  <si>
    <t>Total Grupo B.3 - Provisão para rescisão</t>
  </si>
  <si>
    <t>Grupo B.4</t>
  </si>
  <si>
    <t>Composição do Custo de Reposição do Profissional Ausente</t>
  </si>
  <si>
    <t>Remuneração do profissional substituto</t>
  </si>
  <si>
    <t>Ausência por doença</t>
  </si>
  <si>
    <t>Licença Paternidade</t>
  </si>
  <si>
    <t>Ausências Legais</t>
  </si>
  <si>
    <t>Ausência por acidente de trabalho</t>
  </si>
  <si>
    <t>Incidência do submódulo 4.1 sobre custo de reposição</t>
  </si>
  <si>
    <t>Total Grupo B.4 - Custo de reposição do profissional ausente</t>
  </si>
  <si>
    <t>Grupo C</t>
  </si>
  <si>
    <t>Outros (especificar)</t>
  </si>
  <si>
    <t>Indenização Adicional</t>
  </si>
  <si>
    <t>Total Grupo C - Indenização Adicional</t>
  </si>
  <si>
    <t>Quadro Resumo - Encargos Sociais e Trabalhistas</t>
  </si>
  <si>
    <t>13º Salário + Adicional de Férias</t>
  </si>
  <si>
    <t>Custo de Rescisão</t>
  </si>
  <si>
    <t>Custo de Reposição do profissional Ausente</t>
  </si>
  <si>
    <t>Total dos Encargos Sociais Trabalhistas</t>
  </si>
  <si>
    <t>OBSERVAÇÃO:</t>
  </si>
  <si>
    <t>Não deverá haver alteração nos itens 9(9,09%), 10(3,03%), 13(3,49%) e 16(9,09%) dos percentuais acima, considerando que a Justiça Federal segue as diretrizes da IN 1/2016, de 20 de janeiro de 2016, do CJF.</t>
  </si>
  <si>
    <t>As especificações dos uniformes constam no Anexo IV - Uniformes</t>
  </si>
  <si>
    <t>CATEGORIA</t>
  </si>
  <si>
    <t>UNIFORME</t>
  </si>
  <si>
    <t>QUANT.</t>
  </si>
  <si>
    <t>TOTAL DO QUANTITATIVO</t>
  </si>
  <si>
    <t>MÉDIA DE PREÇO</t>
  </si>
  <si>
    <t>PREÇO UNITÁRIO</t>
  </si>
  <si>
    <t>Ascensorista</t>
  </si>
  <si>
    <t>Calça</t>
  </si>
  <si>
    <t>Blazer</t>
  </si>
  <si>
    <t>Camisa</t>
  </si>
  <si>
    <t>Calçado</t>
  </si>
  <si>
    <t>Cinto</t>
  </si>
  <si>
    <t>Gravata</t>
  </si>
  <si>
    <t>Soma</t>
  </si>
  <si>
    <t>CÁLCULO VALOR DO REPASSE MENSAL ASCENSORISTA</t>
  </si>
  <si>
    <t>Atendente</t>
  </si>
  <si>
    <t>CÁLCULO VALOR DO REPASSE MENSAL ATENDENTE</t>
  </si>
  <si>
    <t>Auxiliar Administrativo - Classes I,II, III e IV</t>
  </si>
  <si>
    <t xml:space="preserve">CÁLCULO VALOR DO REPASSE MENSAL AUXILIARES ADMINISTRATIVO CLASSE I a IV </t>
  </si>
  <si>
    <t>Operador, Editor de Áudio e Vídeo</t>
  </si>
  <si>
    <t>CÁLCULO VALOR DO REPASSE MENSAL OPERADOR E EDITOR DE ÁUDIO E VÍDEO</t>
  </si>
  <si>
    <t>Recepcionista</t>
  </si>
  <si>
    <t>CÁLCULO VALOR DO REPASSE MENSAL RECEPCIONISTA</t>
  </si>
  <si>
    <t>Assistente de Apoio Financeiro</t>
  </si>
  <si>
    <t>CÁLCULO VALOR DO REPASSE MENSAL ASSISTENTE  DE APOIO FINANCEIRO</t>
  </si>
  <si>
    <t>Encarregado Geral</t>
  </si>
  <si>
    <t>CÁLCULO VALOR DO REPASSE MENSAL ENCARREGADO GERAL</t>
  </si>
  <si>
    <t>Valores em R$</t>
  </si>
  <si>
    <t>Elemento Despesa</t>
  </si>
  <si>
    <t>Descrição das Categorias</t>
  </si>
  <si>
    <t>Carga Horária (horas)</t>
  </si>
  <si>
    <t>Percentual Adicional</t>
  </si>
  <si>
    <t>Uniforme</t>
  </si>
  <si>
    <t>Auxiliar Administrativo - Classe I</t>
  </si>
  <si>
    <t>Auxiliar Administrativo - Classe II</t>
  </si>
  <si>
    <t>Assistente de Apoio Financeiro (Nível Superior)</t>
  </si>
  <si>
    <t>Operador e Editor de Áudio e Vídeo</t>
  </si>
  <si>
    <t xml:space="preserve">Recepcionista </t>
  </si>
  <si>
    <t>ENCARGOS SOCIAIS E TRABALHISTAS</t>
  </si>
  <si>
    <t>Percentual de Encargos</t>
  </si>
  <si>
    <t>BENEFÍCIOS</t>
  </si>
  <si>
    <t>Seguro de Vida em Grupo</t>
  </si>
  <si>
    <t>Programa de Assistência Familiar</t>
  </si>
  <si>
    <t>Transporte</t>
  </si>
  <si>
    <t>Vale Alimentação</t>
  </si>
  <si>
    <t>MONTANTE C</t>
  </si>
  <si>
    <t>Despesas Administrativas</t>
  </si>
  <si>
    <t>Lucro</t>
  </si>
  <si>
    <t>COFINS</t>
  </si>
  <si>
    <t>PIS/PASEP</t>
  </si>
  <si>
    <t>ISSQN</t>
  </si>
  <si>
    <t>PREÇO MENSAL INTEGRAL</t>
  </si>
  <si>
    <t xml:space="preserve">MÊS: </t>
  </si>
  <si>
    <t>VALORES EM R$</t>
  </si>
  <si>
    <t>ELEMENTO DE DESPESA</t>
  </si>
  <si>
    <t>CATEGORIA PROFISSIONAL</t>
  </si>
  <si>
    <t>FATURAMENTO MENSAL</t>
  </si>
  <si>
    <t>TOTAL DO FATURAMENTO MENSAL</t>
  </si>
  <si>
    <t>TOTAL DO FATURAMENTO POR ELEMENTO DE DESPESA</t>
  </si>
  <si>
    <t>CUSTO MENSAL</t>
  </si>
  <si>
    <t>GLOSA VALE-TRANSPORTE</t>
  </si>
  <si>
    <t>GLOSA DE ATRASOS, FALTAS E DESCONTO DO TITULAR EM FÉRIAS (sem material)</t>
  </si>
  <si>
    <t>Homem-Mês</t>
  </si>
  <si>
    <t>Custo Mensal  do vale-transporte da categoria com Encargos</t>
  </si>
  <si>
    <t xml:space="preserve">GLOSA </t>
  </si>
  <si>
    <t>Glosa de Atrasos e Faltas</t>
  </si>
  <si>
    <t>Desconto Mensal do Titular em Férias sem substituição</t>
  </si>
  <si>
    <t>Quant</t>
  </si>
  <si>
    <t>Custo Unitário da categoria</t>
  </si>
  <si>
    <t>Custo Mensal da categoria</t>
  </si>
  <si>
    <t>Dias de afastamento</t>
  </si>
  <si>
    <t>Valor da Glosa do vale-transporte da categoria</t>
  </si>
  <si>
    <t>Custo Homem-Mês               (sem material)</t>
  </si>
  <si>
    <t>Quant. Atrasos e Faltas</t>
  </si>
  <si>
    <t>Valor da Glosa de Atrasos e Faltas</t>
  </si>
  <si>
    <t>Custo Unitário da categoria Planilha de Férias</t>
  </si>
  <si>
    <t>Dias de Férias</t>
  </si>
  <si>
    <t xml:space="preserve">Valor do Desconto Mensal </t>
  </si>
  <si>
    <t>Auxiliar Administrativo - Classe III (Nível Superior)</t>
  </si>
  <si>
    <t>Auxiliar Administrativo - Classe IV (Nível Superior)</t>
  </si>
  <si>
    <t xml:space="preserve">TOTAL DO FATURAMENTO MENSAL </t>
  </si>
  <si>
    <t>TOTAL DO FATURAMENTO ANUAL</t>
  </si>
  <si>
    <t>Planilha de Custo e Formação de Preço Mensal Estimativo Por Categoria</t>
  </si>
  <si>
    <t>CUSTO UNITÁRIO DA CATEGORIA</t>
  </si>
  <si>
    <t>VALOR MATERIAL</t>
  </si>
  <si>
    <t>VALOR VALE- TRANSPORTE</t>
  </si>
  <si>
    <t>33390.37.01 - Apoio Administrativo, Técnico e Operacional</t>
  </si>
  <si>
    <t>Item</t>
  </si>
  <si>
    <t>Função</t>
  </si>
  <si>
    <t>Carga Horária Mensal</t>
  </si>
  <si>
    <t xml:space="preserve"> Salário Base</t>
  </si>
  <si>
    <t>Valor Unitário</t>
  </si>
  <si>
    <t>TOTAL DA REMUNERAÇÃO</t>
  </si>
  <si>
    <t xml:space="preserve">Encargos sociais e trabalhistas                         </t>
  </si>
  <si>
    <t>Total do Montante "A" ( Mão-de-Obra)</t>
  </si>
  <si>
    <t>MONTANTE "B" - INSUMOS</t>
  </si>
  <si>
    <t>Itens</t>
  </si>
  <si>
    <t>Quant.</t>
  </si>
  <si>
    <t>Valor Unitario</t>
  </si>
  <si>
    <t xml:space="preserve">Seguro de vida  </t>
  </si>
  <si>
    <t>Vale-Alimentação</t>
  </si>
  <si>
    <t>Vale-Transporte</t>
  </si>
  <si>
    <t>Total do Montante "B" (Insumos)</t>
  </si>
  <si>
    <t>Montante "A" + Montante "B"</t>
  </si>
  <si>
    <t>MONTANTE "C" - DEMAIS COMPONENTES</t>
  </si>
  <si>
    <t>ITENS</t>
  </si>
  <si>
    <t>Percentual</t>
  </si>
  <si>
    <t>Despesas administrativas/operacionais</t>
  </si>
  <si>
    <t>Base de cálculo do lucro</t>
  </si>
  <si>
    <t>Total do Montante "C" (Demais componentes)</t>
  </si>
  <si>
    <t>Montante "A" + Montante "B" + Montante "C"</t>
  </si>
  <si>
    <t>MONTANTE "D" - TRIBUTOS</t>
  </si>
  <si>
    <t>Total do Montante "D" (Tributos)</t>
  </si>
  <si>
    <t>FATOR K</t>
  </si>
  <si>
    <t xml:space="preserve">DESCRIÇÃO </t>
  </si>
  <si>
    <t>Valor em R$</t>
  </si>
  <si>
    <t>4.5</t>
  </si>
  <si>
    <t>Módulo 1 - Total da Remuneração</t>
  </si>
  <si>
    <t>A</t>
  </si>
  <si>
    <t>G</t>
  </si>
  <si>
    <t>Total do Custo MENSAL de Reposição do Profissional Ausente em Férias</t>
  </si>
  <si>
    <t>Total do Custo ANUAL de Reposição do Profissional Ausente em Férias</t>
  </si>
  <si>
    <t>Módulo 2 - Benefícios Mensais e Diários</t>
  </si>
  <si>
    <t>B</t>
  </si>
  <si>
    <t>C</t>
  </si>
  <si>
    <t>Outros (sem concessão do intervalo intrajornada)</t>
  </si>
  <si>
    <t>Total de Benefícios Mensais e Diários</t>
  </si>
  <si>
    <t>Módulo 5 - Custos Indiretos, Lucros e Tributos</t>
  </si>
  <si>
    <t>Custos Indiretos (Despesas Operacionais e Administrativas)</t>
  </si>
  <si>
    <t>Tributos</t>
  </si>
  <si>
    <t>C.1</t>
  </si>
  <si>
    <t>Tributos Federais (PIS E COFINS)</t>
  </si>
  <si>
    <t>C.2</t>
  </si>
  <si>
    <t>Tributos Estaduais (especificar)</t>
  </si>
  <si>
    <t>C.3</t>
  </si>
  <si>
    <t>Tributos Municipais (ISS)</t>
  </si>
  <si>
    <t>C.4</t>
  </si>
  <si>
    <t>Total dos Custos Indiretos e Tributos</t>
  </si>
  <si>
    <t>CUSTO TOTAL DO PROFISSIONAL SUBSTITUTO</t>
  </si>
  <si>
    <t>Resumo do Custo Por Empregado Substituto do Titular em Férias</t>
  </si>
  <si>
    <t>Mão de Obra Vinculada à Execução Contratual  (Valor Por Empregado)</t>
  </si>
  <si>
    <t>Módulo 1 - Composição Remuneração * 12 (Anual)</t>
  </si>
  <si>
    <t>Subtotal (A+B)</t>
  </si>
  <si>
    <t>E</t>
  </si>
  <si>
    <t>Módulo 5 - Custos Indiretos, Tributos e Lucro</t>
  </si>
  <si>
    <t xml:space="preserve">Valor Total Mensal Por Empregado Substituto do Titular em Férias </t>
  </si>
  <si>
    <t>Vale Transporte</t>
  </si>
  <si>
    <t>Auxiliar de Almoxarifado</t>
  </si>
  <si>
    <t>CÁLCULO VALOR DO REPASSE MENSAL AUXILIAR DE ALMOXARIFADO</t>
  </si>
  <si>
    <t>Belo Horizonte - MG</t>
  </si>
  <si>
    <t>CUSTO ESTIMATIVO DE PREÇO DOS UNIFORMES</t>
  </si>
  <si>
    <t>PLANILHA DE DADOS</t>
  </si>
  <si>
    <t>PLANILHA DE CUSTOS E FORMAÇÃO DE PREÇOS - RESUMO</t>
  </si>
  <si>
    <t>Remuneração Total
(Grupo A)
(R$)</t>
  </si>
  <si>
    <t>Salário Base II
(Conforme Jornada Contratada)
(R$)</t>
  </si>
  <si>
    <t>Uniforme
(R$)</t>
  </si>
  <si>
    <t>DADOS DA PROPOSTA</t>
  </si>
  <si>
    <t>Data de apresentação da proposta</t>
  </si>
  <si>
    <t>ABERTURA DA PROPOSTA</t>
  </si>
  <si>
    <t>Informar data de abertura do certame / data final para cadastro da proposta comercial.</t>
  </si>
  <si>
    <t>Sindicato utilizado</t>
  </si>
  <si>
    <t>Informar o sindicato utilizado pela Licitante.</t>
  </si>
  <si>
    <t>Número de registro da CCT - Código MTE</t>
  </si>
  <si>
    <t>Informar o número de registro da Convenção Coletiva de Tralbalho utilizada no processo licitatório, junto ao Ministério do Trabalho e Emprego.</t>
  </si>
  <si>
    <t>Vigência da CCT utilizada</t>
  </si>
  <si>
    <t>Informar a vigência da Convenção Coletiva de Trabalho utilizada no processo licitatório.</t>
  </si>
  <si>
    <t>Data base da categoria</t>
  </si>
  <si>
    <t>Informar a data base da Convenção Coletiva de Trabalho utilizada no processo licitatório.</t>
  </si>
  <si>
    <t xml:space="preserve"> -</t>
  </si>
  <si>
    <t>SAT - Seguro Acidentes Trabalho</t>
  </si>
  <si>
    <t>RAT (Atividade Principal)</t>
  </si>
  <si>
    <t>Informar percentual correspondente à atividade preponderante da Licitante.</t>
  </si>
  <si>
    <t>FAP (Conforme FapWeb)</t>
  </si>
  <si>
    <t>Informar Fator extraído do documento FapWeb da Licitante.</t>
  </si>
  <si>
    <t>Programa de Assistência Familiar (PAF)</t>
  </si>
  <si>
    <t>3.1</t>
  </si>
  <si>
    <t>3.2</t>
  </si>
  <si>
    <t>Valor da tarifa 1</t>
  </si>
  <si>
    <t>Valor da tarifa 2</t>
  </si>
  <si>
    <t>Inserir a quantidade de tarifas diárias.</t>
  </si>
  <si>
    <t>Inserir o valor unitário da tarifa 1.</t>
  </si>
  <si>
    <t>3.3</t>
  </si>
  <si>
    <t>4.1</t>
  </si>
  <si>
    <t>4.2</t>
  </si>
  <si>
    <t>Valor Unitário do Ticket</t>
  </si>
  <si>
    <t>3.4</t>
  </si>
  <si>
    <t>Nº de Tarifas por dia (tarifa 1)</t>
  </si>
  <si>
    <t>Nº de Tarifas por dia (tarifa 2)</t>
  </si>
  <si>
    <t>Número de dias para fornecimento</t>
  </si>
  <si>
    <t>Custeio do trabalhador (participação legal)</t>
  </si>
  <si>
    <t>Número de dias fixo - Conforme item 11.4 do Termo de Referência.</t>
  </si>
  <si>
    <r>
      <t xml:space="preserve">Salário Base I (para 220h/m)
</t>
    </r>
    <r>
      <rPr>
        <b/>
        <sz val="11"/>
        <rFont val="Calibri"/>
        <family val="2"/>
        <scheme val="minor"/>
      </rPr>
      <t>OBS 1</t>
    </r>
  </si>
  <si>
    <r>
      <t xml:space="preserve">OBS 1: </t>
    </r>
    <r>
      <rPr>
        <sz val="11"/>
        <rFont val="Calibri"/>
        <family val="2"/>
        <scheme val="minor"/>
      </rPr>
      <t>Inserir piso salarial correspondente à jornada de 220h mensais.</t>
    </r>
  </si>
  <si>
    <t>Outros (inserir somente com a justificativa legal)</t>
  </si>
  <si>
    <t>Inserir valor unitário mensal, quando preenchido, e apresentar as justificativas legais para inclusão.</t>
  </si>
  <si>
    <t>Inserir o valor unitário da tarifa 2.</t>
  </si>
  <si>
    <t>Inserir valor unitário mensal.</t>
  </si>
  <si>
    <t>Inserir valor unitário do Ticket.</t>
  </si>
  <si>
    <t>Informar percentual da Licitante.</t>
  </si>
  <si>
    <t>MONTANTE D</t>
  </si>
  <si>
    <t>OBS:</t>
  </si>
  <si>
    <t>Opção Tributária</t>
  </si>
  <si>
    <t>Soma dos tributos</t>
  </si>
  <si>
    <t>LUCRO REAL</t>
  </si>
  <si>
    <t>Inserir percentual de participação do trabalhador.</t>
  </si>
  <si>
    <t xml:space="preserve">ANEXO IX - PLANILHA DE CUSTO E FORMAÇÃO DE PREÇO MENSAL ESTIMATIVO DO PROFISSIONAL SUBSTITUTO DO TITULAR EM FÉRIAS </t>
  </si>
  <si>
    <t>Seção de Gestão e Suporte a Contratos de Terceirização</t>
  </si>
  <si>
    <t>PERCENTUAIS PARA CONTINGENCIAMENTO DE ENCARGOS TRABALHISTAS A SEREM APLICADOS SOBRE A NOTA FISCAL (UTILIZAÇÃO DURANTE A VIGÊNCIA CONTRATUAL)</t>
  </si>
  <si>
    <t>Título</t>
  </si>
  <si>
    <t>VARIAÇÃO RAT AJUSTADO 0,50% A 6%</t>
  </si>
  <si>
    <t>EMPRESAS</t>
  </si>
  <si>
    <t xml:space="preserve">Grupo </t>
  </si>
  <si>
    <t>Mínimo</t>
  </si>
  <si>
    <t>Máximo</t>
  </si>
  <si>
    <t>LICITANTE</t>
  </si>
  <si>
    <t>SUBMÓDULO E.1 - da IN 02/2008 MPOG:</t>
  </si>
  <si>
    <t>SAT (RATxFAP):</t>
  </si>
  <si>
    <t>13º salário</t>
  </si>
  <si>
    <t>Férias</t>
  </si>
  <si>
    <t>1/3 constitucional</t>
  </si>
  <si>
    <t>Incidência do Grupo A (*)</t>
  </si>
  <si>
    <t>Multa do FGTS</t>
  </si>
  <si>
    <t>Encargos a contingenciar</t>
  </si>
  <si>
    <t>Taxa da conta-corrente vinculada (inciso II art. 2º IN 001/2013</t>
  </si>
  <si>
    <t>-</t>
  </si>
  <si>
    <t>Total a contingenciar</t>
  </si>
  <si>
    <t>Valor a ser utilizado para lançamento da proposta / lance final de disputa. Valor Mensal.</t>
  </si>
  <si>
    <t>INSTRUÇÕES DE PREENCHIMENTO - ANEXO IX - PLANILHAS DE COMPOSIÇÃO DE CUSTOS</t>
  </si>
  <si>
    <t>1.</t>
  </si>
  <si>
    <t>SOMENTE SERÃO ACEITAS MODIFICAÇÕES NAS CÉLULAS DESTACADAS NA COR AMARELA COMO NO EXEMPLO ABAIXO:</t>
  </si>
  <si>
    <t>Células de livre edição.</t>
  </si>
  <si>
    <t>2.</t>
  </si>
  <si>
    <t>As demais células, estarão bloqueadas para edição das licitantes.</t>
  </si>
  <si>
    <t>3.</t>
  </si>
  <si>
    <t>As Abas necessárias para o preenchimento estão organizadas em uma sequencia lógica, sendo Dados; Encargos; Uniforme, devidamente abreviadas para otimização da planilha.</t>
  </si>
  <si>
    <t>Sugere-se o preenchimento das seguintes abas em sequência, Dados, Encargos, Uniforme, para a realização de cálulos completa da planilha de composição de custos.</t>
  </si>
  <si>
    <t>Estas Abas estarão destacadas na Cor Amarela.</t>
  </si>
  <si>
    <t>PREENCHIMENTO ABA "DADOS"</t>
  </si>
  <si>
    <t xml:space="preserve"> - Informar os Dados da Apresentação da Proposta e relacionados à Convenção Coletiva de Trabalho. Tais informações não interferem na execução de cálculos, servem apenas para instruir o processo da análise da proposta. (Células "E21:E25").</t>
  </si>
  <si>
    <t xml:space="preserve"> - Informar piso salarial de cada categoria, correspondente à jornada de 220h. (Células "E8":"E18") na eventualidade de ser superior aos salários fixados.</t>
  </si>
  <si>
    <t xml:space="preserve"> - Informar o valor unitário do Seguro de Vida, nos casos exigidos, conforme legislação vigente. (Célula "G35").</t>
  </si>
  <si>
    <t xml:space="preserve"> - Informar o valor unitário do Programa de Assistência Familiar - PAF, nos casos exigidos, conforme legislação vigente. (Célula "G36").</t>
  </si>
  <si>
    <t xml:space="preserve"> - Informar o quantitativo unitário diário de tarifas de transporte público (ex.: 2 tarifas para ida e 2 tarifas para volta = Total de 4 tarifas). (Célula "G40 e G42").</t>
  </si>
  <si>
    <t xml:space="preserve"> - Informar o valor unitário da tarifa de transporte público vigente à data de apresentação da proposta, nos casos exigidos, conforme legislação vigente. (Célula "G41 e G43").</t>
  </si>
  <si>
    <t xml:space="preserve"> - Informar o percentual de desconto à título de participação do trabalhador em relação ao fornecimento de vale transporte, nos casos exigidos, conforme legislação vigente. (Célula "G45").</t>
  </si>
  <si>
    <t xml:space="preserve"> - Informar o valor unitário do tícket de Vale Alimentação, nos casos exigidos, conforme legislação vigente. (Célula "G37").</t>
  </si>
  <si>
    <t xml:space="preserve"> - Informar o percentual de desconto à título de participação do trabalhador em relação ao fornecimento de Vale Alimentação, nos casos exigidos, conforme legislação vigente. (Célula "G39").</t>
  </si>
  <si>
    <t xml:space="preserve"> - Informar o percentual relativo às Despesas Administrativas da licitante. (Células "G50").</t>
  </si>
  <si>
    <t xml:space="preserve"> - Informar o percentual relativo ao Lucro da licitante. (Células "G51").</t>
  </si>
  <si>
    <t xml:space="preserve"> - Informar a opção tributária da licitante (Células "F57") conforme legislação vigente, OBSERVANDO as instruções contantes na Célula "B54".</t>
  </si>
  <si>
    <t xml:space="preserve"> - Informar o percentual da alíquota COFINS (Células "G58") conforme legislação vigente, OBSERVANDO as instruções contantes na Célula "B54".</t>
  </si>
  <si>
    <t xml:space="preserve"> - Informar o percentual da alíquota PIS/PASEP (Células "G59") conforme legislação vigente, OBSERVANDO as instruções contantes na Célula "B54".</t>
  </si>
  <si>
    <t xml:space="preserve"> - Alterar SOMENTE aqueles destacados na COR AMARELA.</t>
  </si>
  <si>
    <t>PREENCHIMENTO ABA "ENCARGOS"</t>
  </si>
  <si>
    <t xml:space="preserve"> - Informar os percentuais de encargos nas células destacadas em amarelo dispostas na "Coluna C", de acordo com sua descrição "Coluna B".</t>
  </si>
  <si>
    <t>PREENCHIMENTO ABA "UNIFORMES"</t>
  </si>
  <si>
    <t xml:space="preserve"> - Informar os valores unitários de cada peça de uniforme nas células destacadas em amarelo dispostas na "Coluna E", de acordo com sua descrição no Anexo IV - Uniformes.</t>
  </si>
  <si>
    <t>4.</t>
  </si>
  <si>
    <t>Estas abas estão destacadas na Cor Cinza.</t>
  </si>
  <si>
    <t>A Aba "Resumo", contém o detalhadamento dos custos unitários por categoria profissional, além de conter o preço final da proposta.</t>
  </si>
  <si>
    <t>Esta aba está destacada na Cor Azul.</t>
  </si>
  <si>
    <t>SINDEAC/MG</t>
  </si>
  <si>
    <t>MG000001/2023</t>
  </si>
  <si>
    <t>01/01/2023 à 31/12/2023</t>
  </si>
  <si>
    <t>01º de Janeiro</t>
  </si>
  <si>
    <t xml:space="preserve">OCORRÊNCIAS MENSAIS DO FATURAMENTO </t>
  </si>
  <si>
    <t>UTILIZAÇÃO DO GESTOR CONTRATUAL PARA REALIZAÇÃO DO FATURAMENTO MENSAL</t>
  </si>
  <si>
    <t>DEFINIR VERSÃO DE APRESENTAÇÃO:</t>
  </si>
  <si>
    <t>PLANILHA PARA LICITAÇÃO (PRECIFICAÇÃO)</t>
  </si>
  <si>
    <t>DEFINIR BASE DE DESCONTOS/GLOSAS:</t>
  </si>
  <si>
    <t>MÊS CONTÁBIL</t>
  </si>
  <si>
    <t>Informar número de Postos que não utilizam V.T.
(Coluna "D")</t>
  </si>
  <si>
    <t>Desconto automático de V.T.
(Coluna "E")</t>
  </si>
  <si>
    <t>Desconto automático de V.T.
(Coluna "F")</t>
  </si>
  <si>
    <t>INFORMATIVO PARA GESTÃO CONTRATUAL</t>
  </si>
  <si>
    <t>Nº Postos não optantes pelo recebimento de V.T.</t>
  </si>
  <si>
    <t>Realizar glosa por não fornecimento de V.T.?</t>
  </si>
  <si>
    <t>Dias de
Glosa V.T.
Para Não Optantes</t>
  </si>
  <si>
    <t>Ajuste de V.T para fornecimento para
postos Não Optantes</t>
  </si>
  <si>
    <t>Dias de faltas após conversão das horas
(planilha auxiliar)</t>
  </si>
  <si>
    <t>*1 Dias de Deslocamento de Insalubridade</t>
  </si>
  <si>
    <t>VALOR TOTAL GLOSADO</t>
  </si>
  <si>
    <t>VALOR TOTAL ACRESCIDO</t>
  </si>
  <si>
    <t>Valor Mensal 
Faturado com aplicação de descontos</t>
  </si>
  <si>
    <t>VALOR TOTAL INSUMOS FORNECIDOS NO MÊS.</t>
  </si>
  <si>
    <t xml:space="preserve">Elemento de Despesa </t>
  </si>
  <si>
    <t>VALOR DE RETENÇÃO CONTA VINCULADA</t>
  </si>
  <si>
    <t>CÓDIGOS ELEMENTO DE DESPESA</t>
  </si>
  <si>
    <t>NÃO</t>
  </si>
  <si>
    <t>ELEMENTO 1</t>
  </si>
  <si>
    <t>ELEMENTO 2</t>
  </si>
  <si>
    <t>ELEMENTO 3</t>
  </si>
  <si>
    <t>ELEMENTO 4</t>
  </si>
  <si>
    <t>ELEMENTO 5</t>
  </si>
  <si>
    <t>VALOR TOTAL GLOSADOS</t>
  </si>
  <si>
    <t>OBSERVAÇÕES:</t>
  </si>
  <si>
    <t>Planilha auxiliar para conversão de horas de ausências em dias de faltas. (preenchimento coluna "I")</t>
  </si>
  <si>
    <t>Jornada</t>
  </si>
  <si>
    <t>Total de Horas</t>
  </si>
  <si>
    <t>Total de Minutos</t>
  </si>
  <si>
    <t>Conversão em Dias</t>
  </si>
  <si>
    <t>Obs: Informar a jornada de trabalho do posto analisado. Em sequência, informar as horas completas faltantes e posteriormente os minutos. Ex: 10:25h faltantes - Lançar 10 na célula "D22" e lançar 25 na célula "E22". Lançar o resultado convertido na coluna "H".</t>
  </si>
  <si>
    <t>VALOR INICIAL DO CONTRATO
(Informar após o término da licitação)</t>
  </si>
  <si>
    <t>1º REAJUSTE POR IPCA</t>
  </si>
  <si>
    <t>2º REAJUSTE POR IPCA</t>
  </si>
  <si>
    <t>3º REAJUSTE POR IPCA</t>
  </si>
  <si>
    <t>4º REAJUSTE POR IPCA</t>
  </si>
  <si>
    <t>5º REAJUSTE POR IPCA</t>
  </si>
  <si>
    <t>LISTA PARA OPÇÕES DE GLOSAS</t>
  </si>
  <si>
    <t>DIAS ÚTEIS (CONTRATO)</t>
  </si>
  <si>
    <t>Obs: Desconto por dias definidos em contrato.</t>
  </si>
  <si>
    <t>Obs: Desconto atualmente aplicado (30 dias corridos).</t>
  </si>
  <si>
    <t>DIAS DO MÊS VIGENTE</t>
  </si>
  <si>
    <t>Informar</t>
  </si>
  <si>
    <t>Obs: Desconto por dias úteis mensais, ocorrência variável, devendo ser informado mensalmente.</t>
  </si>
  <si>
    <t>DIVISOR DE HORAS</t>
  </si>
  <si>
    <r>
      <t xml:space="preserve">RETENÇÃO 
GLOSA CONTA VINCULADA
</t>
    </r>
    <r>
      <rPr>
        <b/>
        <sz val="10"/>
        <color rgb="FFFF0000"/>
        <rFont val="Calibri"/>
        <family val="2"/>
      </rPr>
      <t>(VERIFICAR NECESSIDADE)</t>
    </r>
  </si>
  <si>
    <r>
      <rPr>
        <b/>
        <sz val="10"/>
        <color rgb="FFFF0000"/>
        <rFont val="Calibri"/>
        <family val="2"/>
      </rPr>
      <t xml:space="preserve">INSTRUÇÕES DE PREENCHIMENTO
UTILIZAÇÃO EXCLUSIVA FISCAL/GESTOR
PARA AUXILIAR NO VALOR DE FATURAMENTO
</t>
    </r>
    <r>
      <rPr>
        <b/>
        <sz val="10"/>
        <rFont val="Calibri"/>
        <family val="2"/>
      </rPr>
      <t xml:space="preserve">
Preencher as células destacadas na cor vermelha para realização dos cálculos das demais abas.
Não é necessário preenchimento de outras abas.</t>
    </r>
  </si>
  <si>
    <t>1º REAJUSTE IPCA</t>
  </si>
  <si>
    <t>2º REAJUSTE IPCA</t>
  </si>
  <si>
    <t>3º REAJUSTE IPCA</t>
  </si>
  <si>
    <t>4º REAJUSTE IPCA</t>
  </si>
  <si>
    <t>5º REAJUSTE IPCA</t>
  </si>
  <si>
    <t>Período:</t>
  </si>
  <si>
    <t xml:space="preserve">ÍNDICE </t>
  </si>
  <si>
    <t>IPCA/ IBGE</t>
  </si>
  <si>
    <t>DIAS</t>
  </si>
  <si>
    <t>Pró-rata</t>
  </si>
  <si>
    <t>VALOR ATUAL</t>
  </si>
  <si>
    <t>ANO</t>
  </si>
  <si>
    <t>MÊS</t>
  </si>
  <si>
    <t>ÍNDICE %</t>
  </si>
  <si>
    <t>%</t>
  </si>
  <si>
    <t>AGO</t>
  </si>
  <si>
    <t>SET</t>
  </si>
  <si>
    <t>OUT</t>
  </si>
  <si>
    <t>NOV</t>
  </si>
  <si>
    <t>DEZ</t>
  </si>
  <si>
    <t>JAN</t>
  </si>
  <si>
    <t>FEV</t>
  </si>
  <si>
    <t>MAR</t>
  </si>
  <si>
    <t>ABR</t>
  </si>
  <si>
    <t>MAI</t>
  </si>
  <si>
    <t>JUN</t>
  </si>
  <si>
    <t>JUL</t>
  </si>
  <si>
    <t>INDICE ACUMULADO</t>
  </si>
  <si>
    <t>PREVISÃO DE REAJUSTE IPCA - 12 (DOZE) MESES DE CONTRATO - INFORMATIVO PARA SER UTILIZADO DURANTE A GESTÃO CONTRATUAL</t>
  </si>
  <si>
    <t>Percentual (%) aprovado</t>
  </si>
  <si>
    <t>Aplicar reajuste após solicitação da contratada?</t>
  </si>
  <si>
    <t>CONTROLE DE REAJUSTE IPCA - UNIFORME</t>
  </si>
  <si>
    <t>APLICAR
VALOR</t>
  </si>
  <si>
    <t>INICIAL</t>
  </si>
  <si>
    <t>CONTROLE DE REAJUSTE IPCA - SEGURO DE VIDA</t>
  </si>
  <si>
    <t>VALOR INICIAL DO CONTRATO</t>
  </si>
  <si>
    <t>HISTÓRICO - CONTROLE DE CONTRATO - VERSÃO DE PLANILHA DE CUSTOS</t>
  </si>
  <si>
    <t>Planilha / Proposta comercial - Início do contrato (Licitação)</t>
  </si>
  <si>
    <t>PLANILHA - ID</t>
  </si>
  <si>
    <t>Obs: Planiha apresentada e aceita durante a fase de lances.</t>
  </si>
  <si>
    <t>1º Termo Aditivo</t>
  </si>
  <si>
    <t>Obs: Planilha ajustada com o acréscimo de 1 posto "X" - 200h.</t>
  </si>
  <si>
    <t>1º Termo de Apostilamento</t>
  </si>
  <si>
    <t>Obs: Repactuação CCT 2024 / Alteração do salário mínimo nacional.</t>
  </si>
  <si>
    <t>Obs: Descrever alerações. EX: Como é realizado no Extrato.</t>
  </si>
  <si>
    <t>SEGURO DE VIDA</t>
  </si>
  <si>
    <t>FATOR DE APLICAÇÃO
(2 CASAS DECIMAIS)</t>
  </si>
  <si>
    <t>DATA DE APROVAÇÃO IPCA</t>
  </si>
  <si>
    <t>DOCUMENTO RELACIONADO ID</t>
  </si>
  <si>
    <t>Fórmula SE, para inclusão após o término do processo licitatório. (INSERIR NA CÉLULA "G35")</t>
  </si>
  <si>
    <t>INFORMAR Nº T.A / APOSTILAMENTO / ALTERAÇÃO CONTRAT.</t>
  </si>
  <si>
    <r>
      <t xml:space="preserve">VALORES UNITÁRIOS DO CONTRATO, CORRIGIDOS PELO REAJUSTE DE IPCA.
</t>
    </r>
    <r>
      <rPr>
        <b/>
        <sz val="10"/>
        <color rgb="FFFF0000"/>
        <rFont val="Times New Roman"/>
        <family val="1"/>
      </rPr>
      <t>(SUBSTITUIR/IGUALAR MANUALMENTE OS PREÇOS UNITÁRIOS DA COLUNA "R" NA PLANILHA DE MATERIAIS - QUANDO HOUVER PLANIHA INICIAL DO CONTRATO)</t>
    </r>
  </si>
  <si>
    <t>Fórmula SE, para inclusão após o término do processo licitatório. (INSERIR NA CÉLULA "E7" em diante)</t>
  </si>
  <si>
    <t>LISTA PARA JORNADA DE TRABALHO</t>
  </si>
  <si>
    <t>LISTA PARA TOTAL DE POSTOS</t>
  </si>
  <si>
    <t>SIM</t>
  </si>
  <si>
    <t>Preencher o número de dias (corridos) que o terceirizado que não recebe vt ficou afastado por férias ou faltas
(Coluna "H")</t>
  </si>
  <si>
    <t>Conversão das horas de ausência em dias de ausência
(Coluna "J")</t>
  </si>
  <si>
    <t>Nº dias de faltas comuns sem substituição.
(Coluna "K")</t>
  </si>
  <si>
    <t>Informar número de dias por férias no mês (dias)
(Coluna "L")</t>
  </si>
  <si>
    <t>1. Para apoio ao lançamento de ausências de horas, sugere-se a utilização da planilha complementar abaixo. O preenchimento das horas convertidas deve ocorrer na Coluna "I".</t>
  </si>
  <si>
    <t>Dias de Home Office para os postos Optantes de V.T.</t>
  </si>
  <si>
    <t>Preencher o número de dias úteis em que o optante de V.T realizou trabalho em Home Office
(Coluna "G")</t>
  </si>
  <si>
    <t>Conversão das horas de ausências em dias de ausências
(Coluna "I")</t>
  </si>
  <si>
    <t xml:space="preserve"> - Informar o percentual correspondente ao RAT, conforme atividade principal da licitante. (Célula "G31").</t>
  </si>
  <si>
    <t xml:space="preserve"> - Informar o fator correspdente ao RAT, conforme extraído do relatório FapWeb. (Célula "G32").</t>
  </si>
  <si>
    <t>Para efeitos de lance/oferta as licitantes devem considerar o valor da célula "Q22", da Aba "Resumo", correspondente ao VALOR MENSAL.</t>
  </si>
  <si>
    <t xml:space="preserve"> - Atentar-se às observações continuadas ao final do quadro de encargos (Célula "B57"), com as demais instruções cabíveis aos percentuais dispostos nesta Aba.</t>
  </si>
  <si>
    <t xml:space="preserve"> - Incluir outros custos não previstos previamente, bem como descreve-los, em caso de previsão legal, devendo ser apresentadas justificativas para a inserção. (Células "B46" e "H46").</t>
  </si>
  <si>
    <t xml:space="preserve"> - Incluir outros custos não previstos previamente, bem como descreve-los, em caso de previsão legal, devendo ser apresentadas justificativas para a inserção. (Células "B47" e "G47").</t>
  </si>
  <si>
    <t xml:space="preserve"> - Incluir outros impostos não inseridos previamente, bem como descreve-los, em caso de previsão legal, devendo ser apresentadas justificativas para a inserção. (Célula "G61").</t>
  </si>
  <si>
    <t>Jaqueta</t>
  </si>
  <si>
    <t>5.</t>
  </si>
  <si>
    <t>5.1</t>
  </si>
  <si>
    <t>5.2</t>
  </si>
  <si>
    <r>
      <t xml:space="preserve">Não será necessário realizar nenhuma alteração nas abas contendo o detalhamento de custos de cada categoria profissional. </t>
    </r>
    <r>
      <rPr>
        <b/>
        <sz val="11"/>
        <rFont val="Calibri"/>
        <family val="2"/>
        <scheme val="minor"/>
      </rPr>
      <t>Estas abas conterão apenas o reflexo dos dados preenchdidos nas abas anteriores (conforme explicação nº 3).</t>
    </r>
  </si>
  <si>
    <r>
      <rPr>
        <b/>
        <sz val="11"/>
        <rFont val="Calibri"/>
        <family val="2"/>
        <scheme val="minor"/>
      </rPr>
      <t xml:space="preserve">Destaca-se que após o preenchimento destas Abas, os preços individuais das categorias profissionais serão refletidos para as suas abas correspondentes </t>
    </r>
    <r>
      <rPr>
        <sz val="11"/>
        <rFont val="Calibri"/>
        <family val="2"/>
        <scheme val="minor"/>
      </rPr>
      <t>(Ascensorista, Atendente, Auxiliar de Almoxarifado, Aux. Administrativo - Classe I, II, III e IV, Assistente de Apoio Financeiro, Encarregado Geral, Operador e Editor de Áudio e Vídeo, Recepcionista).</t>
    </r>
  </si>
  <si>
    <t>Seção de Gestão de Contratos de Terceirização - SEGET</t>
  </si>
  <si>
    <t>Desconto de V.A. por dias de recesso forense e/ou ponto facultativo.
(Coluna "M")</t>
  </si>
  <si>
    <t>Dias de Glosas de V.A no Mês</t>
  </si>
  <si>
    <t>Total da Glosa de Atrasos, Faltas e Desconto do Titular em Férias sem substituição e desconto de VA</t>
  </si>
  <si>
    <t>GLOSA VALE ALIMENTAÇÃO</t>
  </si>
  <si>
    <t>Desconto de Vale Alimentação em recesso forense ou ponto facultativo.</t>
  </si>
  <si>
    <t>Custo Mensal  do vale alimentação da categoria com Encargos</t>
  </si>
  <si>
    <t>Dias de Recesso e/ou ponto facultativo</t>
  </si>
  <si>
    <t>Valor da Glosa do vale alimentação da categoria</t>
  </si>
  <si>
    <t>Nº de dias de férias sem substituição quando o adicional de insalubridade é passado para outra servente do quadro 
(Coluna "N")</t>
  </si>
  <si>
    <t>Somatório de glosas.
(Coluna "O")</t>
  </si>
  <si>
    <t>Somatório de acrésimo por substituição do posto insalubre por outro profissional do quadro.
(Coluna "P")</t>
  </si>
  <si>
    <t>Informativo sobre valor faturado por tipo de função.
(Coluna "Q")</t>
  </si>
  <si>
    <t>Valores correspondentes ao fornecimento de materiais e epis.
(incluindo impostos)
(Coluna "R")</t>
  </si>
  <si>
    <t>Informar código de elemento de despesa
(Coluna "S")</t>
  </si>
  <si>
    <t>VALOR VALE ALIMENTAÇÃO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</si>
</sst>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R$&quot;\ * #,##0.00_-;\-&quot;R$&quot;\ * #,##0.00_-;_-&quot;R$&quot;\ * &quot;-&quot;??_-;_-@_-"/>
    <numFmt numFmtId="164" formatCode="_(&quot;R$&quot;* #,##0.00_);_(&quot;R$&quot;* \(#,##0.00\);_(&quot;R$&quot;* \-??_);_(@_)"/>
    <numFmt numFmtId="165" formatCode="_(&quot;R$ &quot;* #,##0.00_);_(&quot;R$ &quot;* \(#,##0.00\);_(&quot;R$ &quot;* \-??_);_(@_)"/>
    <numFmt numFmtId="166" formatCode="_(&quot;Cr$&quot;* #,##0.00_);_(&quot;Cr$&quot;* \(#,##0.00\);_(&quot;Cr$&quot;* \-??_);_(@_)"/>
    <numFmt numFmtId="167" formatCode="_(* #,##0.00_);_(* \(#,##0.00\);_(* \-??_);_(@_)"/>
    <numFmt numFmtId="168" formatCode="_-* #,##0.00_-;\-* #,##0.00_-;_-* \-??_-;_-@_-"/>
    <numFmt numFmtId="169" formatCode="* #,##0\ ;* \(#,##0\);* \-#\ ;@\ "/>
    <numFmt numFmtId="170" formatCode="0.0000"/>
    <numFmt numFmtId="171" formatCode="* #,##0.00\ ;* \(#,##0.00\);* \-#\ ;@\ "/>
    <numFmt numFmtId="172" formatCode="_-&quot;R$ &quot;* #,##0.00_-;&quot;-R$ &quot;* #,##0.00_-;_-&quot;R$ &quot;* \-??_-;_-@_-"/>
    <numFmt numFmtId="173" formatCode="#,##0.00_ ;\-#,##0.00\ "/>
  </numFmts>
  <fonts count="99" x14ac:knownFonts="1">
    <font>
      <sz val="10"/>
      <name val="Times New Roman"/>
      <charset val="1"/>
    </font>
    <font>
      <sz val="10"/>
      <name val="Times New Roman"/>
      <family val="1"/>
      <charset val="1"/>
    </font>
    <font>
      <sz val="10"/>
      <name val="Arial"/>
      <family val="2"/>
      <charset val="1"/>
    </font>
    <font>
      <sz val="11"/>
      <color rgb="FF000000"/>
      <name val="Calibri"/>
      <family val="2"/>
      <charset val="1"/>
    </font>
    <font>
      <sz val="11"/>
      <color rgb="FFC00000"/>
      <name val="Calibri"/>
      <family val="2"/>
      <charset val="1"/>
    </font>
    <font>
      <b/>
      <sz val="15"/>
      <color rgb="FF3366FF"/>
      <name val="Calibri"/>
      <family val="2"/>
      <charset val="1"/>
    </font>
    <font>
      <b/>
      <sz val="15"/>
      <color rgb="FF10243E"/>
      <name val="Calibri"/>
      <family val="2"/>
      <charset val="1"/>
    </font>
    <font>
      <sz val="10"/>
      <name val="Calibri"/>
      <family val="2"/>
      <charset val="1"/>
    </font>
    <font>
      <sz val="9"/>
      <name val="Calibri"/>
      <family val="2"/>
      <charset val="1"/>
    </font>
    <font>
      <sz val="11"/>
      <name val="Times New Roman"/>
      <family val="1"/>
      <charset val="1"/>
    </font>
    <font>
      <b/>
      <sz val="18"/>
      <name val="Times New Roman"/>
      <family val="1"/>
      <charset val="1"/>
    </font>
    <font>
      <b/>
      <sz val="10"/>
      <color rgb="FF000000"/>
      <name val="Calibri"/>
      <family val="2"/>
      <charset val="1"/>
    </font>
    <font>
      <b/>
      <sz val="10"/>
      <name val="Calibri"/>
      <family val="2"/>
      <charset val="1"/>
    </font>
    <font>
      <sz val="10"/>
      <color rgb="FF000000"/>
      <name val="Calibri"/>
      <family val="2"/>
      <charset val="1"/>
    </font>
    <font>
      <sz val="10"/>
      <color rgb="FFFFFFFF"/>
      <name val="Calibri"/>
      <family val="2"/>
      <charset val="1"/>
    </font>
    <font>
      <b/>
      <sz val="10"/>
      <name val="Times New Roman"/>
      <family val="1"/>
      <charset val="1"/>
    </font>
    <font>
      <sz val="11"/>
      <name val="Arial"/>
      <family val="2"/>
      <charset val="1"/>
    </font>
    <font>
      <sz val="12"/>
      <name val="Calibri"/>
      <family val="2"/>
      <charset val="1"/>
    </font>
    <font>
      <b/>
      <sz val="12"/>
      <name val="Arial"/>
      <family val="2"/>
      <charset val="1"/>
    </font>
    <font>
      <sz val="9"/>
      <name val="Arial"/>
      <family val="2"/>
      <charset val="1"/>
    </font>
    <font>
      <sz val="10"/>
      <name val="Arial"/>
      <family val="2"/>
    </font>
    <font>
      <sz val="10"/>
      <color rgb="FF0066CC"/>
      <name val="Arial"/>
      <family val="2"/>
      <charset val="1"/>
    </font>
    <font>
      <sz val="10"/>
      <color rgb="FF0066CC"/>
      <name val="Calibri"/>
      <family val="2"/>
      <charset val="1"/>
    </font>
    <font>
      <b/>
      <sz val="10"/>
      <color rgb="FF0066CC"/>
      <name val="Calibri"/>
      <family val="2"/>
      <charset val="1"/>
    </font>
    <font>
      <sz val="11"/>
      <color rgb="FF0066CC"/>
      <name val="Arial"/>
      <family val="2"/>
      <charset val="1"/>
    </font>
    <font>
      <b/>
      <sz val="11"/>
      <color rgb="FF0066CC"/>
      <name val="Arial"/>
      <family val="2"/>
      <charset val="1"/>
    </font>
    <font>
      <sz val="10"/>
      <color rgb="FF000000"/>
      <name val="Arial"/>
      <family val="2"/>
      <charset val="1"/>
    </font>
    <font>
      <b/>
      <sz val="12"/>
      <color rgb="FF000000"/>
      <name val="Arial"/>
      <family val="2"/>
      <charset val="1"/>
    </font>
    <font>
      <b/>
      <sz val="10"/>
      <name val="Arial"/>
      <family val="2"/>
      <charset val="1"/>
    </font>
    <font>
      <b/>
      <sz val="10"/>
      <color rgb="FFFFFFFF"/>
      <name val="Times New Roman"/>
      <family val="1"/>
      <charset val="1"/>
    </font>
    <font>
      <b/>
      <sz val="9"/>
      <name val="Arial"/>
      <family val="2"/>
      <charset val="1"/>
    </font>
    <font>
      <b/>
      <sz val="13"/>
      <name val="Arial"/>
      <family val="2"/>
      <charset val="1"/>
    </font>
    <font>
      <sz val="10"/>
      <name val="Calibri"/>
      <family val="2"/>
      <scheme val="minor"/>
    </font>
    <font>
      <sz val="11"/>
      <name val="Calibri"/>
      <family val="2"/>
      <scheme val="minor"/>
    </font>
    <font>
      <b/>
      <sz val="18"/>
      <name val="Calibri"/>
      <family val="2"/>
      <scheme val="minor"/>
    </font>
    <font>
      <b/>
      <sz val="10"/>
      <name val="Calibri"/>
      <family val="2"/>
      <scheme val="minor"/>
    </font>
    <font>
      <b/>
      <sz val="14"/>
      <name val="Calibri"/>
      <family val="2"/>
      <scheme val="minor"/>
    </font>
    <font>
      <sz val="10"/>
      <color rgb="FF000000"/>
      <name val="Calibri"/>
      <family val="2"/>
      <scheme val="minor"/>
    </font>
    <font>
      <sz val="9"/>
      <name val="Calibri"/>
      <family val="2"/>
      <scheme val="minor"/>
    </font>
    <font>
      <sz val="12"/>
      <name val="Calibri"/>
      <family val="2"/>
      <scheme val="minor"/>
    </font>
    <font>
      <b/>
      <sz val="12"/>
      <name val="Calibri"/>
      <family val="2"/>
      <scheme val="minor"/>
    </font>
    <font>
      <b/>
      <sz val="12.5"/>
      <name val="Calibri"/>
      <family val="2"/>
      <scheme val="minor"/>
    </font>
    <font>
      <sz val="8"/>
      <name val="Calibri"/>
      <family val="2"/>
      <scheme val="minor"/>
    </font>
    <font>
      <b/>
      <sz val="11"/>
      <name val="Calibri"/>
      <family val="2"/>
      <scheme val="minor"/>
    </font>
    <font>
      <b/>
      <i/>
      <sz val="14"/>
      <name val="Calibri"/>
      <family val="2"/>
      <scheme val="minor"/>
    </font>
    <font>
      <b/>
      <sz val="14"/>
      <color rgb="FFFF0000"/>
      <name val="Calibri"/>
      <family val="2"/>
      <scheme val="minor"/>
    </font>
    <font>
      <b/>
      <sz val="8"/>
      <name val="Calibri"/>
      <family val="2"/>
      <scheme val="minor"/>
    </font>
    <font>
      <b/>
      <sz val="9"/>
      <name val="Calibri"/>
      <family val="2"/>
      <scheme val="minor"/>
    </font>
    <font>
      <sz val="11"/>
      <color rgb="FF0066CC"/>
      <name val="Calibri"/>
      <family val="2"/>
      <scheme val="minor"/>
    </font>
    <font>
      <b/>
      <sz val="12"/>
      <color rgb="FF000000"/>
      <name val="Calibri"/>
      <family val="2"/>
      <scheme val="minor"/>
    </font>
    <font>
      <b/>
      <sz val="10"/>
      <color rgb="FFFFFFFF"/>
      <name val="Calibri"/>
      <family val="2"/>
      <scheme val="minor"/>
    </font>
    <font>
      <b/>
      <sz val="13"/>
      <name val="Calibri"/>
      <family val="2"/>
      <scheme val="minor"/>
    </font>
    <font>
      <b/>
      <sz val="10"/>
      <color rgb="FF000000"/>
      <name val="Calibri"/>
      <family val="2"/>
      <scheme val="minor"/>
    </font>
    <font>
      <b/>
      <sz val="11"/>
      <color theme="1"/>
      <name val="Calibri"/>
      <family val="2"/>
      <scheme val="minor"/>
    </font>
    <font>
      <sz val="11"/>
      <name val="Calibri"/>
      <family val="2"/>
      <charset val="1"/>
    </font>
    <font>
      <b/>
      <sz val="11"/>
      <name val="Arial"/>
      <family val="2"/>
    </font>
    <font>
      <sz val="11"/>
      <name val="Arial"/>
      <family val="2"/>
    </font>
    <font>
      <sz val="11"/>
      <color theme="0" tint="-0.499984740745262"/>
      <name val="Calibri"/>
      <family val="2"/>
      <scheme val="minor"/>
    </font>
    <font>
      <sz val="10"/>
      <name val="Times New Roman"/>
      <family val="1"/>
    </font>
    <font>
      <sz val="8"/>
      <name val="Arial"/>
      <family val="2"/>
    </font>
    <font>
      <b/>
      <sz val="8"/>
      <name val="Arial"/>
      <family val="2"/>
    </font>
    <font>
      <b/>
      <sz val="9"/>
      <name val="Arial"/>
      <family val="2"/>
    </font>
    <font>
      <sz val="10"/>
      <color rgb="FFFF0000"/>
      <name val="Calibri"/>
      <family val="2"/>
      <charset val="1"/>
    </font>
    <font>
      <b/>
      <sz val="10"/>
      <name val="Times New Roman"/>
      <family val="1"/>
    </font>
    <font>
      <sz val="11"/>
      <color rgb="FFFF0000"/>
      <name val="Calibri"/>
      <family val="2"/>
      <scheme val="minor"/>
    </font>
    <font>
      <b/>
      <sz val="16"/>
      <name val="Calibri"/>
      <family val="2"/>
      <scheme val="minor"/>
    </font>
    <font>
      <b/>
      <sz val="10"/>
      <name val="Calibri"/>
      <family val="2"/>
    </font>
    <font>
      <sz val="10"/>
      <color rgb="FFFF0000"/>
      <name val="Calibri"/>
      <family val="2"/>
      <scheme val="minor"/>
    </font>
    <font>
      <b/>
      <i/>
      <u/>
      <sz val="11"/>
      <name val="Calibri"/>
      <family val="2"/>
      <scheme val="minor"/>
    </font>
    <font>
      <i/>
      <sz val="11"/>
      <color indexed="57"/>
      <name val="Calibri"/>
      <family val="2"/>
      <charset val="1"/>
    </font>
    <font>
      <sz val="11"/>
      <color indexed="63"/>
      <name val="Calibri"/>
      <family val="2"/>
      <charset val="1"/>
    </font>
    <font>
      <b/>
      <sz val="10"/>
      <color rgb="FFFF0000"/>
      <name val="Calibri"/>
      <family val="2"/>
    </font>
    <font>
      <b/>
      <sz val="12"/>
      <name val="Arial"/>
      <family val="2"/>
    </font>
    <font>
      <b/>
      <sz val="10"/>
      <name val="Arial"/>
      <family val="2"/>
    </font>
    <font>
      <sz val="11"/>
      <name val="Arial Narrow"/>
      <family val="2"/>
    </font>
    <font>
      <b/>
      <sz val="8"/>
      <color rgb="FFFF0000"/>
      <name val="Arial"/>
      <family val="2"/>
    </font>
    <font>
      <b/>
      <sz val="11"/>
      <name val="Arial"/>
      <family val="2"/>
      <charset val="1"/>
    </font>
    <font>
      <sz val="11"/>
      <color rgb="FFFF0000"/>
      <name val="Arial"/>
      <family val="2"/>
      <charset val="1"/>
    </font>
    <font>
      <b/>
      <sz val="11"/>
      <name val="Calibri"/>
      <family val="2"/>
    </font>
    <font>
      <b/>
      <sz val="11"/>
      <color rgb="FFFF0000"/>
      <name val="Calibri"/>
      <family val="2"/>
    </font>
    <font>
      <sz val="11"/>
      <color rgb="FFFF0000"/>
      <name val="Arial"/>
      <family val="2"/>
    </font>
    <font>
      <b/>
      <sz val="10"/>
      <color rgb="FFFF0000"/>
      <name val="Times New Roman"/>
      <family val="1"/>
    </font>
    <font>
      <b/>
      <sz val="11"/>
      <color theme="0"/>
      <name val="Calibri"/>
      <family val="2"/>
      <scheme val="minor"/>
    </font>
    <font>
      <sz val="11"/>
      <name val="Calibri"/>
      <family val="2"/>
    </font>
    <font>
      <b/>
      <sz val="11"/>
      <color rgb="FFFFFFFF"/>
      <name val="Calibri"/>
      <family val="2"/>
      <scheme val="minor"/>
    </font>
    <font>
      <sz val="11"/>
      <name val="Times New Roman"/>
      <family val="1"/>
    </font>
    <font>
      <b/>
      <u/>
      <sz val="11"/>
      <name val="Calibri"/>
      <family val="2"/>
      <scheme val="minor"/>
    </font>
    <font>
      <sz val="14"/>
      <name val="Times New Roman"/>
      <family val="1"/>
    </font>
    <font>
      <b/>
      <sz val="11"/>
      <name val="Times New Roman"/>
      <family val="1"/>
    </font>
    <font>
      <b/>
      <sz val="11"/>
      <color rgb="FFCC0000"/>
      <name val="Calibri"/>
      <family val="2"/>
      <scheme val="minor"/>
    </font>
    <font>
      <b/>
      <sz val="11"/>
      <color rgb="FFCC0000"/>
      <name val="Times New Roman"/>
      <family val="1"/>
    </font>
    <font>
      <b/>
      <sz val="10"/>
      <color rgb="FFCC0000"/>
      <name val="Times New Roman"/>
      <family val="1"/>
    </font>
    <font>
      <sz val="9"/>
      <color rgb="FF000000"/>
      <name val="Calibri"/>
      <family val="2"/>
      <scheme val="minor"/>
    </font>
    <font>
      <b/>
      <sz val="9"/>
      <color rgb="FF000000"/>
      <name val="Calibri"/>
      <family val="2"/>
      <scheme val="minor"/>
    </font>
    <font>
      <sz val="10"/>
      <color rgb="FFCC0000"/>
      <name val="Calibri"/>
      <family val="2"/>
      <scheme val="minor"/>
    </font>
    <font>
      <b/>
      <sz val="9"/>
      <color rgb="FFCC0000"/>
      <name val="Calibri"/>
      <family val="2"/>
      <scheme val="minor"/>
    </font>
    <font>
      <b/>
      <sz val="10"/>
      <color rgb="FFCC0000"/>
      <name val="Calibri"/>
      <family val="2"/>
      <scheme val="minor"/>
    </font>
    <font>
      <sz val="9"/>
      <name val="Times New Roman"/>
      <family val="1"/>
      <charset val="1"/>
    </font>
    <font>
      <sz val="9"/>
      <color indexed="63"/>
      <name val="Calibri"/>
      <family val="2"/>
      <scheme val="minor"/>
    </font>
  </fonts>
  <fills count="30">
    <fill>
      <patternFill patternType="none"/>
    </fill>
    <fill>
      <patternFill patternType="gray125"/>
    </fill>
    <fill>
      <patternFill patternType="solid">
        <fgColor rgb="FFFFFFFF"/>
        <bgColor rgb="FFF2F2F2"/>
      </patternFill>
    </fill>
    <fill>
      <patternFill patternType="solid">
        <fgColor rgb="FFD9D9D9"/>
        <bgColor rgb="FFDDDDDD"/>
      </patternFill>
    </fill>
    <fill>
      <patternFill patternType="solid">
        <fgColor rgb="FFF2F2F2"/>
        <bgColor rgb="FFEEEEEE"/>
      </patternFill>
    </fill>
    <fill>
      <patternFill patternType="solid">
        <fgColor rgb="FF10243E"/>
        <bgColor rgb="FF333333"/>
      </patternFill>
    </fill>
    <fill>
      <patternFill patternType="solid">
        <fgColor rgb="FFC0C0C0"/>
        <bgColor rgb="FFD9D9D9"/>
      </patternFill>
    </fill>
    <fill>
      <patternFill patternType="solid">
        <fgColor rgb="FF808080"/>
        <bgColor rgb="FF969696"/>
      </patternFill>
    </fill>
    <fill>
      <patternFill patternType="solid">
        <fgColor rgb="FFDDDDDD"/>
        <bgColor rgb="FFD9D9D9"/>
      </patternFill>
    </fill>
    <fill>
      <patternFill patternType="solid">
        <fgColor rgb="FFEEEEEE"/>
        <bgColor rgb="FFF2F2F2"/>
      </patternFill>
    </fill>
    <fill>
      <patternFill patternType="solid">
        <fgColor rgb="FF95B3D7"/>
        <bgColor rgb="FF9999FF"/>
      </patternFill>
    </fill>
    <fill>
      <patternFill patternType="solid">
        <fgColor rgb="FF1F497D"/>
        <bgColor rgb="FF333333"/>
      </patternFill>
    </fill>
    <fill>
      <patternFill patternType="solid">
        <fgColor rgb="FFFFFF99"/>
        <bgColor indexed="64"/>
      </patternFill>
    </fill>
    <fill>
      <patternFill patternType="mediumGray">
        <bgColor theme="0" tint="-0.24994659260841701"/>
      </patternFill>
    </fill>
    <fill>
      <patternFill patternType="solid">
        <fgColor theme="0" tint="-0.14999847407452621"/>
        <bgColor indexed="27"/>
      </patternFill>
    </fill>
    <fill>
      <patternFill patternType="solid">
        <fgColor rgb="FFFFFF99"/>
        <bgColor indexed="27"/>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rgb="FFFFFFCC"/>
        <bgColor indexed="64"/>
      </patternFill>
    </fill>
    <fill>
      <patternFill patternType="solid">
        <fgColor rgb="FFDCE6F2"/>
        <bgColor rgb="FFD9D9D9"/>
      </patternFill>
    </fill>
    <fill>
      <patternFill patternType="solid">
        <fgColor rgb="FFF2DCDB"/>
        <bgColor rgb="FFE3E3E3"/>
      </patternFill>
    </fill>
    <fill>
      <patternFill patternType="solid">
        <fgColor indexed="42"/>
        <bgColor indexed="27"/>
      </patternFill>
    </fill>
    <fill>
      <patternFill patternType="solid">
        <fgColor theme="4" tint="0.79998168889431442"/>
        <bgColor indexed="31"/>
      </patternFill>
    </fill>
    <fill>
      <patternFill patternType="solid">
        <fgColor theme="5" tint="0.59999389629810485"/>
        <bgColor indexed="64"/>
      </patternFill>
    </fill>
    <fill>
      <patternFill patternType="solid">
        <fgColor rgb="FFC0C0C0"/>
        <bgColor rgb="FF000000"/>
      </patternFill>
    </fill>
    <fill>
      <patternFill patternType="solid">
        <fgColor theme="0" tint="-0.14999847407452621"/>
        <bgColor rgb="FFD9D9D9"/>
      </patternFill>
    </fill>
    <fill>
      <patternFill patternType="solid">
        <fgColor theme="0" tint="-4.9989318521683403E-2"/>
        <bgColor indexed="64"/>
      </patternFill>
    </fill>
    <fill>
      <patternFill patternType="solid">
        <fgColor rgb="FFA9F9F5"/>
        <bgColor rgb="FFF2F2F2"/>
      </patternFill>
    </fill>
  </fills>
  <borders count="135">
    <border>
      <left/>
      <right/>
      <top/>
      <bottom/>
      <diagonal/>
    </border>
    <border>
      <left/>
      <right/>
      <top/>
      <bottom style="thick">
        <color rgb="FF1F497D"/>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n">
        <color auto="1"/>
      </top>
      <bottom style="medium">
        <color auto="1"/>
      </bottom>
      <diagonal/>
    </border>
    <border>
      <left/>
      <right/>
      <top style="thin">
        <color auto="1"/>
      </top>
      <bottom style="medium">
        <color auto="1"/>
      </bottom>
      <diagonal/>
    </border>
    <border>
      <left style="medium">
        <color indexed="64"/>
      </left>
      <right style="thin">
        <color auto="1"/>
      </right>
      <top style="thin">
        <color auto="1"/>
      </top>
      <bottom/>
      <diagonal/>
    </border>
    <border>
      <left/>
      <right style="medium">
        <color indexed="64"/>
      </right>
      <top style="thin">
        <color auto="1"/>
      </top>
      <bottom style="thin">
        <color auto="1"/>
      </bottom>
      <diagonal/>
    </border>
    <border>
      <left style="medium">
        <color indexed="64"/>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medium">
        <color indexed="64"/>
      </left>
      <right style="medium">
        <color auto="1"/>
      </right>
      <top style="medium">
        <color indexed="64"/>
      </top>
      <bottom style="hair">
        <color auto="1"/>
      </bottom>
      <diagonal/>
    </border>
    <border>
      <left style="medium">
        <color indexed="64"/>
      </left>
      <right style="medium">
        <color auto="1"/>
      </right>
      <top style="hair">
        <color auto="1"/>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thin">
        <color indexed="64"/>
      </left>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8"/>
      </top>
      <bottom/>
      <diagonal/>
    </border>
    <border>
      <left style="thin">
        <color indexed="64"/>
      </left>
      <right style="medium">
        <color indexed="64"/>
      </right>
      <top/>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auto="1"/>
      </left>
      <right style="medium">
        <color auto="1"/>
      </right>
      <top style="medium">
        <color indexed="64"/>
      </top>
      <bottom/>
      <diagonal/>
    </border>
    <border>
      <left style="medium">
        <color auto="1"/>
      </left>
      <right style="medium">
        <color auto="1"/>
      </right>
      <top style="medium">
        <color auto="1"/>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style="thin">
        <color auto="1"/>
      </right>
      <top style="medium">
        <color auto="1"/>
      </top>
      <bottom/>
      <diagonal/>
    </border>
    <border>
      <left/>
      <right/>
      <top style="medium">
        <color auto="1"/>
      </top>
      <bottom style="medium">
        <color auto="1"/>
      </bottom>
      <diagonal/>
    </border>
  </borders>
  <cellStyleXfs count="85">
    <xf numFmtId="0" fontId="0" fillId="0" borderId="0"/>
    <xf numFmtId="0" fontId="1" fillId="0" borderId="0" applyBorder="0" applyProtection="0"/>
    <xf numFmtId="172" fontId="20" fillId="0" borderId="0" applyBorder="0" applyProtection="0"/>
    <xf numFmtId="9" fontId="1" fillId="0" borderId="0" applyBorder="0" applyProtection="0"/>
    <xf numFmtId="164" fontId="1" fillId="0" borderId="0" applyBorder="0" applyProtection="0"/>
    <xf numFmtId="164" fontId="1" fillId="0" borderId="0" applyBorder="0" applyProtection="0"/>
    <xf numFmtId="165" fontId="1" fillId="0" borderId="0" applyBorder="0" applyProtection="0"/>
    <xf numFmtId="165" fontId="2" fillId="0" borderId="0" applyBorder="0" applyProtection="0"/>
    <xf numFmtId="165" fontId="2" fillId="0" borderId="0" applyBorder="0" applyProtection="0"/>
    <xf numFmtId="165" fontId="1" fillId="0" borderId="0" applyBorder="0" applyProtection="0"/>
    <xf numFmtId="165" fontId="2" fillId="0" borderId="0" applyBorder="0" applyProtection="0"/>
    <xf numFmtId="164" fontId="1" fillId="0" borderId="0" applyBorder="0" applyProtection="0"/>
    <xf numFmtId="166" fontId="2" fillId="0" borderId="0" applyBorder="0" applyProtection="0"/>
    <xf numFmtId="166" fontId="2" fillId="0" borderId="0" applyBorder="0" applyProtection="0"/>
    <xf numFmtId="0" fontId="2" fillId="0" borderId="0"/>
    <xf numFmtId="0" fontId="2" fillId="0" borderId="0"/>
    <xf numFmtId="0" fontId="2" fillId="0" borderId="0"/>
    <xf numFmtId="0" fontId="3" fillId="0" borderId="0"/>
    <xf numFmtId="0" fontId="3" fillId="0" borderId="0"/>
    <xf numFmtId="0" fontId="4" fillId="0" borderId="0"/>
    <xf numFmtId="0" fontId="3"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xf numFmtId="0" fontId="3" fillId="0" borderId="0"/>
    <xf numFmtId="0" fontId="4" fillId="0" borderId="0"/>
    <xf numFmtId="0" fontId="2" fillId="0" borderId="0"/>
    <xf numFmtId="9" fontId="2" fillId="0" borderId="0" applyBorder="0" applyProtection="0"/>
    <xf numFmtId="9" fontId="2" fillId="0" borderId="0" applyBorder="0" applyProtection="0"/>
    <xf numFmtId="9" fontId="2" fillId="0" borderId="0" applyBorder="0" applyProtection="0"/>
    <xf numFmtId="9" fontId="2" fillId="0" borderId="0" applyBorder="0" applyProtection="0"/>
    <xf numFmtId="9" fontId="1" fillId="0" borderId="0" applyBorder="0" applyProtection="0"/>
    <xf numFmtId="9" fontId="1" fillId="0" borderId="0" applyBorder="0" applyProtection="0"/>
    <xf numFmtId="9" fontId="2" fillId="0" borderId="0" applyBorder="0" applyProtection="0"/>
    <xf numFmtId="9" fontId="1" fillId="0" borderId="0" applyBorder="0" applyProtection="0"/>
    <xf numFmtId="9" fontId="1" fillId="0" borderId="0" applyBorder="0" applyProtection="0"/>
    <xf numFmtId="9" fontId="1" fillId="0" borderId="0" applyBorder="0" applyProtection="0"/>
    <xf numFmtId="9" fontId="2" fillId="0" borderId="0" applyBorder="0" applyProtection="0"/>
    <xf numFmtId="9" fontId="2" fillId="0" borderId="0" applyBorder="0" applyProtection="0"/>
    <xf numFmtId="167" fontId="2" fillId="0" borderId="0" applyBorder="0" applyProtection="0"/>
    <xf numFmtId="167" fontId="2" fillId="0" borderId="0" applyBorder="0" applyProtection="0"/>
    <xf numFmtId="167" fontId="2" fillId="0" borderId="0" applyBorder="0" applyProtection="0"/>
    <xf numFmtId="167" fontId="1" fillId="0" borderId="0" applyBorder="0" applyProtection="0"/>
    <xf numFmtId="167" fontId="2" fillId="0" borderId="0" applyBorder="0" applyProtection="0"/>
    <xf numFmtId="167" fontId="2" fillId="0" borderId="0" applyBorder="0" applyProtection="0"/>
    <xf numFmtId="168" fontId="1" fillId="0" borderId="0" applyBorder="0" applyProtection="0"/>
    <xf numFmtId="167" fontId="2" fillId="0" borderId="0" applyBorder="0" applyProtection="0"/>
    <xf numFmtId="168" fontId="2" fillId="0" borderId="0" applyBorder="0" applyProtection="0"/>
    <xf numFmtId="168" fontId="1" fillId="0" borderId="0" applyBorder="0" applyProtection="0"/>
    <xf numFmtId="168" fontId="1" fillId="0" borderId="0" applyBorder="0" applyProtection="0"/>
    <xf numFmtId="168" fontId="2" fillId="0" borderId="0" applyBorder="0" applyProtection="0"/>
    <xf numFmtId="167" fontId="1" fillId="0" borderId="0" applyBorder="0" applyProtection="0"/>
    <xf numFmtId="168" fontId="1" fillId="0" borderId="0" applyBorder="0" applyProtection="0"/>
    <xf numFmtId="167" fontId="1" fillId="0" borderId="0" applyBorder="0" applyProtection="0"/>
    <xf numFmtId="167" fontId="1" fillId="0" borderId="0" applyBorder="0" applyProtection="0"/>
    <xf numFmtId="167" fontId="2" fillId="0" borderId="0" applyBorder="0" applyProtection="0"/>
    <xf numFmtId="167" fontId="2" fillId="0" borderId="0" applyBorder="0" applyProtection="0"/>
    <xf numFmtId="167" fontId="2" fillId="0" borderId="0" applyBorder="0" applyProtection="0"/>
    <xf numFmtId="168" fontId="3" fillId="0" borderId="0" applyBorder="0" applyProtection="0"/>
    <xf numFmtId="168" fontId="4" fillId="0" borderId="0" applyBorder="0" applyProtection="0"/>
    <xf numFmtId="0" fontId="5" fillId="0" borderId="1" applyProtection="0"/>
    <xf numFmtId="0" fontId="6" fillId="0" borderId="1" applyProtection="0"/>
    <xf numFmtId="168" fontId="3" fillId="0" borderId="0" applyBorder="0" applyProtection="0"/>
    <xf numFmtId="167" fontId="2" fillId="0" borderId="0" applyBorder="0" applyProtection="0"/>
    <xf numFmtId="168" fontId="4" fillId="0" borderId="0" applyBorder="0" applyProtection="0"/>
    <xf numFmtId="167" fontId="2" fillId="0" borderId="0" applyBorder="0" applyProtection="0"/>
    <xf numFmtId="167" fontId="1" fillId="0" borderId="0" applyBorder="0" applyProtection="0"/>
    <xf numFmtId="171" fontId="1" fillId="0" borderId="0" applyBorder="0" applyProtection="0"/>
    <xf numFmtId="0" fontId="58" fillId="0" borderId="0"/>
    <xf numFmtId="0" fontId="20" fillId="0" borderId="0"/>
    <xf numFmtId="167" fontId="20" fillId="0" borderId="0" applyBorder="0" applyProtection="0"/>
    <xf numFmtId="44" fontId="20" fillId="0" borderId="0" applyFill="0" applyBorder="0" applyAlignment="0" applyProtection="0"/>
    <xf numFmtId="0" fontId="1" fillId="0" borderId="0"/>
    <xf numFmtId="0" fontId="1" fillId="0" borderId="0"/>
    <xf numFmtId="167" fontId="2" fillId="0" borderId="0" applyBorder="0" applyProtection="0"/>
    <xf numFmtId="0" fontId="69" fillId="0" borderId="0" applyBorder="0" applyProtection="0"/>
    <xf numFmtId="0" fontId="1" fillId="0" borderId="0"/>
    <xf numFmtId="168" fontId="70" fillId="0" borderId="0" applyBorder="0" applyProtection="0"/>
    <xf numFmtId="9" fontId="20" fillId="0" borderId="0" applyFont="0" applyFill="0" applyBorder="0" applyAlignment="0" applyProtection="0"/>
  </cellStyleXfs>
  <cellXfs count="957">
    <xf numFmtId="0" fontId="0" fillId="0" borderId="0" xfId="0"/>
    <xf numFmtId="10" fontId="1" fillId="0" borderId="0" xfId="3" applyNumberFormat="1" applyBorder="1" applyProtection="1"/>
    <xf numFmtId="0" fontId="9" fillId="0" borderId="0" xfId="0" applyFont="1"/>
    <xf numFmtId="0" fontId="9" fillId="0" borderId="0" xfId="0" applyFont="1" applyAlignment="1">
      <alignment horizontal="center"/>
    </xf>
    <xf numFmtId="4" fontId="9" fillId="0" borderId="0" xfId="0" applyNumberFormat="1" applyFont="1" applyAlignment="1">
      <alignment horizontal="center"/>
    </xf>
    <xf numFmtId="0" fontId="9" fillId="0" borderId="0" xfId="0" applyFont="1" applyAlignment="1">
      <alignment vertical="center"/>
    </xf>
    <xf numFmtId="0" fontId="16" fillId="0" borderId="0" xfId="0" applyFont="1"/>
    <xf numFmtId="0" fontId="17" fillId="0" borderId="0" xfId="0" applyFont="1" applyAlignment="1">
      <alignment vertical="center"/>
    </xf>
    <xf numFmtId="0" fontId="7" fillId="0" borderId="0" xfId="0" applyFont="1" applyAlignment="1">
      <alignment vertical="center"/>
    </xf>
    <xf numFmtId="0" fontId="16" fillId="2" borderId="0" xfId="0" applyFont="1" applyFill="1"/>
    <xf numFmtId="172" fontId="21" fillId="2" borderId="0" xfId="2" applyFont="1" applyFill="1" applyBorder="1" applyAlignment="1" applyProtection="1">
      <alignment vertical="center"/>
    </xf>
    <xf numFmtId="172" fontId="22" fillId="2" borderId="0" xfId="0" applyNumberFormat="1" applyFont="1" applyFill="1" applyAlignment="1">
      <alignment vertical="center"/>
    </xf>
    <xf numFmtId="172" fontId="23" fillId="2" borderId="0" xfId="0" applyNumberFormat="1" applyFont="1" applyFill="1" applyAlignment="1">
      <alignment vertical="center"/>
    </xf>
    <xf numFmtId="0" fontId="7" fillId="2" borderId="0" xfId="0" applyFont="1" applyFill="1" applyAlignment="1">
      <alignment vertical="center"/>
    </xf>
    <xf numFmtId="0" fontId="24" fillId="2" borderId="0" xfId="0" applyFont="1" applyFill="1"/>
    <xf numFmtId="0" fontId="25" fillId="2" borderId="0" xfId="0" applyFont="1" applyFill="1"/>
    <xf numFmtId="4" fontId="0" fillId="0" borderId="0" xfId="0" applyNumberFormat="1"/>
    <xf numFmtId="0" fontId="26" fillId="0" borderId="2" xfId="0" applyFont="1" applyBorder="1" applyAlignment="1">
      <alignment vertical="center"/>
    </xf>
    <xf numFmtId="0" fontId="2" fillId="0" borderId="3" xfId="0" applyFont="1" applyBorder="1" applyAlignment="1">
      <alignment vertical="center"/>
    </xf>
    <xf numFmtId="4" fontId="2" fillId="0" borderId="3" xfId="0" applyNumberFormat="1" applyFont="1" applyBorder="1" applyAlignment="1">
      <alignment vertical="center"/>
    </xf>
    <xf numFmtId="0" fontId="0" fillId="0" borderId="4" xfId="0" applyBorder="1"/>
    <xf numFmtId="0" fontId="26" fillId="0" borderId="5" xfId="0" applyFont="1" applyBorder="1" applyAlignment="1">
      <alignment vertical="center"/>
    </xf>
    <xf numFmtId="0" fontId="0" fillId="0" borderId="6" xfId="0" applyBorder="1"/>
    <xf numFmtId="0" fontId="19" fillId="0" borderId="5" xfId="0" applyFont="1" applyBorder="1"/>
    <xf numFmtId="0" fontId="30" fillId="0" borderId="49" xfId="0" applyFont="1" applyBorder="1" applyAlignment="1">
      <alignment horizontal="center" vertical="center"/>
    </xf>
    <xf numFmtId="4" fontId="18" fillId="3" borderId="44" xfId="0" applyNumberFormat="1" applyFont="1" applyFill="1" applyBorder="1" applyAlignment="1">
      <alignment vertical="center"/>
    </xf>
    <xf numFmtId="4" fontId="18" fillId="3" borderId="30" xfId="0" applyNumberFormat="1" applyFont="1" applyFill="1" applyBorder="1" applyAlignment="1">
      <alignment vertical="center"/>
    </xf>
    <xf numFmtId="10" fontId="2" fillId="3" borderId="26" xfId="0" applyNumberFormat="1" applyFont="1" applyFill="1" applyBorder="1" applyAlignment="1">
      <alignment vertical="center"/>
    </xf>
    <xf numFmtId="10" fontId="2" fillId="3" borderId="28" xfId="0" applyNumberFormat="1" applyFont="1" applyFill="1" applyBorder="1" applyAlignment="1">
      <alignment vertical="center"/>
    </xf>
    <xf numFmtId="4" fontId="18" fillId="3" borderId="35" xfId="0" applyNumberFormat="1" applyFont="1" applyFill="1" applyBorder="1" applyAlignment="1">
      <alignment vertical="center"/>
    </xf>
    <xf numFmtId="10" fontId="2" fillId="3" borderId="42" xfId="0" applyNumberFormat="1" applyFont="1" applyFill="1" applyBorder="1" applyAlignment="1">
      <alignment vertical="center"/>
    </xf>
    <xf numFmtId="0" fontId="33" fillId="0" borderId="0" xfId="0" applyFont="1"/>
    <xf numFmtId="0" fontId="33" fillId="0" borderId="0" xfId="0" applyFont="1" applyAlignment="1">
      <alignment horizontal="center"/>
    </xf>
    <xf numFmtId="4" fontId="33" fillId="0" borderId="0" xfId="0" applyNumberFormat="1" applyFont="1" applyAlignment="1">
      <alignment horizontal="center"/>
    </xf>
    <xf numFmtId="0" fontId="33" fillId="0" borderId="0" xfId="0" applyFont="1" applyAlignment="1">
      <alignment vertical="center"/>
    </xf>
    <xf numFmtId="0" fontId="32" fillId="0" borderId="0" xfId="0" applyFont="1"/>
    <xf numFmtId="0" fontId="37" fillId="0" borderId="2" xfId="0" applyFont="1" applyBorder="1"/>
    <xf numFmtId="0" fontId="32" fillId="0" borderId="3" xfId="0" applyFont="1" applyBorder="1"/>
    <xf numFmtId="0" fontId="33" fillId="0" borderId="3" xfId="0" applyFont="1" applyBorder="1"/>
    <xf numFmtId="0" fontId="37" fillId="0" borderId="5" xfId="0" applyFont="1" applyBorder="1"/>
    <xf numFmtId="0" fontId="33" fillId="0" borderId="5" xfId="0" applyFont="1" applyBorder="1" applyAlignment="1">
      <alignment vertical="center"/>
    </xf>
    <xf numFmtId="0" fontId="33" fillId="0" borderId="27" xfId="0" applyFont="1" applyBorder="1"/>
    <xf numFmtId="0" fontId="33" fillId="0" borderId="4" xfId="0" applyFont="1" applyBorder="1"/>
    <xf numFmtId="0" fontId="33" fillId="0" borderId="6" xfId="0" applyFont="1" applyBorder="1"/>
    <xf numFmtId="0" fontId="37" fillId="0" borderId="29" xfId="0" applyFont="1" applyBorder="1"/>
    <xf numFmtId="0" fontId="32" fillId="0" borderId="27" xfId="0" applyFont="1" applyBorder="1"/>
    <xf numFmtId="0" fontId="33" fillId="0" borderId="50" xfId="0" applyFont="1" applyBorder="1"/>
    <xf numFmtId="0" fontId="39" fillId="0" borderId="0" xfId="0" applyFont="1" applyAlignment="1">
      <alignment vertical="center"/>
    </xf>
    <xf numFmtId="0" fontId="41" fillId="3" borderId="52" xfId="0" applyFont="1" applyFill="1" applyBorder="1" applyAlignment="1">
      <alignment vertical="center" wrapText="1"/>
    </xf>
    <xf numFmtId="0" fontId="38" fillId="3" borderId="16" xfId="0" applyFont="1" applyFill="1" applyBorder="1" applyAlignment="1">
      <alignment horizontal="center" vertical="center" wrapText="1"/>
    </xf>
    <xf numFmtId="0" fontId="32" fillId="3" borderId="15"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3" borderId="43" xfId="0" applyFont="1" applyFill="1" applyBorder="1" applyAlignment="1">
      <alignment horizontal="center" vertical="center" wrapText="1"/>
    </xf>
    <xf numFmtId="4" fontId="33" fillId="0" borderId="0" xfId="0" applyNumberFormat="1" applyFont="1"/>
    <xf numFmtId="0" fontId="33" fillId="2" borderId="0" xfId="0" applyFont="1" applyFill="1"/>
    <xf numFmtId="4" fontId="40" fillId="2" borderId="36" xfId="0" applyNumberFormat="1" applyFont="1" applyFill="1" applyBorder="1" applyAlignment="1">
      <alignment horizontal="right" vertical="center"/>
    </xf>
    <xf numFmtId="4" fontId="40" fillId="4" borderId="36" xfId="0" applyNumberFormat="1" applyFont="1" applyFill="1" applyBorder="1" applyAlignment="1">
      <alignment vertical="center"/>
    </xf>
    <xf numFmtId="0" fontId="32" fillId="0" borderId="0" xfId="0" applyFont="1" applyAlignment="1">
      <alignment vertical="center"/>
    </xf>
    <xf numFmtId="10" fontId="48" fillId="2" borderId="0" xfId="3" applyNumberFormat="1" applyFont="1" applyFill="1" applyBorder="1" applyAlignment="1" applyProtection="1">
      <alignment horizontal="center"/>
    </xf>
    <xf numFmtId="0" fontId="48" fillId="2" borderId="0" xfId="0" applyFont="1" applyFill="1"/>
    <xf numFmtId="0" fontId="37" fillId="0" borderId="2" xfId="0" applyFont="1" applyBorder="1" applyAlignment="1">
      <alignment vertical="center"/>
    </xf>
    <xf numFmtId="0" fontId="32" fillId="0" borderId="3" xfId="0" applyFont="1" applyBorder="1" applyAlignment="1">
      <alignment vertical="center"/>
    </xf>
    <xf numFmtId="4" fontId="32" fillId="0" borderId="3" xfId="0" applyNumberFormat="1" applyFont="1" applyBorder="1" applyAlignment="1">
      <alignment vertical="center"/>
    </xf>
    <xf numFmtId="0" fontId="32" fillId="0" borderId="4" xfId="0" applyFont="1" applyBorder="1"/>
    <xf numFmtId="0" fontId="37" fillId="0" borderId="5" xfId="0" applyFont="1" applyBorder="1" applyAlignment="1">
      <alignment vertical="center"/>
    </xf>
    <xf numFmtId="0" fontId="32" fillId="0" borderId="6" xfId="0" applyFont="1" applyBorder="1"/>
    <xf numFmtId="0" fontId="38" fillId="0" borderId="5" xfId="0" applyFont="1" applyBorder="1"/>
    <xf numFmtId="0" fontId="47" fillId="0" borderId="49" xfId="0" applyFont="1" applyBorder="1" applyAlignment="1">
      <alignment horizontal="center" vertical="center"/>
    </xf>
    <xf numFmtId="4" fontId="40" fillId="3" borderId="37" xfId="0" applyNumberFormat="1" applyFont="1" applyFill="1" applyBorder="1" applyAlignment="1">
      <alignment vertical="center"/>
    </xf>
    <xf numFmtId="4" fontId="40" fillId="3" borderId="60" xfId="0" applyNumberFormat="1" applyFont="1" applyFill="1" applyBorder="1" applyAlignment="1">
      <alignment vertical="center"/>
    </xf>
    <xf numFmtId="4" fontId="40" fillId="3" borderId="61" xfId="0" applyNumberFormat="1" applyFont="1" applyFill="1" applyBorder="1" applyAlignment="1">
      <alignment vertical="center"/>
    </xf>
    <xf numFmtId="10" fontId="32" fillId="3" borderId="35" xfId="0" applyNumberFormat="1" applyFont="1" applyFill="1" applyBorder="1" applyAlignment="1">
      <alignment vertical="center"/>
    </xf>
    <xf numFmtId="10" fontId="32" fillId="3" borderId="62" xfId="0" applyNumberFormat="1" applyFont="1" applyFill="1" applyBorder="1" applyAlignment="1">
      <alignment vertical="center"/>
    </xf>
    <xf numFmtId="10" fontId="32" fillId="3" borderId="30" xfId="0" applyNumberFormat="1" applyFont="1" applyFill="1" applyBorder="1" applyAlignment="1">
      <alignment vertical="center"/>
    </xf>
    <xf numFmtId="4" fontId="32" fillId="0" borderId="0" xfId="0" applyNumberFormat="1" applyFont="1"/>
    <xf numFmtId="0" fontId="32" fillId="0" borderId="48" xfId="0" applyFont="1" applyBorder="1" applyAlignment="1">
      <alignment horizontal="center" vertical="center"/>
    </xf>
    <xf numFmtId="4" fontId="40" fillId="3" borderId="44" xfId="0" applyNumberFormat="1" applyFont="1" applyFill="1" applyBorder="1" applyAlignment="1">
      <alignment vertical="center"/>
    </xf>
    <xf numFmtId="4" fontId="40" fillId="3" borderId="30" xfId="0" applyNumberFormat="1" applyFont="1" applyFill="1" applyBorder="1" applyAlignment="1">
      <alignment vertical="center"/>
    </xf>
    <xf numFmtId="10" fontId="32" fillId="3" borderId="45" xfId="0" applyNumberFormat="1" applyFont="1" applyFill="1" applyBorder="1" applyAlignment="1">
      <alignment vertical="center"/>
    </xf>
    <xf numFmtId="10" fontId="32" fillId="3" borderId="26" xfId="0" applyNumberFormat="1" applyFont="1" applyFill="1" applyBorder="1" applyAlignment="1">
      <alignment vertical="center"/>
    </xf>
    <xf numFmtId="10" fontId="32" fillId="3" borderId="28" xfId="0" applyNumberFormat="1" applyFont="1" applyFill="1" applyBorder="1" applyAlignment="1">
      <alignment vertical="center"/>
    </xf>
    <xf numFmtId="4" fontId="40" fillId="3" borderId="35" xfId="0" applyNumberFormat="1" applyFont="1" applyFill="1" applyBorder="1" applyAlignment="1">
      <alignment vertical="center"/>
    </xf>
    <xf numFmtId="10" fontId="32" fillId="3" borderId="42" xfId="0" applyNumberFormat="1" applyFont="1" applyFill="1" applyBorder="1" applyAlignment="1">
      <alignment vertical="center"/>
    </xf>
    <xf numFmtId="4" fontId="33" fillId="0" borderId="25" xfId="0" applyNumberFormat="1" applyFont="1" applyBorder="1" applyAlignment="1">
      <alignment horizontal="center" vertical="center" wrapText="1"/>
    </xf>
    <xf numFmtId="4" fontId="32" fillId="0" borderId="49" xfId="0" applyNumberFormat="1" applyFont="1" applyBorder="1" applyAlignment="1">
      <alignment horizontal="center" vertical="center" wrapText="1"/>
    </xf>
    <xf numFmtId="4" fontId="33" fillId="0" borderId="48" xfId="0" applyNumberFormat="1" applyFont="1" applyBorder="1" applyAlignment="1">
      <alignment horizontal="center" vertical="center" wrapText="1"/>
    </xf>
    <xf numFmtId="4" fontId="35" fillId="0" borderId="14" xfId="0" applyNumberFormat="1" applyFont="1" applyBorder="1" applyAlignment="1">
      <alignment horizontal="center" vertical="center" wrapText="1"/>
    </xf>
    <xf numFmtId="4" fontId="32" fillId="0" borderId="54" xfId="0" applyNumberFormat="1" applyFont="1" applyBorder="1" applyAlignment="1">
      <alignment horizontal="center" vertical="center" wrapText="1"/>
    </xf>
    <xf numFmtId="0" fontId="32" fillId="0" borderId="25" xfId="0" applyFont="1" applyBorder="1" applyAlignment="1">
      <alignment horizontal="center" vertical="center" wrapText="1"/>
    </xf>
    <xf numFmtId="4" fontId="35" fillId="0" borderId="49" xfId="0" applyNumberFormat="1" applyFont="1" applyBorder="1" applyAlignment="1">
      <alignment horizontal="center" vertical="center" wrapText="1"/>
    </xf>
    <xf numFmtId="4" fontId="47" fillId="0" borderId="49" xfId="0" applyNumberFormat="1" applyFont="1" applyBorder="1" applyAlignment="1">
      <alignment horizontal="center" vertical="center" wrapText="1"/>
    </xf>
    <xf numFmtId="4" fontId="35" fillId="0" borderId="22" xfId="0" applyNumberFormat="1" applyFont="1" applyBorder="1" applyAlignment="1">
      <alignment horizontal="center" vertical="center" wrapText="1"/>
    </xf>
    <xf numFmtId="4" fontId="33" fillId="0" borderId="10" xfId="0" applyNumberFormat="1" applyFont="1" applyBorder="1" applyAlignment="1">
      <alignment horizontal="center" vertical="center" wrapText="1"/>
    </xf>
    <xf numFmtId="4" fontId="33" fillId="0" borderId="9" xfId="0" applyNumberFormat="1" applyFont="1" applyBorder="1" applyAlignment="1">
      <alignment horizontal="center" vertical="center" wrapText="1"/>
    </xf>
    <xf numFmtId="4" fontId="32" fillId="0" borderId="9" xfId="0" applyNumberFormat="1" applyFont="1" applyBorder="1" applyAlignment="1">
      <alignment horizontal="center" vertical="center" wrapText="1"/>
    </xf>
    <xf numFmtId="4" fontId="33" fillId="2" borderId="49" xfId="0" applyNumberFormat="1" applyFont="1" applyFill="1" applyBorder="1" applyAlignment="1">
      <alignment horizontal="center" vertical="center"/>
    </xf>
    <xf numFmtId="4" fontId="33" fillId="2" borderId="14" xfId="0" applyNumberFormat="1" applyFont="1" applyFill="1" applyBorder="1" applyAlignment="1">
      <alignment horizontal="center" vertical="center"/>
    </xf>
    <xf numFmtId="4" fontId="33" fillId="2" borderId="53" xfId="0" applyNumberFormat="1" applyFont="1" applyFill="1" applyBorder="1" applyAlignment="1">
      <alignment horizontal="center" vertical="center"/>
    </xf>
    <xf numFmtId="4" fontId="33" fillId="2" borderId="48" xfId="0" applyNumberFormat="1" applyFont="1" applyFill="1" applyBorder="1" applyAlignment="1">
      <alignment horizontal="center" vertical="center"/>
    </xf>
    <xf numFmtId="4" fontId="33" fillId="2" borderId="11" xfId="0" applyNumberFormat="1" applyFont="1" applyFill="1" applyBorder="1" applyAlignment="1">
      <alignment horizontal="center" vertical="center"/>
    </xf>
    <xf numFmtId="4" fontId="33" fillId="2" borderId="10" xfId="0" applyNumberFormat="1" applyFont="1" applyFill="1" applyBorder="1" applyAlignment="1">
      <alignment horizontal="center" vertical="center"/>
    </xf>
    <xf numFmtId="4" fontId="33" fillId="2" borderId="9" xfId="0" applyNumberFormat="1" applyFont="1" applyFill="1" applyBorder="1" applyAlignment="1">
      <alignment horizontal="center" vertical="center"/>
    </xf>
    <xf numFmtId="4" fontId="40" fillId="4" borderId="36" xfId="0" applyNumberFormat="1" applyFont="1" applyFill="1" applyBorder="1" applyAlignment="1">
      <alignment horizontal="center" vertical="center"/>
    </xf>
    <xf numFmtId="0" fontId="33" fillId="0" borderId="31" xfId="0" applyFont="1" applyBorder="1" applyAlignment="1">
      <alignment horizontal="left" vertical="center" wrapText="1"/>
    </xf>
    <xf numFmtId="0" fontId="33" fillId="0" borderId="33" xfId="0" applyFont="1" applyBorder="1" applyAlignment="1">
      <alignment horizontal="center" vertical="center" wrapText="1"/>
    </xf>
    <xf numFmtId="4" fontId="32" fillId="0" borderId="0" xfId="0" applyNumberFormat="1" applyFont="1" applyAlignment="1">
      <alignment vertical="center"/>
    </xf>
    <xf numFmtId="10" fontId="33" fillId="12" borderId="10" xfId="33" applyNumberFormat="1" applyFont="1" applyFill="1" applyBorder="1" applyAlignment="1" applyProtection="1">
      <alignment horizontal="center" vertical="center"/>
      <protection locked="0"/>
    </xf>
    <xf numFmtId="0" fontId="33" fillId="12" borderId="10" xfId="14" applyFont="1" applyFill="1" applyBorder="1" applyAlignment="1" applyProtection="1">
      <alignment horizontal="center" vertical="center"/>
      <protection locked="0"/>
    </xf>
    <xf numFmtId="172" fontId="33" fillId="0" borderId="0" xfId="2" applyFont="1" applyBorder="1" applyProtection="1"/>
    <xf numFmtId="4" fontId="32" fillId="0" borderId="68" xfId="0" applyNumberFormat="1" applyFont="1" applyBorder="1" applyAlignment="1">
      <alignment vertical="center"/>
    </xf>
    <xf numFmtId="4" fontId="32" fillId="0" borderId="71" xfId="0" applyNumberFormat="1" applyFont="1" applyBorder="1" applyAlignment="1">
      <alignment vertical="center"/>
    </xf>
    <xf numFmtId="4" fontId="32" fillId="0" borderId="66" xfId="0" applyNumberFormat="1" applyFont="1" applyBorder="1" applyAlignment="1">
      <alignment vertical="center"/>
    </xf>
    <xf numFmtId="4" fontId="32" fillId="0" borderId="73" xfId="0" applyNumberFormat="1" applyFont="1" applyBorder="1" applyAlignment="1">
      <alignment vertical="center"/>
    </xf>
    <xf numFmtId="4" fontId="32" fillId="0" borderId="71" xfId="0" applyNumberFormat="1" applyFont="1" applyBorder="1" applyAlignment="1" applyProtection="1">
      <alignment vertical="center"/>
      <protection locked="0"/>
    </xf>
    <xf numFmtId="4" fontId="2" fillId="0" borderId="68" xfId="0" applyNumberFormat="1" applyFont="1" applyBorder="1" applyAlignment="1">
      <alignment vertical="center"/>
    </xf>
    <xf numFmtId="4" fontId="2" fillId="0" borderId="71" xfId="0" applyNumberFormat="1" applyFont="1" applyBorder="1" applyAlignment="1">
      <alignment vertical="center"/>
    </xf>
    <xf numFmtId="4" fontId="2" fillId="0" borderId="66" xfId="0" applyNumberFormat="1" applyFont="1" applyBorder="1" applyAlignment="1">
      <alignment vertical="center"/>
    </xf>
    <xf numFmtId="4" fontId="2" fillId="0" borderId="73" xfId="0" applyNumberFormat="1" applyFont="1" applyBorder="1" applyAlignment="1">
      <alignment vertical="center"/>
    </xf>
    <xf numFmtId="0" fontId="32" fillId="0" borderId="72" xfId="0" applyFont="1" applyBorder="1" applyAlignment="1">
      <alignment vertical="center"/>
    </xf>
    <xf numFmtId="0" fontId="32" fillId="0" borderId="68" xfId="0" applyFont="1" applyBorder="1" applyAlignment="1">
      <alignment vertical="center"/>
    </xf>
    <xf numFmtId="0" fontId="32" fillId="0" borderId="69" xfId="0" applyFont="1" applyBorder="1" applyAlignment="1">
      <alignment vertical="center"/>
    </xf>
    <xf numFmtId="10" fontId="32" fillId="0" borderId="66" xfId="0" applyNumberFormat="1" applyFont="1" applyBorder="1" applyAlignment="1">
      <alignment vertical="center"/>
    </xf>
    <xf numFmtId="4" fontId="32" fillId="0" borderId="67" xfId="0" applyNumberFormat="1" applyFont="1" applyBorder="1" applyAlignment="1">
      <alignment vertical="center"/>
    </xf>
    <xf numFmtId="0" fontId="2" fillId="0" borderId="72"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10" fontId="2" fillId="0" borderId="66" xfId="0" applyNumberFormat="1" applyFont="1" applyBorder="1" applyAlignment="1">
      <alignment vertical="center"/>
    </xf>
    <xf numFmtId="4" fontId="2" fillId="0" borderId="67" xfId="0" applyNumberFormat="1" applyFont="1" applyBorder="1" applyAlignment="1">
      <alignment vertical="center"/>
    </xf>
    <xf numFmtId="4" fontId="33" fillId="12" borderId="25" xfId="0" applyNumberFormat="1" applyFont="1" applyFill="1" applyBorder="1" applyAlignment="1" applyProtection="1">
      <alignment horizontal="right" vertical="center" wrapText="1"/>
      <protection locked="0"/>
    </xf>
    <xf numFmtId="4" fontId="33" fillId="12" borderId="10" xfId="0" applyNumberFormat="1" applyFont="1" applyFill="1" applyBorder="1" applyAlignment="1" applyProtection="1">
      <alignment horizontal="right" vertical="center" wrapText="1"/>
      <protection locked="0"/>
    </xf>
    <xf numFmtId="4" fontId="33" fillId="12" borderId="25" xfId="0" applyNumberFormat="1" applyFont="1" applyFill="1" applyBorder="1" applyAlignment="1" applyProtection="1">
      <alignment vertical="center"/>
      <protection locked="0"/>
    </xf>
    <xf numFmtId="4" fontId="33" fillId="12" borderId="10" xfId="0" applyNumberFormat="1" applyFont="1" applyFill="1" applyBorder="1" applyAlignment="1" applyProtection="1">
      <alignment vertical="center"/>
      <protection locked="0"/>
    </xf>
    <xf numFmtId="4" fontId="33" fillId="12" borderId="21" xfId="0" applyNumberFormat="1" applyFont="1" applyFill="1" applyBorder="1" applyAlignment="1" applyProtection="1">
      <alignment vertical="center"/>
      <protection locked="0"/>
    </xf>
    <xf numFmtId="4" fontId="33" fillId="12" borderId="10" xfId="0" applyNumberFormat="1" applyFont="1" applyFill="1" applyBorder="1" applyAlignment="1" applyProtection="1">
      <alignment horizontal="center" vertical="center"/>
      <protection locked="0"/>
    </xf>
    <xf numFmtId="4" fontId="33" fillId="12" borderId="66" xfId="0" applyNumberFormat="1" applyFont="1" applyFill="1" applyBorder="1" applyAlignment="1" applyProtection="1">
      <alignment horizontal="center" vertical="center"/>
      <protection locked="0"/>
    </xf>
    <xf numFmtId="10" fontId="43" fillId="12" borderId="66" xfId="3" applyNumberFormat="1" applyFont="1" applyFill="1" applyBorder="1" applyAlignment="1" applyProtection="1">
      <alignment horizontal="center" vertical="center"/>
      <protection locked="0"/>
    </xf>
    <xf numFmtId="0" fontId="33" fillId="12" borderId="66" xfId="0" applyFont="1" applyFill="1" applyBorder="1" applyAlignment="1" applyProtection="1">
      <alignment horizontal="center" vertical="center"/>
      <protection locked="0"/>
    </xf>
    <xf numFmtId="2" fontId="33" fillId="12" borderId="66" xfId="0" applyNumberFormat="1" applyFont="1" applyFill="1" applyBorder="1" applyAlignment="1" applyProtection="1">
      <alignment horizontal="center" vertical="center" wrapText="1"/>
      <protection locked="0"/>
    </xf>
    <xf numFmtId="10" fontId="33" fillId="12" borderId="10" xfId="0" applyNumberFormat="1" applyFont="1" applyFill="1" applyBorder="1" applyAlignment="1" applyProtection="1">
      <alignment vertical="center"/>
      <protection locked="0"/>
    </xf>
    <xf numFmtId="0" fontId="43" fillId="0" borderId="0" xfId="0" applyFont="1" applyAlignment="1">
      <alignment horizontal="center" vertical="center"/>
    </xf>
    <xf numFmtId="0" fontId="33" fillId="3" borderId="51" xfId="0" applyFont="1" applyFill="1" applyBorder="1" applyAlignment="1">
      <alignment horizontal="center" vertical="center" textRotation="90" wrapText="1"/>
    </xf>
    <xf numFmtId="0" fontId="33" fillId="3" borderId="35"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3" fillId="3" borderId="30" xfId="0" applyFont="1" applyFill="1" applyBorder="1" applyAlignment="1">
      <alignment horizontal="center" vertical="center" wrapText="1"/>
    </xf>
    <xf numFmtId="170" fontId="33" fillId="0" borderId="0" xfId="0" applyNumberFormat="1" applyFont="1" applyAlignment="1">
      <alignment vertical="center"/>
    </xf>
    <xf numFmtId="0" fontId="33" fillId="0" borderId="46" xfId="0" applyFont="1" applyBorder="1" applyAlignment="1">
      <alignment horizontal="left" vertical="center" wrapText="1"/>
    </xf>
    <xf numFmtId="0" fontId="33" fillId="0" borderId="25" xfId="0" applyFont="1" applyBorder="1" applyAlignment="1">
      <alignment horizontal="center" vertical="center" wrapText="1"/>
    </xf>
    <xf numFmtId="4" fontId="33" fillId="0" borderId="25" xfId="0" applyNumberFormat="1" applyFont="1" applyBorder="1" applyAlignment="1">
      <alignment horizontal="right" vertical="center" wrapText="1"/>
    </xf>
    <xf numFmtId="168" fontId="57" fillId="13" borderId="10" xfId="14" applyNumberFormat="1" applyFont="1" applyFill="1" applyBorder="1" applyAlignment="1">
      <alignment horizontal="center" vertical="center"/>
    </xf>
    <xf numFmtId="4" fontId="33" fillId="0" borderId="14" xfId="0" applyNumberFormat="1" applyFont="1" applyBorder="1" applyAlignment="1">
      <alignment horizontal="right" vertical="center" wrapText="1"/>
    </xf>
    <xf numFmtId="4" fontId="33" fillId="0" borderId="11" xfId="0" applyNumberFormat="1" applyFont="1" applyBorder="1" applyAlignment="1">
      <alignment horizontal="right" vertical="center" wrapText="1"/>
    </xf>
    <xf numFmtId="0" fontId="33" fillId="0" borderId="47" xfId="0" applyFont="1" applyBorder="1" applyAlignment="1">
      <alignment horizontal="left" vertical="center" wrapText="1"/>
    </xf>
    <xf numFmtId="0" fontId="33" fillId="0" borderId="10" xfId="0" applyFont="1" applyBorder="1" applyAlignment="1">
      <alignment horizontal="center" vertical="center" wrapText="1"/>
    </xf>
    <xf numFmtId="0" fontId="33" fillId="0" borderId="40" xfId="0" applyFont="1" applyBorder="1" applyAlignment="1">
      <alignment horizontal="left" vertical="center"/>
    </xf>
    <xf numFmtId="1" fontId="33" fillId="0" borderId="25" xfId="0" applyNumberFormat="1" applyFont="1" applyBorder="1" applyAlignment="1">
      <alignment horizontal="center" vertical="center"/>
    </xf>
    <xf numFmtId="4" fontId="33" fillId="0" borderId="25" xfId="0" applyNumberFormat="1" applyFont="1" applyBorder="1" applyAlignment="1">
      <alignment vertical="center"/>
    </xf>
    <xf numFmtId="4" fontId="33" fillId="2" borderId="11" xfId="0" applyNumberFormat="1" applyFont="1" applyFill="1" applyBorder="1" applyAlignment="1">
      <alignment vertical="center"/>
    </xf>
    <xf numFmtId="1" fontId="33" fillId="0" borderId="10" xfId="0" applyNumberFormat="1" applyFont="1" applyBorder="1" applyAlignment="1">
      <alignment horizontal="center" vertical="center"/>
    </xf>
    <xf numFmtId="4" fontId="33" fillId="0" borderId="10" xfId="0" applyNumberFormat="1" applyFont="1" applyBorder="1" applyAlignment="1">
      <alignment vertical="center"/>
    </xf>
    <xf numFmtId="0" fontId="33" fillId="0" borderId="40" xfId="0" applyFont="1" applyBorder="1" applyAlignment="1">
      <alignment horizontal="left" vertical="center" wrapText="1"/>
    </xf>
    <xf numFmtId="1" fontId="33" fillId="2" borderId="10" xfId="0" applyNumberFormat="1" applyFont="1" applyFill="1" applyBorder="1" applyAlignment="1">
      <alignment horizontal="center" vertical="center"/>
    </xf>
    <xf numFmtId="0" fontId="33" fillId="2" borderId="40" xfId="0" applyFont="1" applyFill="1" applyBorder="1" applyAlignment="1">
      <alignment horizontal="left" vertical="center" wrapText="1"/>
    </xf>
    <xf numFmtId="4" fontId="33" fillId="0" borderId="11" xfId="0" applyNumberFormat="1" applyFont="1" applyBorder="1" applyAlignment="1">
      <alignment vertical="center"/>
    </xf>
    <xf numFmtId="0" fontId="33" fillId="2" borderId="19" xfId="0" applyFont="1" applyFill="1" applyBorder="1" applyAlignment="1">
      <alignment horizontal="left" vertical="center"/>
    </xf>
    <xf numFmtId="1" fontId="33" fillId="2" borderId="23" xfId="0" applyNumberFormat="1" applyFont="1" applyFill="1" applyBorder="1" applyAlignment="1">
      <alignment horizontal="center" vertical="center"/>
    </xf>
    <xf numFmtId="0" fontId="33" fillId="0" borderId="65" xfId="0" applyFont="1" applyBorder="1" applyAlignment="1">
      <alignment vertical="center"/>
    </xf>
    <xf numFmtId="1" fontId="33" fillId="0" borderId="21" xfId="0" applyNumberFormat="1" applyFont="1" applyBorder="1" applyAlignment="1">
      <alignment horizontal="center" vertical="center"/>
    </xf>
    <xf numFmtId="4" fontId="33" fillId="0" borderId="21" xfId="0" applyNumberFormat="1" applyFont="1" applyBorder="1" applyAlignment="1">
      <alignment vertical="center"/>
    </xf>
    <xf numFmtId="168" fontId="57" fillId="13" borderId="21" xfId="14" applyNumberFormat="1" applyFont="1" applyFill="1" applyBorder="1" applyAlignment="1">
      <alignment horizontal="center" vertical="center"/>
    </xf>
    <xf numFmtId="4" fontId="33" fillId="0" borderId="45" xfId="0" applyNumberFormat="1" applyFont="1" applyBorder="1" applyAlignment="1">
      <alignment horizontal="right" vertical="center" wrapText="1"/>
    </xf>
    <xf numFmtId="4" fontId="33" fillId="2" borderId="16" xfId="0" applyNumberFormat="1" applyFont="1" applyFill="1" applyBorder="1" applyAlignment="1">
      <alignment vertical="center"/>
    </xf>
    <xf numFmtId="0" fontId="43" fillId="0" borderId="0" xfId="14" applyFont="1" applyAlignment="1">
      <alignment vertical="center"/>
    </xf>
    <xf numFmtId="0" fontId="33" fillId="0" borderId="0" xfId="14" applyFont="1"/>
    <xf numFmtId="0" fontId="33" fillId="0" borderId="10" xfId="14" applyFont="1" applyBorder="1" applyAlignment="1">
      <alignment vertical="center"/>
    </xf>
    <xf numFmtId="0" fontId="33" fillId="0" borderId="10" xfId="0" applyFont="1" applyBorder="1" applyAlignment="1">
      <alignment horizontal="center"/>
    </xf>
    <xf numFmtId="10" fontId="33" fillId="0" borderId="10" xfId="0" applyNumberFormat="1" applyFont="1" applyBorder="1" applyAlignment="1">
      <alignment vertical="center"/>
    </xf>
    <xf numFmtId="0" fontId="33" fillId="0" borderId="12" xfId="14" applyFont="1" applyBorder="1" applyAlignment="1">
      <alignment vertical="center"/>
    </xf>
    <xf numFmtId="10" fontId="43" fillId="0" borderId="10" xfId="33" applyNumberFormat="1" applyFont="1" applyBorder="1" applyAlignment="1" applyProtection="1">
      <alignment horizontal="center" vertical="center"/>
    </xf>
    <xf numFmtId="0" fontId="33" fillId="0" borderId="0" xfId="14" applyFont="1" applyAlignment="1">
      <alignment vertical="center"/>
    </xf>
    <xf numFmtId="171" fontId="33" fillId="0" borderId="0" xfId="0" applyNumberFormat="1" applyFont="1"/>
    <xf numFmtId="10" fontId="33" fillId="0" borderId="0" xfId="0" applyNumberFormat="1" applyFont="1"/>
    <xf numFmtId="0" fontId="33" fillId="0" borderId="10" xfId="0" applyFont="1" applyBorder="1" applyAlignment="1">
      <alignment vertical="center"/>
    </xf>
    <xf numFmtId="4" fontId="53" fillId="0" borderId="66" xfId="0" applyNumberFormat="1" applyFont="1" applyBorder="1" applyAlignment="1">
      <alignment horizontal="center" vertical="center"/>
    </xf>
    <xf numFmtId="0" fontId="16" fillId="0" borderId="0" xfId="14" applyFont="1" applyAlignment="1">
      <alignment horizontal="left"/>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66" xfId="0" applyFont="1" applyBorder="1" applyAlignment="1">
      <alignment vertical="center"/>
    </xf>
    <xf numFmtId="0" fontId="33" fillId="0" borderId="0" xfId="0" applyFont="1" applyAlignment="1">
      <alignment horizontal="left" vertical="center"/>
    </xf>
    <xf numFmtId="10" fontId="33" fillId="0" borderId="0" xfId="0" applyNumberFormat="1" applyFont="1" applyAlignment="1">
      <alignment vertical="center"/>
    </xf>
    <xf numFmtId="0" fontId="33" fillId="0" borderId="9" xfId="0" applyFont="1" applyBorder="1" applyAlignment="1">
      <alignment vertical="center"/>
    </xf>
    <xf numFmtId="0" fontId="58" fillId="0" borderId="0" xfId="74"/>
    <xf numFmtId="0" fontId="32" fillId="0" borderId="0" xfId="74" applyFont="1"/>
    <xf numFmtId="0" fontId="49" fillId="0" borderId="0" xfId="74" applyFont="1" applyAlignment="1">
      <alignment vertical="center" wrapText="1"/>
    </xf>
    <xf numFmtId="0" fontId="32" fillId="0" borderId="71" xfId="74" applyFont="1" applyBorder="1" applyAlignment="1">
      <alignment horizontal="center" vertical="center"/>
    </xf>
    <xf numFmtId="4" fontId="32" fillId="2" borderId="66" xfId="73" applyNumberFormat="1" applyFont="1" applyFill="1" applyBorder="1" applyAlignment="1" applyProtection="1">
      <alignment vertical="center"/>
    </xf>
    <xf numFmtId="4" fontId="32" fillId="2" borderId="73" xfId="73" applyNumberFormat="1" applyFont="1" applyFill="1" applyBorder="1" applyAlignment="1" applyProtection="1">
      <alignment vertical="center"/>
    </xf>
    <xf numFmtId="10" fontId="37" fillId="0" borderId="66" xfId="74" applyNumberFormat="1" applyFont="1" applyBorder="1" applyAlignment="1">
      <alignment horizontal="center" vertical="center"/>
    </xf>
    <xf numFmtId="10" fontId="52" fillId="0" borderId="66" xfId="74" applyNumberFormat="1" applyFont="1" applyBorder="1" applyAlignment="1">
      <alignment horizontal="center" vertical="center"/>
    </xf>
    <xf numFmtId="4" fontId="35" fillId="2" borderId="66" xfId="73" applyNumberFormat="1" applyFont="1" applyFill="1" applyBorder="1" applyAlignment="1" applyProtection="1">
      <alignment horizontal="right" vertical="center"/>
    </xf>
    <xf numFmtId="4" fontId="35" fillId="2" borderId="73" xfId="73" applyNumberFormat="1" applyFont="1" applyFill="1" applyBorder="1" applyAlignment="1" applyProtection="1">
      <alignment horizontal="right" vertical="center"/>
    </xf>
    <xf numFmtId="0" fontId="52" fillId="3" borderId="71" xfId="74" applyFont="1" applyFill="1" applyBorder="1" applyAlignment="1" applyProtection="1">
      <alignment horizontal="center" vertical="center"/>
      <protection locked="0"/>
    </xf>
    <xf numFmtId="0" fontId="52" fillId="3" borderId="66" xfId="74" applyFont="1" applyFill="1" applyBorder="1" applyAlignment="1" applyProtection="1">
      <alignment vertical="center"/>
      <protection locked="0"/>
    </xf>
    <xf numFmtId="0" fontId="32" fillId="0" borderId="71" xfId="74" applyFont="1" applyBorder="1" applyAlignment="1" applyProtection="1">
      <alignment horizontal="center" vertical="center"/>
      <protection locked="0"/>
    </xf>
    <xf numFmtId="0" fontId="32" fillId="0" borderId="66" xfId="74" applyFont="1" applyBorder="1" applyAlignment="1" applyProtection="1">
      <alignment vertical="center"/>
      <protection locked="0"/>
    </xf>
    <xf numFmtId="4" fontId="32" fillId="0" borderId="66" xfId="74" applyNumberFormat="1" applyFont="1" applyBorder="1" applyAlignment="1" applyProtection="1">
      <alignment vertical="center"/>
      <protection locked="0"/>
    </xf>
    <xf numFmtId="4" fontId="32" fillId="0" borderId="66" xfId="74" applyNumberFormat="1" applyFont="1" applyBorder="1"/>
    <xf numFmtId="4" fontId="32" fillId="0" borderId="73" xfId="74" applyNumberFormat="1" applyFont="1" applyBorder="1"/>
    <xf numFmtId="4" fontId="32" fillId="0" borderId="73" xfId="74" applyNumberFormat="1" applyFont="1" applyBorder="1" applyAlignment="1" applyProtection="1">
      <alignment vertical="center"/>
      <protection locked="0"/>
    </xf>
    <xf numFmtId="4" fontId="52" fillId="0" borderId="66" xfId="74" applyNumberFormat="1" applyFont="1" applyBorder="1" applyAlignment="1" applyProtection="1">
      <alignment vertical="center"/>
      <protection locked="0"/>
    </xf>
    <xf numFmtId="4" fontId="52" fillId="0" borderId="73" xfId="74" applyNumberFormat="1" applyFont="1" applyBorder="1" applyAlignment="1" applyProtection="1">
      <alignment vertical="center"/>
      <protection locked="0"/>
    </xf>
    <xf numFmtId="10" fontId="52" fillId="3" borderId="66" xfId="74" applyNumberFormat="1" applyFont="1" applyFill="1" applyBorder="1" applyAlignment="1">
      <alignment horizontal="center" vertical="center"/>
    </xf>
    <xf numFmtId="10" fontId="32" fillId="0" borderId="66" xfId="74" applyNumberFormat="1" applyFont="1" applyBorder="1" applyAlignment="1" applyProtection="1">
      <alignment vertical="center" wrapText="1"/>
      <protection locked="0"/>
    </xf>
    <xf numFmtId="4" fontId="32" fillId="2" borderId="66" xfId="74" applyNumberFormat="1" applyFont="1" applyFill="1" applyBorder="1" applyAlignment="1">
      <alignment horizontal="right" vertical="center"/>
    </xf>
    <xf numFmtId="4" fontId="32" fillId="2" borderId="73" xfId="74" applyNumberFormat="1" applyFont="1" applyFill="1" applyBorder="1" applyAlignment="1">
      <alignment horizontal="right" vertical="center"/>
    </xf>
    <xf numFmtId="0" fontId="52" fillId="0" borderId="71" xfId="74" applyFont="1" applyBorder="1" applyAlignment="1" applyProtection="1">
      <alignment horizontal="center" vertical="center"/>
      <protection locked="0"/>
    </xf>
    <xf numFmtId="10" fontId="52" fillId="0" borderId="66" xfId="74" applyNumberFormat="1" applyFont="1" applyBorder="1" applyAlignment="1" applyProtection="1">
      <alignment vertical="center" wrapText="1"/>
      <protection locked="0"/>
    </xf>
    <xf numFmtId="4" fontId="52" fillId="2" borderId="66" xfId="74" applyNumberFormat="1" applyFont="1" applyFill="1" applyBorder="1" applyAlignment="1" applyProtection="1">
      <alignment horizontal="right" vertical="center"/>
      <protection locked="0"/>
    </xf>
    <xf numFmtId="0" fontId="32" fillId="2" borderId="71" xfId="74" applyFont="1" applyFill="1" applyBorder="1" applyAlignment="1" applyProtection="1">
      <alignment horizontal="center" vertical="center"/>
      <protection locked="0"/>
    </xf>
    <xf numFmtId="0" fontId="32" fillId="0" borderId="66" xfId="74" applyFont="1" applyBorder="1" applyAlignment="1">
      <alignment vertical="center"/>
    </xf>
    <xf numFmtId="4" fontId="37" fillId="2" borderId="66" xfId="74" applyNumberFormat="1" applyFont="1" applyFill="1" applyBorder="1" applyAlignment="1">
      <alignment vertical="center"/>
    </xf>
    <xf numFmtId="4" fontId="37" fillId="2" borderId="73" xfId="74" applyNumberFormat="1" applyFont="1" applyFill="1" applyBorder="1" applyAlignment="1">
      <alignment vertical="center"/>
    </xf>
    <xf numFmtId="0" fontId="52" fillId="0" borderId="66" xfId="74" applyFont="1" applyBorder="1" applyAlignment="1">
      <alignment vertical="center"/>
    </xf>
    <xf numFmtId="4" fontId="52" fillId="2" borderId="66" xfId="74" applyNumberFormat="1" applyFont="1" applyFill="1" applyBorder="1" applyAlignment="1">
      <alignment vertical="center"/>
    </xf>
    <xf numFmtId="4" fontId="52" fillId="2" borderId="73" xfId="74" applyNumberFormat="1" applyFont="1" applyFill="1" applyBorder="1" applyAlignment="1">
      <alignment vertical="center"/>
    </xf>
    <xf numFmtId="4" fontId="52" fillId="2" borderId="73" xfId="74" applyNumberFormat="1" applyFont="1" applyFill="1" applyBorder="1" applyAlignment="1" applyProtection="1">
      <alignment horizontal="right" vertical="center"/>
      <protection locked="0"/>
    </xf>
    <xf numFmtId="0" fontId="35" fillId="2" borderId="84" xfId="0" applyFont="1" applyFill="1" applyBorder="1" applyAlignment="1">
      <alignment horizontal="center" vertical="center" wrapText="1"/>
    </xf>
    <xf numFmtId="0" fontId="47" fillId="0" borderId="81" xfId="0" applyFont="1" applyBorder="1" applyAlignment="1">
      <alignment horizontal="center" vertical="center"/>
    </xf>
    <xf numFmtId="0" fontId="47" fillId="0" borderId="77" xfId="0" applyFont="1" applyBorder="1" applyAlignment="1">
      <alignment horizontal="center" vertical="center" wrapText="1"/>
    </xf>
    <xf numFmtId="1" fontId="32" fillId="0" borderId="66" xfId="0" applyNumberFormat="1" applyFont="1" applyBorder="1" applyAlignment="1" applyProtection="1">
      <alignment vertical="center"/>
      <protection locked="0"/>
    </xf>
    <xf numFmtId="4" fontId="32" fillId="0" borderId="70" xfId="0" applyNumberFormat="1" applyFont="1" applyBorder="1" applyAlignment="1">
      <alignment vertical="center"/>
    </xf>
    <xf numFmtId="9" fontId="32" fillId="0" borderId="66" xfId="3" applyFont="1" applyBorder="1" applyAlignment="1" applyProtection="1">
      <alignment vertical="center"/>
      <protection locked="0"/>
    </xf>
    <xf numFmtId="4" fontId="32" fillId="2" borderId="67" xfId="1" applyNumberFormat="1" applyFont="1" applyFill="1" applyBorder="1" applyAlignment="1" applyProtection="1">
      <alignment vertical="center"/>
      <protection locked="0"/>
    </xf>
    <xf numFmtId="4" fontId="32" fillId="0" borderId="86" xfId="0" applyNumberFormat="1" applyFont="1" applyBorder="1" applyAlignment="1">
      <alignment vertical="center"/>
    </xf>
    <xf numFmtId="4" fontId="35" fillId="3" borderId="71" xfId="0" applyNumberFormat="1" applyFont="1" applyFill="1" applyBorder="1" applyAlignment="1">
      <alignment vertical="center"/>
    </xf>
    <xf numFmtId="4" fontId="35" fillId="3" borderId="77" xfId="0" applyNumberFormat="1" applyFont="1" applyFill="1" applyBorder="1" applyAlignment="1">
      <alignment vertical="center"/>
    </xf>
    <xf numFmtId="4" fontId="35" fillId="3" borderId="73" xfId="0" applyNumberFormat="1" applyFont="1" applyFill="1" applyBorder="1" applyAlignment="1">
      <alignment vertical="center"/>
    </xf>
    <xf numFmtId="10" fontId="32" fillId="0" borderId="67" xfId="0" applyNumberFormat="1" applyFont="1" applyBorder="1" applyAlignment="1" applyProtection="1">
      <alignment vertical="center"/>
      <protection locked="0"/>
    </xf>
    <xf numFmtId="4" fontId="35" fillId="3" borderId="66" xfId="0" applyNumberFormat="1" applyFont="1" applyFill="1" applyBorder="1" applyAlignment="1">
      <alignment vertical="center"/>
    </xf>
    <xf numFmtId="0" fontId="35" fillId="0" borderId="66" xfId="0" applyFont="1" applyBorder="1" applyAlignment="1">
      <alignment horizontal="center" vertical="center"/>
    </xf>
    <xf numFmtId="0" fontId="32" fillId="0" borderId="66" xfId="0" applyFont="1" applyBorder="1" applyAlignment="1">
      <alignment vertical="center"/>
    </xf>
    <xf numFmtId="10" fontId="32" fillId="0" borderId="67" xfId="0" applyNumberFormat="1" applyFont="1" applyBorder="1" applyAlignment="1">
      <alignment vertical="center"/>
    </xf>
    <xf numFmtId="0" fontId="32" fillId="0" borderId="67" xfId="0" applyFont="1" applyBorder="1" applyAlignment="1">
      <alignment vertical="center"/>
    </xf>
    <xf numFmtId="9" fontId="32" fillId="0" borderId="67" xfId="0" applyNumberFormat="1" applyFont="1" applyBorder="1" applyAlignment="1">
      <alignment vertical="center"/>
    </xf>
    <xf numFmtId="0" fontId="35" fillId="3" borderId="72" xfId="0" applyFont="1" applyFill="1" applyBorder="1" applyAlignment="1">
      <alignment vertical="center"/>
    </xf>
    <xf numFmtId="0" fontId="35" fillId="3" borderId="68" xfId="0" applyFont="1" applyFill="1" applyBorder="1" applyAlignment="1">
      <alignment vertical="center"/>
    </xf>
    <xf numFmtId="10" fontId="35" fillId="3" borderId="66" xfId="0" applyNumberFormat="1" applyFont="1" applyFill="1" applyBorder="1" applyAlignment="1">
      <alignment vertical="center"/>
    </xf>
    <xf numFmtId="4" fontId="35" fillId="3" borderId="68" xfId="0" applyNumberFormat="1" applyFont="1" applyFill="1" applyBorder="1" applyAlignment="1">
      <alignment vertical="center"/>
    </xf>
    <xf numFmtId="0" fontId="35" fillId="3" borderId="69" xfId="0" applyFont="1" applyFill="1" applyBorder="1" applyAlignment="1">
      <alignment vertical="center"/>
    </xf>
    <xf numFmtId="4" fontId="35" fillId="3" borderId="67" xfId="0" applyNumberFormat="1" applyFont="1" applyFill="1" applyBorder="1" applyAlignment="1">
      <alignment vertical="center"/>
    </xf>
    <xf numFmtId="4" fontId="35" fillId="3" borderId="88" xfId="0" applyNumberFormat="1" applyFont="1" applyFill="1" applyBorder="1" applyAlignment="1">
      <alignment vertical="center"/>
    </xf>
    <xf numFmtId="4" fontId="35" fillId="3" borderId="85" xfId="0" applyNumberFormat="1" applyFont="1" applyFill="1" applyBorder="1" applyAlignment="1">
      <alignment vertical="center"/>
    </xf>
    <xf numFmtId="4" fontId="35" fillId="3" borderId="70" xfId="0" applyNumberFormat="1" applyFont="1" applyFill="1" applyBorder="1" applyAlignment="1">
      <alignment vertical="center"/>
    </xf>
    <xf numFmtId="4" fontId="35" fillId="3" borderId="90" xfId="0" applyNumberFormat="1" applyFont="1" applyFill="1" applyBorder="1" applyAlignment="1">
      <alignment vertical="center"/>
    </xf>
    <xf numFmtId="0" fontId="2" fillId="0" borderId="0" xfId="0" applyFont="1" applyAlignment="1">
      <alignment vertical="center"/>
    </xf>
    <xf numFmtId="4" fontId="2" fillId="0" borderId="0" xfId="0" applyNumberFormat="1" applyFont="1" applyAlignment="1">
      <alignment vertical="center"/>
    </xf>
    <xf numFmtId="0" fontId="28" fillId="2" borderId="84" xfId="0" applyFont="1" applyFill="1" applyBorder="1" applyAlignment="1">
      <alignment horizontal="center" vertical="center" wrapText="1"/>
    </xf>
    <xf numFmtId="0" fontId="30" fillId="0" borderId="81" xfId="0" applyFont="1" applyBorder="1" applyAlignment="1">
      <alignment horizontal="center" vertical="center"/>
    </xf>
    <xf numFmtId="0" fontId="30" fillId="0" borderId="77" xfId="0" applyFont="1" applyBorder="1" applyAlignment="1">
      <alignment horizontal="center" vertical="center" wrapText="1"/>
    </xf>
    <xf numFmtId="1" fontId="2" fillId="0" borderId="66" xfId="0" applyNumberFormat="1" applyFont="1" applyBorder="1" applyAlignment="1" applyProtection="1">
      <alignment vertical="center"/>
      <protection locked="0"/>
    </xf>
    <xf numFmtId="4" fontId="2" fillId="0" borderId="72" xfId="0" applyNumberFormat="1" applyFont="1" applyBorder="1" applyAlignment="1">
      <alignment vertical="center"/>
    </xf>
    <xf numFmtId="9" fontId="2" fillId="0" borderId="66" xfId="3" applyFont="1" applyBorder="1" applyAlignment="1" applyProtection="1">
      <alignment vertical="center"/>
      <protection locked="0"/>
    </xf>
    <xf numFmtId="4" fontId="2" fillId="2" borderId="67" xfId="1" applyNumberFormat="1" applyFont="1" applyFill="1" applyBorder="1" applyAlignment="1" applyProtection="1">
      <alignment vertical="center"/>
      <protection locked="0"/>
    </xf>
    <xf numFmtId="4" fontId="28" fillId="3" borderId="71" xfId="0" applyNumberFormat="1" applyFont="1" applyFill="1" applyBorder="1" applyAlignment="1">
      <alignment vertical="center"/>
    </xf>
    <xf numFmtId="4" fontId="28" fillId="3" borderId="77" xfId="0" applyNumberFormat="1" applyFont="1" applyFill="1" applyBorder="1" applyAlignment="1">
      <alignment vertical="center"/>
    </xf>
    <xf numFmtId="4" fontId="28" fillId="3" borderId="82" xfId="0" applyNumberFormat="1" applyFont="1" applyFill="1" applyBorder="1" applyAlignment="1">
      <alignment vertical="center"/>
    </xf>
    <xf numFmtId="10" fontId="2" fillId="0" borderId="67" xfId="0" applyNumberFormat="1" applyFont="1" applyBorder="1" applyAlignment="1" applyProtection="1">
      <alignment vertical="center"/>
      <protection locked="0"/>
    </xf>
    <xf numFmtId="4" fontId="28" fillId="3" borderId="66" xfId="0" applyNumberFormat="1" applyFont="1" applyFill="1" applyBorder="1" applyAlignment="1">
      <alignment vertical="center"/>
    </xf>
    <xf numFmtId="4" fontId="28" fillId="3" borderId="73" xfId="0" applyNumberFormat="1" applyFont="1" applyFill="1" applyBorder="1" applyAlignment="1">
      <alignment vertical="center"/>
    </xf>
    <xf numFmtId="0" fontId="28" fillId="0" borderId="66" xfId="0" applyFont="1" applyBorder="1" applyAlignment="1">
      <alignment horizontal="center" vertical="center"/>
    </xf>
    <xf numFmtId="0" fontId="2" fillId="0" borderId="66" xfId="0" applyFont="1" applyBorder="1" applyAlignment="1">
      <alignment vertical="center"/>
    </xf>
    <xf numFmtId="10" fontId="2" fillId="0" borderId="67" xfId="0" applyNumberFormat="1" applyFont="1" applyBorder="1" applyAlignment="1">
      <alignment vertical="center"/>
    </xf>
    <xf numFmtId="0" fontId="2" fillId="0" borderId="67" xfId="0" applyFont="1" applyBorder="1" applyAlignment="1">
      <alignment vertical="center"/>
    </xf>
    <xf numFmtId="9" fontId="2" fillId="0" borderId="67" xfId="0" applyNumberFormat="1" applyFont="1" applyBorder="1" applyAlignment="1">
      <alignment vertical="center"/>
    </xf>
    <xf numFmtId="0" fontId="28" fillId="3" borderId="72" xfId="0" applyFont="1" applyFill="1" applyBorder="1" applyAlignment="1">
      <alignment vertical="center"/>
    </xf>
    <xf numFmtId="0" fontId="28" fillId="3" borderId="68" xfId="0" applyFont="1" applyFill="1" applyBorder="1" applyAlignment="1">
      <alignment vertical="center"/>
    </xf>
    <xf numFmtId="10" fontId="28" fillId="3" borderId="66" xfId="0" applyNumberFormat="1" applyFont="1" applyFill="1" applyBorder="1" applyAlignment="1">
      <alignment vertical="center"/>
    </xf>
    <xf numFmtId="4" fontId="28" fillId="3" borderId="68" xfId="0" applyNumberFormat="1" applyFont="1" applyFill="1" applyBorder="1" applyAlignment="1">
      <alignment vertical="center"/>
    </xf>
    <xf numFmtId="0" fontId="28" fillId="3" borderId="69" xfId="0" applyFont="1" applyFill="1" applyBorder="1" applyAlignment="1">
      <alignment vertical="center"/>
    </xf>
    <xf numFmtId="4" fontId="28" fillId="3" borderId="67" xfId="0" applyNumberFormat="1" applyFont="1" applyFill="1" applyBorder="1" applyAlignment="1">
      <alignment vertical="center"/>
    </xf>
    <xf numFmtId="4" fontId="28" fillId="3" borderId="88" xfId="0" applyNumberFormat="1" applyFont="1" applyFill="1" applyBorder="1" applyAlignment="1">
      <alignment vertical="center"/>
    </xf>
    <xf numFmtId="4" fontId="28" fillId="3" borderId="85" xfId="0" applyNumberFormat="1" applyFont="1" applyFill="1" applyBorder="1" applyAlignment="1">
      <alignment vertical="center"/>
    </xf>
    <xf numFmtId="4" fontId="28" fillId="3" borderId="70" xfId="0" applyNumberFormat="1" applyFont="1" applyFill="1" applyBorder="1" applyAlignment="1">
      <alignment vertical="center"/>
    </xf>
    <xf numFmtId="4" fontId="28" fillId="3" borderId="90" xfId="0" applyNumberFormat="1" applyFont="1" applyFill="1" applyBorder="1" applyAlignment="1">
      <alignment vertical="center"/>
    </xf>
    <xf numFmtId="4" fontId="35" fillId="3" borderId="82" xfId="0" applyNumberFormat="1" applyFont="1" applyFill="1" applyBorder="1" applyAlignment="1">
      <alignment vertical="center"/>
    </xf>
    <xf numFmtId="10" fontId="32" fillId="0" borderId="66" xfId="0" applyNumberFormat="1" applyFont="1" applyBorder="1" applyAlignment="1" applyProtection="1">
      <alignment vertical="center"/>
      <protection locked="0"/>
    </xf>
    <xf numFmtId="4" fontId="32" fillId="0" borderId="69" xfId="0" applyNumberFormat="1" applyFont="1" applyBorder="1" applyAlignment="1">
      <alignment vertical="center"/>
    </xf>
    <xf numFmtId="4" fontId="35" fillId="3" borderId="69" xfId="0" applyNumberFormat="1" applyFont="1" applyFill="1" applyBorder="1" applyAlignment="1">
      <alignment vertical="center"/>
    </xf>
    <xf numFmtId="3" fontId="32" fillId="0" borderId="66" xfId="0" applyNumberFormat="1" applyFont="1" applyBorder="1" applyAlignment="1" applyProtection="1">
      <alignment vertical="center"/>
      <protection locked="0"/>
    </xf>
    <xf numFmtId="4" fontId="32" fillId="0" borderId="66" xfId="3" applyNumberFormat="1" applyFont="1" applyBorder="1" applyAlignment="1" applyProtection="1">
      <alignment vertical="center"/>
      <protection locked="0"/>
    </xf>
    <xf numFmtId="4" fontId="35" fillId="3" borderId="81" xfId="0" applyNumberFormat="1" applyFont="1" applyFill="1" applyBorder="1" applyAlignment="1">
      <alignment vertical="center"/>
    </xf>
    <xf numFmtId="0" fontId="33" fillId="0" borderId="3" xfId="0" applyFont="1" applyBorder="1" applyAlignment="1">
      <alignment horizontal="center"/>
    </xf>
    <xf numFmtId="4" fontId="33" fillId="0" borderId="3" xfId="0" applyNumberFormat="1" applyFont="1" applyBorder="1" applyAlignment="1">
      <alignment horizontal="center"/>
    </xf>
    <xf numFmtId="4" fontId="33" fillId="0" borderId="4" xfId="0" applyNumberFormat="1" applyFont="1" applyBorder="1" applyAlignment="1">
      <alignment horizontal="center"/>
    </xf>
    <xf numFmtId="4" fontId="33" fillId="0" borderId="6" xfId="0" applyNumberFormat="1" applyFont="1" applyBorder="1" applyAlignment="1">
      <alignment horizontal="center"/>
    </xf>
    <xf numFmtId="0" fontId="33" fillId="0" borderId="6" xfId="0" applyFont="1" applyBorder="1" applyAlignment="1">
      <alignment vertical="center"/>
    </xf>
    <xf numFmtId="0" fontId="8" fillId="0" borderId="3" xfId="0" applyFont="1" applyBorder="1" applyAlignment="1">
      <alignment horizontal="left"/>
    </xf>
    <xf numFmtId="0" fontId="7" fillId="0" borderId="0" xfId="0" applyFont="1"/>
    <xf numFmtId="0" fontId="8" fillId="0" borderId="0" xfId="0" applyFont="1" applyAlignment="1">
      <alignment horizontal="left"/>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3" borderId="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vertical="center"/>
    </xf>
    <xf numFmtId="10" fontId="7" fillId="2" borderId="11" xfId="0" applyNumberFormat="1" applyFont="1" applyFill="1" applyBorder="1" applyAlignment="1">
      <alignment horizontal="center" vertical="center"/>
    </xf>
    <xf numFmtId="9" fontId="7" fillId="0" borderId="0" xfId="0" applyNumberFormat="1" applyFont="1"/>
    <xf numFmtId="10" fontId="11" fillId="2" borderId="11" xfId="0" applyNumberFormat="1" applyFont="1" applyFill="1" applyBorder="1" applyAlignment="1">
      <alignment horizontal="center" vertical="center"/>
    </xf>
    <xf numFmtId="0" fontId="11" fillId="3" borderId="10" xfId="0" applyFont="1" applyFill="1" applyBorder="1" applyAlignment="1">
      <alignment vertical="center"/>
    </xf>
    <xf numFmtId="0" fontId="11" fillId="3" borderId="13" xfId="0" applyFont="1" applyFill="1" applyBorder="1" applyAlignment="1">
      <alignment horizontal="center" vertical="center"/>
    </xf>
    <xf numFmtId="0" fontId="7" fillId="0" borderId="9" xfId="0" applyFont="1" applyBorder="1" applyAlignment="1">
      <alignment horizontal="center" vertical="center"/>
    </xf>
    <xf numFmtId="10" fontId="7" fillId="0" borderId="11" xfId="0" applyNumberFormat="1" applyFont="1" applyBorder="1" applyAlignment="1">
      <alignment horizontal="center" vertical="center"/>
    </xf>
    <xf numFmtId="10" fontId="12" fillId="0" borderId="14" xfId="0" applyNumberFormat="1" applyFont="1" applyBorder="1" applyAlignment="1">
      <alignment horizontal="center" vertical="center"/>
    </xf>
    <xf numFmtId="10" fontId="12" fillId="0" borderId="11" xfId="0" applyNumberFormat="1" applyFont="1" applyBorder="1" applyAlignment="1">
      <alignment horizontal="center" vertical="center"/>
    </xf>
    <xf numFmtId="0" fontId="7" fillId="0" borderId="12" xfId="0" applyFont="1" applyBorder="1" applyAlignment="1">
      <alignment vertical="center"/>
    </xf>
    <xf numFmtId="10" fontId="13" fillId="0" borderId="14" xfId="0" applyNumberFormat="1" applyFont="1" applyBorder="1" applyAlignment="1">
      <alignment horizontal="center" vertical="center"/>
    </xf>
    <xf numFmtId="10" fontId="11" fillId="0" borderId="11" xfId="0" applyNumberFormat="1" applyFont="1" applyBorder="1" applyAlignment="1">
      <alignment horizontal="center" vertical="center"/>
    </xf>
    <xf numFmtId="10" fontId="7" fillId="4" borderId="11" xfId="0" applyNumberFormat="1" applyFont="1" applyFill="1" applyBorder="1" applyAlignment="1">
      <alignment horizontal="center" vertical="center"/>
    </xf>
    <xf numFmtId="10" fontId="7" fillId="0" borderId="0" xfId="0" applyNumberFormat="1" applyFont="1"/>
    <xf numFmtId="0" fontId="12" fillId="0" borderId="9" xfId="0" applyFont="1" applyBorder="1" applyAlignment="1">
      <alignment horizontal="center" vertical="center"/>
    </xf>
    <xf numFmtId="0" fontId="12" fillId="0" borderId="10" xfId="0" applyFont="1" applyBorder="1" applyAlignment="1">
      <alignment horizontal="left" vertical="center"/>
    </xf>
    <xf numFmtId="10" fontId="13" fillId="0" borderId="11" xfId="0" applyNumberFormat="1" applyFont="1" applyBorder="1" applyAlignment="1">
      <alignment horizontal="center" vertical="center"/>
    </xf>
    <xf numFmtId="10" fontId="11" fillId="3" borderId="16" xfId="0" applyNumberFormat="1" applyFont="1" applyFill="1" applyBorder="1" applyAlignment="1">
      <alignment horizontal="center" vertical="center"/>
    </xf>
    <xf numFmtId="0" fontId="14" fillId="5" borderId="5" xfId="0" applyFont="1" applyFill="1" applyBorder="1"/>
    <xf numFmtId="0" fontId="14" fillId="5" borderId="0" xfId="0" applyFont="1" applyFill="1"/>
    <xf numFmtId="0" fontId="14" fillId="5" borderId="6" xfId="0" applyFont="1" applyFill="1" applyBorder="1"/>
    <xf numFmtId="0" fontId="62" fillId="0" borderId="0" xfId="0" applyFont="1" applyAlignment="1">
      <alignment vertical="center"/>
    </xf>
    <xf numFmtId="4" fontId="7" fillId="0" borderId="81" xfId="0" applyNumberFormat="1" applyFont="1" applyBorder="1" applyAlignment="1">
      <alignment horizontal="right" vertical="center" wrapText="1"/>
    </xf>
    <xf numFmtId="4" fontId="7" fillId="0" borderId="71" xfId="0" applyNumberFormat="1" applyFont="1" applyBorder="1" applyAlignment="1">
      <alignment horizontal="right" vertical="center" wrapText="1"/>
    </xf>
    <xf numFmtId="4" fontId="54" fillId="2" borderId="81" xfId="0" applyNumberFormat="1" applyFont="1" applyFill="1" applyBorder="1" applyAlignment="1">
      <alignment horizontal="right" vertical="center"/>
    </xf>
    <xf numFmtId="4" fontId="54" fillId="2" borderId="71" xfId="0" applyNumberFormat="1" applyFont="1" applyFill="1" applyBorder="1" applyAlignment="1">
      <alignment horizontal="right" vertical="center"/>
    </xf>
    <xf numFmtId="4" fontId="54" fillId="2" borderId="85" xfId="0" applyNumberFormat="1" applyFont="1" applyFill="1" applyBorder="1" applyAlignment="1">
      <alignment horizontal="right" vertical="center"/>
    </xf>
    <xf numFmtId="0" fontId="45" fillId="3" borderId="51" xfId="0" applyFont="1" applyFill="1" applyBorder="1" applyAlignment="1">
      <alignment vertical="center"/>
    </xf>
    <xf numFmtId="0" fontId="39" fillId="3" borderId="63" xfId="0" applyFont="1" applyFill="1" applyBorder="1" applyAlignment="1">
      <alignment vertical="center"/>
    </xf>
    <xf numFmtId="0" fontId="36" fillId="3" borderId="63" xfId="0" applyFont="1" applyFill="1" applyBorder="1" applyAlignment="1">
      <alignment vertical="center"/>
    </xf>
    <xf numFmtId="0" fontId="36" fillId="3" borderId="52" xfId="0" applyFont="1" applyFill="1" applyBorder="1" applyAlignment="1">
      <alignment vertical="center"/>
    </xf>
    <xf numFmtId="0" fontId="32" fillId="0" borderId="41" xfId="0" applyFont="1" applyBorder="1" applyAlignment="1">
      <alignment horizontal="center" vertical="center"/>
    </xf>
    <xf numFmtId="4" fontId="33" fillId="2" borderId="70" xfId="0" applyNumberFormat="1" applyFont="1" applyFill="1" applyBorder="1" applyAlignment="1">
      <alignment horizontal="center" vertical="center"/>
    </xf>
    <xf numFmtId="4" fontId="33" fillId="2" borderId="90" xfId="0" applyNumberFormat="1" applyFont="1" applyFill="1" applyBorder="1" applyAlignment="1">
      <alignment horizontal="center" vertical="center"/>
    </xf>
    <xf numFmtId="4" fontId="33" fillId="2" borderId="85" xfId="0" applyNumberFormat="1" applyFont="1" applyFill="1" applyBorder="1" applyAlignment="1">
      <alignment horizontal="center" vertical="center"/>
    </xf>
    <xf numFmtId="0" fontId="8" fillId="0" borderId="27" xfId="0" applyFont="1" applyBorder="1" applyAlignment="1">
      <alignment horizontal="left"/>
    </xf>
    <xf numFmtId="10" fontId="7" fillId="12" borderId="11" xfId="0" applyNumberFormat="1" applyFont="1" applyFill="1" applyBorder="1" applyAlignment="1" applyProtection="1">
      <alignment horizontal="center" vertical="center"/>
      <protection locked="0"/>
    </xf>
    <xf numFmtId="4" fontId="32" fillId="12" borderId="66" xfId="1" applyNumberFormat="1" applyFont="1" applyFill="1" applyBorder="1" applyAlignment="1" applyProtection="1">
      <alignment vertical="center"/>
      <protection locked="0"/>
    </xf>
    <xf numFmtId="0" fontId="7" fillId="0" borderId="3" xfId="0" applyFont="1" applyBorder="1" applyAlignment="1">
      <alignment horizontal="left"/>
    </xf>
    <xf numFmtId="0" fontId="7" fillId="0" borderId="0" xfId="0" applyFont="1" applyAlignment="1">
      <alignment horizontal="left"/>
    </xf>
    <xf numFmtId="1" fontId="42" fillId="0" borderId="25" xfId="0" applyNumberFormat="1" applyFont="1" applyBorder="1" applyAlignment="1">
      <alignment horizontal="center" vertical="center" wrapText="1"/>
    </xf>
    <xf numFmtId="4" fontId="43" fillId="2" borderId="116" xfId="0" applyNumberFormat="1" applyFont="1" applyFill="1" applyBorder="1" applyAlignment="1">
      <alignment horizontal="center" vertical="center"/>
    </xf>
    <xf numFmtId="4" fontId="35" fillId="0" borderId="116" xfId="0" applyNumberFormat="1" applyFont="1" applyBorder="1" applyAlignment="1">
      <alignment horizontal="center" vertical="center" wrapText="1"/>
    </xf>
    <xf numFmtId="4" fontId="43" fillId="2" borderId="117" xfId="0" applyNumberFormat="1" applyFont="1" applyFill="1" applyBorder="1" applyAlignment="1">
      <alignment horizontal="center" vertical="center"/>
    </xf>
    <xf numFmtId="0" fontId="39" fillId="3" borderId="106" xfId="0" applyFont="1" applyFill="1" applyBorder="1" applyAlignment="1">
      <alignment horizontal="center" vertical="center" wrapText="1"/>
    </xf>
    <xf numFmtId="0" fontId="38" fillId="3" borderId="108" xfId="0" applyFont="1" applyFill="1" applyBorder="1" applyAlignment="1">
      <alignment horizontal="center" vertical="center" wrapText="1"/>
    </xf>
    <xf numFmtId="0" fontId="33" fillId="0" borderId="104" xfId="0" applyFont="1" applyBorder="1" applyAlignment="1">
      <alignment horizontal="left" vertical="center" wrapText="1"/>
    </xf>
    <xf numFmtId="0" fontId="33" fillId="0" borderId="82" xfId="0" applyFont="1" applyBorder="1" applyAlignment="1">
      <alignment horizontal="center" vertical="center" wrapText="1"/>
    </xf>
    <xf numFmtId="0" fontId="33" fillId="0" borderId="115" xfId="0" applyFont="1" applyBorder="1" applyAlignment="1">
      <alignment horizontal="left" vertical="center" wrapText="1"/>
    </xf>
    <xf numFmtId="0" fontId="33" fillId="0" borderId="28" xfId="0" applyFont="1" applyBorder="1" applyAlignment="1">
      <alignment horizontal="center" vertical="center" wrapText="1"/>
    </xf>
    <xf numFmtId="0" fontId="20" fillId="0" borderId="0" xfId="75"/>
    <xf numFmtId="0" fontId="61" fillId="0" borderId="114" xfId="75" applyFont="1" applyBorder="1" applyAlignment="1">
      <alignment horizontal="right" vertical="center"/>
    </xf>
    <xf numFmtId="0" fontId="73" fillId="26" borderId="103" xfId="75" applyFont="1" applyFill="1" applyBorder="1" applyAlignment="1">
      <alignment horizontal="center" vertical="center" wrapText="1"/>
    </xf>
    <xf numFmtId="0" fontId="60" fillId="26" borderId="103" xfId="75" applyFont="1" applyFill="1" applyBorder="1" applyAlignment="1">
      <alignment horizontal="center" vertical="center"/>
    </xf>
    <xf numFmtId="0" fontId="55" fillId="26" borderId="103" xfId="75" applyFont="1" applyFill="1" applyBorder="1" applyAlignment="1">
      <alignment horizontal="center" vertical="center"/>
    </xf>
    <xf numFmtId="0" fontId="59" fillId="0" borderId="103" xfId="75" applyFont="1" applyBorder="1" applyAlignment="1">
      <alignment horizontal="center" vertical="center"/>
    </xf>
    <xf numFmtId="10" fontId="60" fillId="0" borderId="103" xfId="75" applyNumberFormat="1" applyFont="1" applyBorder="1" applyAlignment="1">
      <alignment horizontal="center" vertical="center"/>
    </xf>
    <xf numFmtId="0" fontId="60" fillId="0" borderId="103" xfId="75" applyFont="1" applyBorder="1" applyAlignment="1">
      <alignment horizontal="center" vertical="center"/>
    </xf>
    <xf numFmtId="4" fontId="74" fillId="0" borderId="103" xfId="75" applyNumberFormat="1" applyFont="1" applyBorder="1" applyAlignment="1">
      <alignment horizontal="center"/>
    </xf>
    <xf numFmtId="0" fontId="59" fillId="0" borderId="77" xfId="75" applyFont="1" applyBorder="1" applyAlignment="1">
      <alignment horizontal="center" vertical="center"/>
    </xf>
    <xf numFmtId="10" fontId="60" fillId="0" borderId="77" xfId="75" applyNumberFormat="1" applyFont="1" applyBorder="1" applyAlignment="1">
      <alignment horizontal="center" vertical="center"/>
    </xf>
    <xf numFmtId="0" fontId="60" fillId="0" borderId="77" xfId="75" applyFont="1" applyBorder="1" applyAlignment="1">
      <alignment horizontal="center" vertical="center"/>
    </xf>
    <xf numFmtId="10" fontId="75" fillId="0" borderId="103" xfId="84" applyNumberFormat="1" applyFont="1" applyFill="1" applyBorder="1" applyAlignment="1">
      <alignment horizontal="center" vertical="center"/>
    </xf>
    <xf numFmtId="0" fontId="55" fillId="16" borderId="103" xfId="14" applyFont="1" applyFill="1" applyBorder="1" applyAlignment="1" applyProtection="1">
      <alignment horizontal="center" vertical="center"/>
      <protection locked="0"/>
    </xf>
    <xf numFmtId="0" fontId="55" fillId="16" borderId="103" xfId="14" applyFont="1" applyFill="1" applyBorder="1" applyAlignment="1" applyProtection="1">
      <alignment horizontal="center" vertical="center" wrapText="1"/>
      <protection locked="0"/>
    </xf>
    <xf numFmtId="10" fontId="77" fillId="0" borderId="103" xfId="14" applyNumberFormat="1" applyFont="1" applyBorder="1" applyAlignment="1" applyProtection="1">
      <alignment horizontal="center" vertical="center"/>
      <protection locked="0"/>
    </xf>
    <xf numFmtId="0" fontId="77" fillId="0" borderId="103" xfId="14" applyFont="1" applyBorder="1" applyAlignment="1" applyProtection="1">
      <alignment horizontal="center" vertical="center"/>
      <protection locked="0"/>
    </xf>
    <xf numFmtId="0" fontId="16" fillId="0" borderId="0" xfId="14" applyFont="1" applyProtection="1">
      <protection locked="0"/>
    </xf>
    <xf numFmtId="0" fontId="16" fillId="0" borderId="0" xfId="14" applyFont="1" applyAlignment="1" applyProtection="1">
      <alignment horizontal="left"/>
      <protection locked="0"/>
    </xf>
    <xf numFmtId="0" fontId="16" fillId="0" borderId="0" xfId="14" applyFont="1" applyAlignment="1" applyProtection="1">
      <alignment horizontal="center"/>
      <protection locked="0"/>
    </xf>
    <xf numFmtId="0" fontId="78" fillId="27" borderId="103" xfId="76" applyNumberFormat="1" applyFont="1" applyFill="1" applyBorder="1" applyAlignment="1">
      <alignment horizontal="center" vertical="center" wrapText="1"/>
    </xf>
    <xf numFmtId="0" fontId="79" fillId="27" borderId="103" xfId="76" applyNumberFormat="1" applyFont="1" applyFill="1" applyBorder="1" applyAlignment="1">
      <alignment horizontal="center" vertical="center" wrapText="1"/>
    </xf>
    <xf numFmtId="44" fontId="80" fillId="0" borderId="103" xfId="77" applyFont="1" applyBorder="1" applyAlignment="1">
      <alignment horizontal="center" vertical="center"/>
    </xf>
    <xf numFmtId="44" fontId="56" fillId="0" borderId="103" xfId="77" applyFont="1" applyBorder="1" applyAlignment="1">
      <alignment horizontal="center" vertical="center"/>
    </xf>
    <xf numFmtId="0" fontId="16" fillId="0" borderId="33" xfId="14" applyFont="1" applyBorder="1" applyProtection="1">
      <protection locked="0"/>
    </xf>
    <xf numFmtId="0" fontId="16" fillId="0" borderId="82" xfId="14" applyFont="1" applyBorder="1" applyProtection="1">
      <protection locked="0"/>
    </xf>
    <xf numFmtId="0" fontId="56" fillId="0" borderId="109" xfId="14" applyFont="1" applyBorder="1" applyAlignment="1" applyProtection="1">
      <alignment vertical="center"/>
      <protection locked="0"/>
    </xf>
    <xf numFmtId="0" fontId="16" fillId="0" borderId="57" xfId="14" applyFont="1" applyBorder="1" applyProtection="1">
      <protection locked="0"/>
    </xf>
    <xf numFmtId="0" fontId="16" fillId="0" borderId="38" xfId="14" applyFont="1" applyBorder="1" applyProtection="1">
      <protection locked="0"/>
    </xf>
    <xf numFmtId="0" fontId="56" fillId="0" borderId="103" xfId="14" applyFont="1" applyBorder="1" applyAlignment="1" applyProtection="1">
      <alignment vertical="center"/>
      <protection locked="0"/>
    </xf>
    <xf numFmtId="0" fontId="33" fillId="0" borderId="103" xfId="0" applyFont="1" applyBorder="1"/>
    <xf numFmtId="0" fontId="9" fillId="0" borderId="0" xfId="23" applyFont="1"/>
    <xf numFmtId="44" fontId="20" fillId="0" borderId="103" xfId="77" applyBorder="1" applyAlignment="1">
      <alignment vertical="center"/>
    </xf>
    <xf numFmtId="172" fontId="20" fillId="0" borderId="0" xfId="2" applyProtection="1">
      <protection locked="0"/>
    </xf>
    <xf numFmtId="0" fontId="33" fillId="0" borderId="0" xfId="14" applyFont="1" applyAlignment="1">
      <alignment horizontal="left" vertical="center" wrapText="1"/>
    </xf>
    <xf numFmtId="2" fontId="32" fillId="0" borderId="25" xfId="0" applyNumberFormat="1" applyFont="1" applyBorder="1" applyAlignment="1">
      <alignment horizontal="center" vertical="center" wrapText="1"/>
    </xf>
    <xf numFmtId="0" fontId="33" fillId="0" borderId="96" xfId="14" applyFont="1" applyBorder="1"/>
    <xf numFmtId="0" fontId="32" fillId="0" borderId="97" xfId="75" applyFont="1" applyBorder="1"/>
    <xf numFmtId="0" fontId="32" fillId="0" borderId="119" xfId="75" applyFont="1" applyBorder="1"/>
    <xf numFmtId="0" fontId="33" fillId="0" borderId="97" xfId="14" applyFont="1" applyBorder="1"/>
    <xf numFmtId="0" fontId="33" fillId="0" borderId="0" xfId="14" applyFont="1" applyAlignment="1">
      <alignment horizontal="center"/>
    </xf>
    <xf numFmtId="0" fontId="33" fillId="0" borderId="0" xfId="14" applyFont="1" applyAlignment="1">
      <alignment horizontal="center" vertical="center"/>
    </xf>
    <xf numFmtId="0" fontId="33" fillId="0" borderId="98" xfId="14" applyFont="1" applyBorder="1"/>
    <xf numFmtId="0" fontId="32" fillId="0" borderId="0" xfId="75" applyFont="1"/>
    <xf numFmtId="0" fontId="34" fillId="0" borderId="0" xfId="14" applyFont="1" applyAlignment="1">
      <alignment horizontal="center" vertical="center" wrapText="1"/>
    </xf>
    <xf numFmtId="0" fontId="39" fillId="0" borderId="0" xfId="14" applyFont="1" applyAlignment="1">
      <alignment horizontal="center" vertical="center"/>
    </xf>
    <xf numFmtId="0" fontId="39" fillId="0" borderId="0" xfId="14" applyFont="1" applyAlignment="1">
      <alignment vertical="center"/>
    </xf>
    <xf numFmtId="0" fontId="39" fillId="0" borderId="0" xfId="14" applyFont="1" applyAlignment="1">
      <alignment vertical="center" wrapText="1"/>
    </xf>
    <xf numFmtId="0" fontId="43" fillId="12" borderId="66" xfId="14" applyFont="1" applyFill="1" applyBorder="1" applyAlignment="1">
      <alignment horizontal="center" vertical="center" wrapText="1"/>
    </xf>
    <xf numFmtId="0" fontId="33" fillId="0" borderId="0" xfId="14" applyFont="1" applyAlignment="1">
      <alignment horizontal="left" vertical="center"/>
    </xf>
    <xf numFmtId="0" fontId="33" fillId="0" borderId="66" xfId="14" applyFont="1" applyBorder="1" applyAlignment="1">
      <alignment horizontal="center" vertical="center" wrapText="1"/>
    </xf>
    <xf numFmtId="0" fontId="35" fillId="21" borderId="71" xfId="76" applyNumberFormat="1" applyFont="1" applyFill="1" applyBorder="1" applyAlignment="1" applyProtection="1">
      <alignment horizontal="center" vertical="center" wrapText="1"/>
    </xf>
    <xf numFmtId="0" fontId="35" fillId="21" borderId="66" xfId="76" applyNumberFormat="1" applyFont="1" applyFill="1" applyBorder="1" applyAlignment="1" applyProtection="1">
      <alignment horizontal="center" vertical="center" wrapText="1"/>
    </xf>
    <xf numFmtId="0" fontId="35" fillId="21" borderId="67" xfId="76" applyNumberFormat="1" applyFont="1" applyFill="1" applyBorder="1" applyAlignment="1" applyProtection="1">
      <alignment horizontal="center" vertical="center" wrapText="1"/>
    </xf>
    <xf numFmtId="0" fontId="35" fillId="21" borderId="31" xfId="76" applyNumberFormat="1" applyFont="1" applyFill="1" applyBorder="1" applyAlignment="1" applyProtection="1">
      <alignment horizontal="center" vertical="center" wrapText="1"/>
    </xf>
    <xf numFmtId="0" fontId="35" fillId="21" borderId="33" xfId="76" applyNumberFormat="1" applyFont="1" applyFill="1" applyBorder="1" applyAlignment="1" applyProtection="1">
      <alignment horizontal="center" vertical="center" wrapText="1"/>
    </xf>
    <xf numFmtId="0" fontId="35" fillId="21" borderId="32" xfId="76" applyNumberFormat="1" applyFont="1" applyFill="1" applyBorder="1" applyAlignment="1" applyProtection="1">
      <alignment horizontal="center" vertical="center" wrapText="1"/>
    </xf>
    <xf numFmtId="1" fontId="32" fillId="0" borderId="71" xfId="14" applyNumberFormat="1" applyFont="1" applyBorder="1" applyAlignment="1">
      <alignment horizontal="center" vertical="center"/>
    </xf>
    <xf numFmtId="0" fontId="32" fillId="0" borderId="66" xfId="14" applyFont="1" applyBorder="1" applyAlignment="1">
      <alignment vertical="center" wrapText="1"/>
    </xf>
    <xf numFmtId="1" fontId="32" fillId="0" borderId="66" xfId="14" applyNumberFormat="1" applyFont="1" applyBorder="1" applyAlignment="1">
      <alignment horizontal="center" vertical="center"/>
    </xf>
    <xf numFmtId="0" fontId="67" fillId="22" borderId="66" xfId="76" applyNumberFormat="1" applyFont="1" applyFill="1" applyBorder="1" applyAlignment="1" applyProtection="1">
      <alignment horizontal="center" vertical="center"/>
    </xf>
    <xf numFmtId="2" fontId="67" fillId="22" borderId="66" xfId="76" applyNumberFormat="1" applyFont="1" applyFill="1" applyBorder="1" applyAlignment="1" applyProtection="1">
      <alignment horizontal="center" vertical="center"/>
    </xf>
    <xf numFmtId="2" fontId="32" fillId="0" borderId="66" xfId="76" applyNumberFormat="1" applyFont="1" applyBorder="1" applyAlignment="1" applyProtection="1">
      <alignment horizontal="center" vertical="center"/>
    </xf>
    <xf numFmtId="44" fontId="32" fillId="0" borderId="66" xfId="77" applyFont="1" applyFill="1" applyBorder="1" applyAlignment="1" applyProtection="1">
      <alignment horizontal="center" vertical="center"/>
    </xf>
    <xf numFmtId="1" fontId="32" fillId="0" borderId="104" xfId="14" applyNumberFormat="1" applyFont="1" applyBorder="1" applyAlignment="1">
      <alignment horizontal="center" vertical="center"/>
    </xf>
    <xf numFmtId="44" fontId="32" fillId="0" borderId="101" xfId="77" applyFont="1" applyFill="1" applyBorder="1" applyAlignment="1" applyProtection="1">
      <alignment horizontal="center" vertical="center"/>
    </xf>
    <xf numFmtId="0" fontId="32" fillId="0" borderId="104" xfId="14" applyFont="1" applyBorder="1" applyAlignment="1">
      <alignment horizontal="center" vertical="center"/>
    </xf>
    <xf numFmtId="44" fontId="32" fillId="0" borderId="103" xfId="77" applyFont="1" applyBorder="1" applyAlignment="1" applyProtection="1">
      <alignment horizontal="center" vertical="center"/>
    </xf>
    <xf numFmtId="44" fontId="32" fillId="0" borderId="101" xfId="77" applyFont="1" applyBorder="1" applyAlignment="1" applyProtection="1">
      <alignment horizontal="center" vertical="center"/>
    </xf>
    <xf numFmtId="0" fontId="67" fillId="22" borderId="103" xfId="76" applyNumberFormat="1" applyFont="1" applyFill="1" applyBorder="1" applyAlignment="1" applyProtection="1">
      <alignment horizontal="center" vertical="center"/>
    </xf>
    <xf numFmtId="44" fontId="35" fillId="21" borderId="115" xfId="77" applyFont="1" applyFill="1" applyBorder="1" applyAlignment="1" applyProtection="1">
      <alignment horizontal="center" vertical="center" wrapText="1"/>
    </xf>
    <xf numFmtId="44" fontId="35" fillId="21" borderId="113" xfId="77" applyFont="1" applyFill="1" applyBorder="1" applyAlignment="1" applyProtection="1">
      <alignment horizontal="center" vertical="center" wrapText="1"/>
    </xf>
    <xf numFmtId="44" fontId="35" fillId="21" borderId="112" xfId="77" applyFont="1" applyFill="1" applyBorder="1" applyAlignment="1" applyProtection="1">
      <alignment horizontal="center" vertical="center" wrapText="1"/>
    </xf>
    <xf numFmtId="44" fontId="39" fillId="0" borderId="0" xfId="14" applyNumberFormat="1" applyFont="1" applyAlignment="1">
      <alignment vertical="center"/>
    </xf>
    <xf numFmtId="0" fontId="35" fillId="21" borderId="113" xfId="76" applyNumberFormat="1" applyFont="1" applyFill="1" applyBorder="1" applyAlignment="1" applyProtection="1">
      <alignment horizontal="center" vertical="center" wrapText="1"/>
    </xf>
    <xf numFmtId="44" fontId="35" fillId="21" borderId="79" xfId="77" applyFont="1" applyFill="1" applyBorder="1" applyAlignment="1" applyProtection="1">
      <alignment horizontal="center" vertical="center" wrapText="1"/>
    </xf>
    <xf numFmtId="44" fontId="35" fillId="21" borderId="93" xfId="77" applyFont="1" applyFill="1" applyBorder="1" applyAlignment="1" applyProtection="1">
      <alignment horizontal="center" vertical="center" wrapText="1"/>
    </xf>
    <xf numFmtId="44" fontId="35" fillId="21" borderId="93" xfId="77" applyFont="1" applyFill="1" applyBorder="1" applyAlignment="1" applyProtection="1">
      <alignment vertical="center" wrapText="1"/>
    </xf>
    <xf numFmtId="44" fontId="35" fillId="21" borderId="115" xfId="77" applyFont="1" applyFill="1" applyBorder="1" applyAlignment="1" applyProtection="1">
      <alignment vertical="center" wrapText="1"/>
    </xf>
    <xf numFmtId="0" fontId="32" fillId="0" borderId="0" xfId="14" applyFont="1" applyAlignment="1">
      <alignment vertical="center"/>
    </xf>
    <xf numFmtId="0" fontId="68" fillId="0" borderId="0" xfId="14" applyFont="1" applyAlignment="1">
      <alignment horizontal="left" vertical="center"/>
    </xf>
    <xf numFmtId="0" fontId="32" fillId="0" borderId="0" xfId="14" applyFont="1" applyAlignment="1">
      <alignment horizontal="left" vertical="center"/>
    </xf>
    <xf numFmtId="0" fontId="64" fillId="0" borderId="0" xfId="14" applyFont="1" applyAlignment="1">
      <alignment horizontal="left" vertical="center" wrapText="1"/>
    </xf>
    <xf numFmtId="0" fontId="32" fillId="0" borderId="0" xfId="14" applyFont="1" applyAlignment="1">
      <alignment horizontal="center" vertical="center"/>
    </xf>
    <xf numFmtId="2" fontId="32" fillId="0" borderId="0" xfId="14" applyNumberFormat="1" applyFont="1" applyAlignment="1">
      <alignment horizontal="center" vertical="center"/>
    </xf>
    <xf numFmtId="0" fontId="32" fillId="0" borderId="0" xfId="14" applyFont="1" applyAlignment="1">
      <alignment horizontal="left" vertical="center" wrapText="1"/>
    </xf>
    <xf numFmtId="0" fontId="33" fillId="0" borderId="103" xfId="14" applyFont="1" applyBorder="1"/>
    <xf numFmtId="3" fontId="33" fillId="0" borderId="103" xfId="14" applyNumberFormat="1" applyFont="1" applyBorder="1" applyAlignment="1">
      <alignment horizontal="center" vertical="center"/>
    </xf>
    <xf numFmtId="0" fontId="33" fillId="0" borderId="103" xfId="14" applyFont="1" applyBorder="1" applyAlignment="1">
      <alignment horizontal="center" vertical="center"/>
    </xf>
    <xf numFmtId="0" fontId="33" fillId="0" borderId="103" xfId="14" applyFont="1" applyBorder="1" applyAlignment="1">
      <alignment wrapText="1"/>
    </xf>
    <xf numFmtId="0" fontId="32" fillId="0" borderId="103" xfId="14" applyFont="1" applyBorder="1" applyAlignment="1">
      <alignment wrapText="1"/>
    </xf>
    <xf numFmtId="0" fontId="33" fillId="0" borderId="103" xfId="14" applyFont="1" applyBorder="1" applyAlignment="1">
      <alignment horizontal="left"/>
    </xf>
    <xf numFmtId="0" fontId="32" fillId="12" borderId="66" xfId="14" applyFont="1" applyFill="1" applyBorder="1" applyAlignment="1">
      <alignment horizontal="center" vertical="center"/>
    </xf>
    <xf numFmtId="2" fontId="32" fillId="12" borderId="66" xfId="14" applyNumberFormat="1" applyFont="1" applyFill="1" applyBorder="1" applyAlignment="1">
      <alignment horizontal="center" vertical="center"/>
    </xf>
    <xf numFmtId="0" fontId="33" fillId="0" borderId="66" xfId="0" applyFont="1" applyBorder="1" applyAlignment="1">
      <alignment horizontal="left" vertical="center"/>
    </xf>
    <xf numFmtId="0" fontId="32" fillId="18" borderId="0" xfId="74" applyFont="1" applyFill="1"/>
    <xf numFmtId="0" fontId="33" fillId="0" borderId="2" xfId="0" applyFont="1" applyBorder="1"/>
    <xf numFmtId="0" fontId="83" fillId="0" borderId="3" xfId="0" applyFont="1" applyBorder="1" applyAlignment="1">
      <alignment horizontal="left"/>
    </xf>
    <xf numFmtId="0" fontId="33" fillId="0" borderId="5" xfId="0" applyFont="1" applyBorder="1"/>
    <xf numFmtId="0" fontId="83" fillId="0" borderId="0" xfId="0" applyFont="1" applyAlignment="1">
      <alignment horizontal="left"/>
    </xf>
    <xf numFmtId="0" fontId="83" fillId="0" borderId="27" xfId="0" applyFont="1" applyBorder="1" applyAlignment="1">
      <alignment horizontal="left"/>
    </xf>
    <xf numFmtId="0" fontId="43" fillId="6" borderId="85" xfId="0" applyFont="1" applyFill="1" applyBorder="1" applyAlignment="1">
      <alignment horizontal="center" vertical="center"/>
    </xf>
    <xf numFmtId="0" fontId="43" fillId="6" borderId="70" xfId="0" applyFont="1" applyFill="1" applyBorder="1" applyAlignment="1">
      <alignment horizontal="center" vertical="center"/>
    </xf>
    <xf numFmtId="0" fontId="43" fillId="6" borderId="70" xfId="0" applyFont="1" applyFill="1" applyBorder="1" applyAlignment="1">
      <alignment horizontal="center" vertical="center" wrapText="1"/>
    </xf>
    <xf numFmtId="4" fontId="43" fillId="6" borderId="18" xfId="0" applyNumberFormat="1" applyFont="1" applyFill="1" applyBorder="1" applyAlignment="1">
      <alignment horizontal="center" vertical="center" wrapText="1"/>
    </xf>
    <xf numFmtId="4" fontId="43" fillId="6" borderId="90" xfId="0" applyNumberFormat="1" applyFont="1" applyFill="1" applyBorder="1" applyAlignment="1">
      <alignment horizontal="center" vertical="center" wrapText="1"/>
    </xf>
    <xf numFmtId="0" fontId="33" fillId="2" borderId="66" xfId="0" applyFont="1" applyFill="1" applyBorder="1" applyAlignment="1">
      <alignment horizontal="left" vertical="center"/>
    </xf>
    <xf numFmtId="0" fontId="33" fillId="2" borderId="66" xfId="0" applyFont="1" applyFill="1" applyBorder="1" applyAlignment="1">
      <alignment horizontal="center" vertical="center"/>
    </xf>
    <xf numFmtId="169" fontId="33" fillId="2" borderId="66" xfId="0" applyNumberFormat="1" applyFont="1" applyFill="1" applyBorder="1" applyAlignment="1">
      <alignment horizontal="center" vertical="center"/>
    </xf>
    <xf numFmtId="4" fontId="33" fillId="12" borderId="66" xfId="1" applyNumberFormat="1" applyFont="1" applyFill="1" applyBorder="1" applyAlignment="1" applyProtection="1">
      <alignment vertical="center"/>
      <protection locked="0"/>
    </xf>
    <xf numFmtId="4" fontId="33" fillId="0" borderId="73" xfId="1" applyNumberFormat="1" applyFont="1" applyBorder="1" applyAlignment="1" applyProtection="1">
      <alignment vertical="center"/>
    </xf>
    <xf numFmtId="0" fontId="33" fillId="2" borderId="41" xfId="0" applyFont="1" applyFill="1" applyBorder="1" applyAlignment="1">
      <alignment vertical="center" wrapText="1"/>
    </xf>
    <xf numFmtId="0" fontId="43" fillId="2" borderId="41" xfId="0" applyFont="1" applyFill="1" applyBorder="1" applyAlignment="1">
      <alignment horizontal="center" vertical="center"/>
    </xf>
    <xf numFmtId="0" fontId="33" fillId="2" borderId="81" xfId="0" applyFont="1" applyFill="1" applyBorder="1" applyAlignment="1">
      <alignment vertical="center"/>
    </xf>
    <xf numFmtId="4" fontId="43" fillId="2" borderId="27" xfId="0" applyNumberFormat="1" applyFont="1" applyFill="1" applyBorder="1" applyAlignment="1">
      <alignment horizontal="center" vertical="center"/>
    </xf>
    <xf numFmtId="4" fontId="33" fillId="0" borderId="28" xfId="1" applyNumberFormat="1" applyFont="1" applyBorder="1" applyAlignment="1" applyProtection="1">
      <alignment vertical="center"/>
    </xf>
    <xf numFmtId="4" fontId="43" fillId="7" borderId="30" xfId="1" applyNumberFormat="1" applyFont="1" applyFill="1" applyBorder="1" applyAlignment="1" applyProtection="1">
      <alignment vertical="center"/>
    </xf>
    <xf numFmtId="0" fontId="33" fillId="2" borderId="5" xfId="0" applyFont="1" applyFill="1" applyBorder="1" applyAlignment="1">
      <alignment vertical="center" wrapText="1"/>
    </xf>
    <xf numFmtId="0" fontId="43" fillId="0" borderId="5" xfId="0" applyFont="1" applyBorder="1" applyAlignment="1">
      <alignment horizontal="center" vertical="center"/>
    </xf>
    <xf numFmtId="0" fontId="33" fillId="0" borderId="66" xfId="0" applyFont="1" applyBorder="1" applyAlignment="1">
      <alignment horizontal="center" vertical="center"/>
    </xf>
    <xf numFmtId="0" fontId="33" fillId="0" borderId="5" xfId="0" applyFont="1" applyBorder="1" applyAlignment="1">
      <alignment vertical="center" wrapText="1"/>
    </xf>
    <xf numFmtId="4" fontId="33" fillId="0" borderId="66" xfId="1" applyNumberFormat="1" applyFont="1" applyBorder="1" applyAlignment="1" applyProtection="1">
      <alignment vertical="center"/>
    </xf>
    <xf numFmtId="4" fontId="43" fillId="7" borderId="73" xfId="1" applyNumberFormat="1" applyFont="1" applyFill="1" applyBorder="1" applyAlignment="1" applyProtection="1">
      <alignment vertical="center"/>
    </xf>
    <xf numFmtId="169" fontId="33" fillId="2" borderId="66" xfId="0" applyNumberFormat="1" applyFont="1" applyFill="1" applyBorder="1" applyAlignment="1">
      <alignment horizontal="right" vertical="center"/>
    </xf>
    <xf numFmtId="0" fontId="43" fillId="2" borderId="5" xfId="0" applyFont="1" applyFill="1" applyBorder="1" applyAlignment="1">
      <alignment horizontal="center" vertical="center"/>
    </xf>
    <xf numFmtId="0" fontId="33" fillId="2" borderId="41" xfId="0" applyFont="1" applyFill="1" applyBorder="1" applyAlignment="1">
      <alignment vertical="center"/>
    </xf>
    <xf numFmtId="4" fontId="43" fillId="2" borderId="70" xfId="0" applyNumberFormat="1" applyFont="1" applyFill="1" applyBorder="1" applyAlignment="1">
      <alignment horizontal="center" vertical="center"/>
    </xf>
    <xf numFmtId="4" fontId="33" fillId="0" borderId="90" xfId="1" applyNumberFormat="1" applyFont="1" applyBorder="1" applyAlignment="1" applyProtection="1">
      <alignment vertical="center"/>
    </xf>
    <xf numFmtId="0" fontId="33" fillId="2" borderId="38" xfId="0" applyFont="1" applyFill="1" applyBorder="1" applyAlignment="1">
      <alignment horizontal="left" vertical="center"/>
    </xf>
    <xf numFmtId="0" fontId="33" fillId="2" borderId="32" xfId="0" applyFont="1" applyFill="1" applyBorder="1" applyAlignment="1">
      <alignment horizontal="center" vertical="center"/>
    </xf>
    <xf numFmtId="169" fontId="33" fillId="2" borderId="39" xfId="0" applyNumberFormat="1" applyFont="1" applyFill="1" applyBorder="1" applyAlignment="1">
      <alignment horizontal="center" vertical="center"/>
    </xf>
    <xf numFmtId="4" fontId="33" fillId="12" borderId="32" xfId="1" applyNumberFormat="1" applyFont="1" applyFill="1" applyBorder="1" applyAlignment="1" applyProtection="1">
      <alignment vertical="center"/>
      <protection locked="0"/>
    </xf>
    <xf numFmtId="4" fontId="33" fillId="0" borderId="33" xfId="1" applyNumberFormat="1" applyFont="1" applyBorder="1" applyAlignment="1" applyProtection="1">
      <alignment vertical="center"/>
    </xf>
    <xf numFmtId="0" fontId="33" fillId="2" borderId="69" xfId="0" applyFont="1" applyFill="1" applyBorder="1" applyAlignment="1">
      <alignment horizontal="left" vertical="center"/>
    </xf>
    <xf numFmtId="169" fontId="33" fillId="2" borderId="67" xfId="0" applyNumberFormat="1" applyFont="1" applyFill="1" applyBorder="1" applyAlignment="1">
      <alignment horizontal="center" vertical="center"/>
    </xf>
    <xf numFmtId="0" fontId="33" fillId="2" borderId="42" xfId="0" applyFont="1" applyFill="1" applyBorder="1" applyAlignment="1">
      <alignment vertical="center"/>
    </xf>
    <xf numFmtId="169" fontId="33" fillId="2" borderId="32" xfId="0" applyNumberFormat="1" applyFont="1" applyFill="1" applyBorder="1" applyAlignment="1">
      <alignment horizontal="center" vertical="center"/>
    </xf>
    <xf numFmtId="4" fontId="33" fillId="0" borderId="80" xfId="1" applyNumberFormat="1" applyFont="1" applyBorder="1" applyAlignment="1" applyProtection="1">
      <alignment vertical="center"/>
    </xf>
    <xf numFmtId="0" fontId="84" fillId="2" borderId="5" xfId="0" applyFont="1" applyFill="1" applyBorder="1" applyAlignment="1">
      <alignment horizontal="left" vertical="center"/>
    </xf>
    <xf numFmtId="0" fontId="84" fillId="2" borderId="0" xfId="0" applyFont="1" applyFill="1" applyAlignment="1">
      <alignment horizontal="left" vertical="center"/>
    </xf>
    <xf numFmtId="0" fontId="84" fillId="2" borderId="6" xfId="0" applyFont="1" applyFill="1" applyBorder="1" applyAlignment="1">
      <alignment horizontal="center" vertical="center"/>
    </xf>
    <xf numFmtId="0" fontId="33" fillId="2" borderId="31" xfId="0" applyFont="1" applyFill="1" applyBorder="1" applyAlignment="1">
      <alignment horizontal="left" vertical="center"/>
    </xf>
    <xf numFmtId="0" fontId="33" fillId="2" borderId="71" xfId="0" applyFont="1" applyFill="1" applyBorder="1" applyAlignment="1">
      <alignment horizontal="left" vertical="center"/>
    </xf>
    <xf numFmtId="0" fontId="33" fillId="0" borderId="71" xfId="0" applyFont="1" applyBorder="1" applyAlignment="1">
      <alignment horizontal="left" vertical="center"/>
    </xf>
    <xf numFmtId="169" fontId="33" fillId="0" borderId="66" xfId="0" applyNumberFormat="1" applyFont="1" applyBorder="1" applyAlignment="1">
      <alignment horizontal="center" vertical="center"/>
    </xf>
    <xf numFmtId="0" fontId="33" fillId="2" borderId="29" xfId="0" applyFont="1" applyFill="1" applyBorder="1" applyAlignment="1">
      <alignment vertical="center"/>
    </xf>
    <xf numFmtId="4" fontId="33" fillId="0" borderId="79" xfId="1" applyNumberFormat="1" applyFont="1" applyBorder="1" applyAlignment="1" applyProtection="1">
      <alignment vertical="center"/>
    </xf>
    <xf numFmtId="0" fontId="33" fillId="2" borderId="103" xfId="0" applyFont="1" applyFill="1" applyBorder="1" applyAlignment="1">
      <alignment horizontal="left" vertical="center"/>
    </xf>
    <xf numFmtId="169" fontId="33" fillId="2" borderId="103" xfId="0" applyNumberFormat="1" applyFont="1" applyFill="1" applyBorder="1" applyAlignment="1">
      <alignment horizontal="right" vertical="center"/>
    </xf>
    <xf numFmtId="4" fontId="33" fillId="12" borderId="103" xfId="1" applyNumberFormat="1" applyFont="1" applyFill="1" applyBorder="1" applyAlignment="1" applyProtection="1">
      <alignment vertical="center"/>
      <protection locked="0"/>
    </xf>
    <xf numFmtId="4" fontId="32" fillId="12" borderId="103" xfId="1" applyNumberFormat="1" applyFont="1" applyFill="1" applyBorder="1" applyAlignment="1" applyProtection="1">
      <alignment vertical="center"/>
      <protection locked="0"/>
    </xf>
    <xf numFmtId="0" fontId="33" fillId="0" borderId="66" xfId="14" applyFont="1" applyBorder="1" applyAlignment="1">
      <alignment horizontal="right" vertical="center"/>
    </xf>
    <xf numFmtId="167" fontId="33" fillId="15" borderId="66" xfId="69" applyFont="1" applyFill="1" applyBorder="1" applyAlignment="1" applyProtection="1">
      <alignment horizontal="left" vertical="center"/>
      <protection locked="0"/>
    </xf>
    <xf numFmtId="0" fontId="85" fillId="0" borderId="0" xfId="74" applyFont="1"/>
    <xf numFmtId="0" fontId="33" fillId="18" borderId="0" xfId="74" applyFont="1" applyFill="1"/>
    <xf numFmtId="0" fontId="86" fillId="18" borderId="0" xfId="74" applyFont="1" applyFill="1"/>
    <xf numFmtId="0" fontId="33" fillId="12" borderId="66" xfId="74" applyFont="1" applyFill="1" applyBorder="1"/>
    <xf numFmtId="0" fontId="43" fillId="18" borderId="0" xfId="74" applyFont="1" applyFill="1"/>
    <xf numFmtId="0" fontId="33" fillId="12" borderId="0" xfId="74" applyFont="1" applyFill="1"/>
    <xf numFmtId="0" fontId="33" fillId="18" borderId="0" xfId="74" applyFont="1" applyFill="1" applyAlignment="1">
      <alignment vertical="top"/>
    </xf>
    <xf numFmtId="0" fontId="87" fillId="0" borderId="0" xfId="74" applyFont="1"/>
    <xf numFmtId="0" fontId="88" fillId="0" borderId="0" xfId="74" applyFont="1"/>
    <xf numFmtId="0" fontId="63" fillId="0" borderId="0" xfId="74" applyFont="1"/>
    <xf numFmtId="0" fontId="43" fillId="18" borderId="0" xfId="74" applyFont="1" applyFill="1" applyAlignment="1">
      <alignment vertical="center"/>
    </xf>
    <xf numFmtId="0" fontId="88" fillId="0" borderId="0" xfId="74" applyFont="1" applyAlignment="1">
      <alignment vertical="center"/>
    </xf>
    <xf numFmtId="0" fontId="63" fillId="0" borderId="0" xfId="74" applyFont="1" applyAlignment="1">
      <alignment vertical="center"/>
    </xf>
    <xf numFmtId="0" fontId="33" fillId="18" borderId="0" xfId="74" applyFont="1" applyFill="1" applyAlignment="1">
      <alignment vertical="center"/>
    </xf>
    <xf numFmtId="0" fontId="85" fillId="0" borderId="0" xfId="74" applyFont="1" applyAlignment="1">
      <alignment vertical="center"/>
    </xf>
    <xf numFmtId="0" fontId="58" fillId="0" borderId="0" xfId="74" applyAlignment="1">
      <alignment vertical="center"/>
    </xf>
    <xf numFmtId="0" fontId="89" fillId="18" borderId="0" xfId="74" applyFont="1" applyFill="1" applyAlignment="1">
      <alignment vertical="center"/>
    </xf>
    <xf numFmtId="0" fontId="90" fillId="0" borderId="0" xfId="74" applyFont="1" applyAlignment="1">
      <alignment vertical="center"/>
    </xf>
    <xf numFmtId="0" fontId="91" fillId="0" borderId="0" xfId="74" applyFont="1" applyAlignment="1">
      <alignment vertical="center"/>
    </xf>
    <xf numFmtId="0" fontId="43" fillId="12" borderId="0" xfId="74" applyFont="1" applyFill="1" applyAlignment="1">
      <alignment vertical="center"/>
    </xf>
    <xf numFmtId="4" fontId="40" fillId="29" borderId="17" xfId="0" applyNumberFormat="1" applyFont="1" applyFill="1" applyBorder="1" applyAlignment="1">
      <alignment horizontal="center" vertical="center"/>
    </xf>
    <xf numFmtId="0" fontId="35" fillId="0" borderId="0" xfId="74" applyFont="1"/>
    <xf numFmtId="0" fontId="47" fillId="0" borderId="0" xfId="74" applyFont="1" applyAlignment="1">
      <alignment vertical="center"/>
    </xf>
    <xf numFmtId="0" fontId="47" fillId="0" borderId="122" xfId="74" applyFont="1" applyBorder="1" applyAlignment="1">
      <alignment vertical="center"/>
    </xf>
    <xf numFmtId="0" fontId="47" fillId="0" borderId="123" xfId="74" applyFont="1" applyBorder="1" applyAlignment="1">
      <alignment vertical="center"/>
    </xf>
    <xf numFmtId="0" fontId="93" fillId="2" borderId="124" xfId="74" applyFont="1" applyFill="1" applyBorder="1" applyAlignment="1" applyProtection="1">
      <alignment horizontal="center" vertical="center"/>
      <protection locked="0"/>
    </xf>
    <xf numFmtId="0" fontId="52" fillId="0" borderId="106" xfId="74" applyFont="1" applyBorder="1" applyAlignment="1" applyProtection="1">
      <alignment vertical="center"/>
      <protection locked="0"/>
    </xf>
    <xf numFmtId="0" fontId="32" fillId="0" borderId="107" xfId="74" applyFont="1" applyBorder="1" applyAlignment="1" applyProtection="1">
      <alignment vertical="center" wrapText="1"/>
      <protection locked="0"/>
    </xf>
    <xf numFmtId="4" fontId="52" fillId="0" borderId="107" xfId="74" applyNumberFormat="1" applyFont="1" applyBorder="1" applyAlignment="1" applyProtection="1">
      <alignment horizontal="right" vertical="center"/>
      <protection locked="0"/>
    </xf>
    <xf numFmtId="4" fontId="52" fillId="0" borderId="108" xfId="74" applyNumberFormat="1" applyFont="1" applyBorder="1" applyAlignment="1" applyProtection="1">
      <alignment horizontal="right" vertical="center"/>
      <protection locked="0"/>
    </xf>
    <xf numFmtId="0" fontId="52" fillId="2" borderId="5" xfId="74" applyFont="1" applyFill="1" applyBorder="1" applyAlignment="1">
      <alignment horizontal="center" vertical="center"/>
    </xf>
    <xf numFmtId="0" fontId="32" fillId="0" borderId="81" xfId="74" applyFont="1" applyBorder="1" applyAlignment="1">
      <alignment horizontal="center" vertical="center"/>
    </xf>
    <xf numFmtId="10" fontId="32" fillId="0" borderId="77" xfId="74" applyNumberFormat="1" applyFont="1" applyBorder="1" applyAlignment="1">
      <alignment horizontal="center" vertical="center"/>
    </xf>
    <xf numFmtId="4" fontId="32" fillId="2" borderId="77" xfId="73" applyNumberFormat="1" applyFont="1" applyFill="1" applyBorder="1" applyAlignment="1" applyProtection="1">
      <alignment vertical="center"/>
    </xf>
    <xf numFmtId="4" fontId="32" fillId="2" borderId="82" xfId="73" applyNumberFormat="1" applyFont="1" applyFill="1" applyBorder="1" applyAlignment="1" applyProtection="1">
      <alignment vertical="center"/>
    </xf>
    <xf numFmtId="0" fontId="50" fillId="7" borderId="121" xfId="74" applyFont="1" applyFill="1" applyBorder="1" applyAlignment="1">
      <alignment horizontal="center" vertical="center"/>
    </xf>
    <xf numFmtId="4" fontId="50" fillId="7" borderId="122" xfId="74" applyNumberFormat="1" applyFont="1" applyFill="1" applyBorder="1" applyAlignment="1">
      <alignment vertical="center"/>
    </xf>
    <xf numFmtId="4" fontId="50" fillId="7" borderId="123" xfId="74" applyNumberFormat="1" applyFont="1" applyFill="1" applyBorder="1" applyAlignment="1">
      <alignment vertical="center"/>
    </xf>
    <xf numFmtId="0" fontId="52" fillId="3" borderId="81" xfId="74" applyFont="1" applyFill="1" applyBorder="1" applyAlignment="1">
      <alignment vertical="center"/>
    </xf>
    <xf numFmtId="0" fontId="52" fillId="3" borderId="77" xfId="74" applyFont="1" applyFill="1" applyBorder="1" applyAlignment="1">
      <alignment vertical="center"/>
    </xf>
    <xf numFmtId="0" fontId="32" fillId="0" borderId="106" xfId="74" applyFont="1" applyBorder="1" applyAlignment="1">
      <alignment horizontal="center" vertical="center"/>
    </xf>
    <xf numFmtId="0" fontId="32" fillId="0" borderId="107" xfId="74" applyFont="1" applyBorder="1" applyAlignment="1">
      <alignment vertical="center"/>
    </xf>
    <xf numFmtId="4" fontId="37" fillId="2" borderId="107" xfId="74" applyNumberFormat="1" applyFont="1" applyFill="1" applyBorder="1" applyAlignment="1">
      <alignment vertical="center"/>
    </xf>
    <xf numFmtId="4" fontId="37" fillId="2" borderId="108" xfId="74" applyNumberFormat="1" applyFont="1" applyFill="1" applyBorder="1" applyAlignment="1">
      <alignment vertical="center"/>
    </xf>
    <xf numFmtId="0" fontId="52" fillId="3" borderId="121" xfId="74" applyFont="1" applyFill="1" applyBorder="1" applyAlignment="1">
      <alignment vertical="center"/>
    </xf>
    <xf numFmtId="0" fontId="52" fillId="3" borderId="122" xfId="74" applyFont="1" applyFill="1" applyBorder="1" applyAlignment="1">
      <alignment vertical="center"/>
    </xf>
    <xf numFmtId="4" fontId="52" fillId="3" borderId="122" xfId="74" applyNumberFormat="1" applyFont="1" applyFill="1" applyBorder="1" applyAlignment="1">
      <alignment vertical="center"/>
    </xf>
    <xf numFmtId="4" fontId="52" fillId="3" borderId="123" xfId="74" applyNumberFormat="1" applyFont="1" applyFill="1" applyBorder="1" applyAlignment="1">
      <alignment vertical="center"/>
    </xf>
    <xf numFmtId="0" fontId="42" fillId="0" borderId="2" xfId="74" applyFont="1" applyBorder="1"/>
    <xf numFmtId="0" fontId="42" fillId="0" borderId="5" xfId="74" applyFont="1" applyBorder="1"/>
    <xf numFmtId="0" fontId="32" fillId="17" borderId="66" xfId="75" applyFont="1" applyFill="1" applyBorder="1" applyAlignment="1">
      <alignment horizontal="center" vertical="center" wrapText="1"/>
    </xf>
    <xf numFmtId="10" fontId="32" fillId="17" borderId="66" xfId="75" applyNumberFormat="1" applyFont="1" applyFill="1" applyBorder="1" applyAlignment="1">
      <alignment horizontal="center" vertical="center" wrapText="1"/>
    </xf>
    <xf numFmtId="0" fontId="38" fillId="0" borderId="66" xfId="75" applyFont="1" applyBorder="1" applyAlignment="1">
      <alignment horizontal="center" vertical="center" wrapText="1"/>
    </xf>
    <xf numFmtId="10" fontId="38" fillId="0" borderId="66" xfId="75" applyNumberFormat="1" applyFont="1" applyBorder="1" applyAlignment="1">
      <alignment horizontal="center" vertical="center" wrapText="1"/>
    </xf>
    <xf numFmtId="0" fontId="47" fillId="17" borderId="66" xfId="75" applyFont="1" applyFill="1" applyBorder="1" applyAlignment="1">
      <alignment horizontal="center" vertical="center" wrapText="1"/>
    </xf>
    <xf numFmtId="10" fontId="47" fillId="17" borderId="66" xfId="75" applyNumberFormat="1" applyFont="1" applyFill="1" applyBorder="1" applyAlignment="1">
      <alignment horizontal="center" vertical="center" wrapText="1"/>
    </xf>
    <xf numFmtId="0" fontId="47" fillId="0" borderId="66" xfId="75" applyFont="1" applyBorder="1" applyAlignment="1">
      <alignment horizontal="center" vertical="center" wrapText="1"/>
    </xf>
    <xf numFmtId="10" fontId="47" fillId="0" borderId="66" xfId="75" applyNumberFormat="1" applyFont="1" applyBorder="1" applyAlignment="1">
      <alignment horizontal="center" vertical="center" wrapText="1"/>
    </xf>
    <xf numFmtId="0" fontId="35" fillId="17" borderId="66" xfId="75" applyFont="1" applyFill="1" applyBorder="1" applyAlignment="1">
      <alignment horizontal="center" vertical="center" wrapText="1"/>
    </xf>
    <xf numFmtId="10" fontId="94" fillId="17" borderId="66" xfId="75" applyNumberFormat="1" applyFont="1" applyFill="1" applyBorder="1" applyAlignment="1">
      <alignment horizontal="center" vertical="center" wrapText="1"/>
    </xf>
    <xf numFmtId="10" fontId="95" fillId="0" borderId="66" xfId="75" applyNumberFormat="1" applyFont="1" applyBorder="1" applyAlignment="1">
      <alignment horizontal="center" vertical="center" wrapText="1"/>
    </xf>
    <xf numFmtId="10" fontId="95" fillId="17" borderId="66" xfId="75" applyNumberFormat="1" applyFont="1" applyFill="1" applyBorder="1" applyAlignment="1">
      <alignment horizontal="center" vertical="center" wrapText="1"/>
    </xf>
    <xf numFmtId="0" fontId="96" fillId="17" borderId="66" xfId="75" applyFont="1" applyFill="1" applyBorder="1" applyAlignment="1">
      <alignment horizontal="center" vertical="center" wrapText="1"/>
    </xf>
    <xf numFmtId="0" fontId="97" fillId="0" borderId="2" xfId="0" applyFont="1" applyBorder="1" applyAlignment="1">
      <alignment vertical="center"/>
    </xf>
    <xf numFmtId="0" fontId="8" fillId="0" borderId="3" xfId="0" applyFont="1" applyBorder="1" applyAlignment="1">
      <alignment horizontal="left" vertical="center"/>
    </xf>
    <xf numFmtId="0" fontId="97" fillId="0" borderId="4" xfId="0" applyFont="1" applyBorder="1" applyAlignment="1">
      <alignment horizontal="center" vertical="center"/>
    </xf>
    <xf numFmtId="0" fontId="97" fillId="0" borderId="5" xfId="0" applyFont="1" applyBorder="1" applyAlignment="1">
      <alignment vertical="center"/>
    </xf>
    <xf numFmtId="0" fontId="8" fillId="0" borderId="0" xfId="0" applyFont="1" applyAlignment="1">
      <alignment horizontal="left" vertical="center"/>
    </xf>
    <xf numFmtId="0" fontId="97" fillId="0" borderId="6" xfId="0" applyFont="1" applyBorder="1" applyAlignment="1">
      <alignment horizontal="center" vertical="center"/>
    </xf>
    <xf numFmtId="0" fontId="92" fillId="0" borderId="2" xfId="0" applyFont="1" applyBorder="1"/>
    <xf numFmtId="0" fontId="98" fillId="0" borderId="0" xfId="0" applyFont="1" applyAlignment="1">
      <alignment vertical="center"/>
    </xf>
    <xf numFmtId="0" fontId="38" fillId="0" borderId="3" xfId="0" applyFont="1" applyBorder="1"/>
    <xf numFmtId="0" fontId="92" fillId="0" borderId="5" xfId="0" applyFont="1" applyBorder="1"/>
    <xf numFmtId="0" fontId="38" fillId="0" borderId="0" xfId="0" applyFont="1"/>
    <xf numFmtId="0" fontId="43" fillId="16" borderId="0" xfId="74" applyFont="1" applyFill="1"/>
    <xf numFmtId="0" fontId="82" fillId="19" borderId="0" xfId="74" applyFont="1" applyFill="1"/>
    <xf numFmtId="0" fontId="35" fillId="21" borderId="103" xfId="76" applyNumberFormat="1" applyFont="1" applyFill="1" applyBorder="1" applyAlignment="1" applyProtection="1">
      <alignment horizontal="center" vertical="center" wrapText="1"/>
    </xf>
    <xf numFmtId="0" fontId="32" fillId="3" borderId="36" xfId="0" applyFont="1" applyFill="1" applyBorder="1" applyAlignment="1">
      <alignment vertical="center" wrapText="1"/>
    </xf>
    <xf numFmtId="4" fontId="35" fillId="0" borderId="46" xfId="0" applyNumberFormat="1" applyFont="1" applyBorder="1" applyAlignment="1">
      <alignment horizontal="center" vertical="center" wrapText="1"/>
    </xf>
    <xf numFmtId="0" fontId="32" fillId="14" borderId="106" xfId="14" applyFont="1" applyFill="1" applyBorder="1" applyAlignment="1">
      <alignment horizontal="center" vertical="center" wrapText="1"/>
    </xf>
    <xf numFmtId="0" fontId="32" fillId="14" borderId="107" xfId="14" applyFont="1" applyFill="1" applyBorder="1" applyAlignment="1">
      <alignment horizontal="center" vertical="center" wrapText="1"/>
    </xf>
    <xf numFmtId="0" fontId="38" fillId="14" borderId="108" xfId="14" applyFont="1" applyFill="1" applyBorder="1" applyAlignment="1">
      <alignment horizontal="center" vertical="center" wrapText="1"/>
    </xf>
    <xf numFmtId="4" fontId="47" fillId="0" borderId="103" xfId="0" applyNumberFormat="1" applyFont="1" applyBorder="1" applyAlignment="1">
      <alignment horizontal="center" vertical="center" wrapText="1"/>
    </xf>
    <xf numFmtId="4" fontId="47" fillId="0" borderId="31" xfId="0" applyNumberFormat="1" applyFont="1" applyBorder="1" applyAlignment="1">
      <alignment horizontal="center" vertical="center" wrapText="1"/>
    </xf>
    <xf numFmtId="4" fontId="47" fillId="0" borderId="32" xfId="0" applyNumberFormat="1" applyFont="1" applyBorder="1" applyAlignment="1">
      <alignment horizontal="center" vertical="center" wrapText="1"/>
    </xf>
    <xf numFmtId="4" fontId="47" fillId="0" borderId="33" xfId="0" applyNumberFormat="1" applyFont="1" applyBorder="1" applyAlignment="1">
      <alignment horizontal="center" vertical="center" wrapText="1"/>
    </xf>
    <xf numFmtId="4" fontId="47" fillId="0" borderId="104" xfId="0" applyNumberFormat="1" applyFont="1" applyBorder="1" applyAlignment="1">
      <alignment horizontal="center" vertical="center" wrapText="1"/>
    </xf>
    <xf numFmtId="4" fontId="47" fillId="0" borderId="101" xfId="0" applyNumberFormat="1" applyFont="1" applyBorder="1" applyAlignment="1">
      <alignment horizontal="center" vertical="center" wrapText="1"/>
    </xf>
    <xf numFmtId="4" fontId="47" fillId="0" borderId="115" xfId="0" applyNumberFormat="1" applyFont="1" applyBorder="1" applyAlignment="1">
      <alignment horizontal="center" vertical="center" wrapText="1"/>
    </xf>
    <xf numFmtId="4" fontId="47" fillId="0" borderId="113" xfId="0" applyNumberFormat="1" applyFont="1" applyBorder="1" applyAlignment="1">
      <alignment horizontal="center" vertical="center" wrapText="1"/>
    </xf>
    <xf numFmtId="4" fontId="47" fillId="0" borderId="112" xfId="0" applyNumberFormat="1" applyFont="1" applyBorder="1" applyAlignment="1">
      <alignment horizontal="center" vertical="center" wrapText="1"/>
    </xf>
    <xf numFmtId="0" fontId="40" fillId="2" borderId="126" xfId="0" applyFont="1" applyFill="1" applyBorder="1" applyAlignment="1">
      <alignment horizontal="center" vertical="center"/>
    </xf>
    <xf numFmtId="4" fontId="40" fillId="3" borderId="127" xfId="0" applyNumberFormat="1" applyFont="1" applyFill="1" applyBorder="1" applyAlignment="1">
      <alignment horizontal="center" vertical="center"/>
    </xf>
    <xf numFmtId="4" fontId="40" fillId="2" borderId="99" xfId="0" applyNumberFormat="1" applyFont="1" applyFill="1" applyBorder="1" applyAlignment="1">
      <alignment horizontal="center" vertical="center"/>
    </xf>
    <xf numFmtId="4" fontId="39" fillId="3" borderId="126" xfId="0" applyNumberFormat="1" applyFont="1" applyFill="1" applyBorder="1" applyAlignment="1">
      <alignment horizontal="center" vertical="center"/>
    </xf>
    <xf numFmtId="3" fontId="39" fillId="2" borderId="127" xfId="0" applyNumberFormat="1" applyFont="1" applyFill="1" applyBorder="1" applyAlignment="1">
      <alignment horizontal="center" vertical="center"/>
    </xf>
    <xf numFmtId="4" fontId="40" fillId="2" borderId="128" xfId="0" applyNumberFormat="1" applyFont="1" applyFill="1" applyBorder="1" applyAlignment="1">
      <alignment horizontal="center" vertical="center"/>
    </xf>
    <xf numFmtId="4" fontId="40" fillId="3" borderId="133" xfId="0" applyNumberFormat="1" applyFont="1" applyFill="1" applyBorder="1" applyAlignment="1">
      <alignment horizontal="center" vertical="center"/>
    </xf>
    <xf numFmtId="4" fontId="40" fillId="8" borderId="128" xfId="0" applyNumberFormat="1" applyFont="1" applyFill="1" applyBorder="1" applyAlignment="1">
      <alignment horizontal="center" vertical="center"/>
    </xf>
    <xf numFmtId="4" fontId="40" fillId="8" borderId="0" xfId="0" applyNumberFormat="1" applyFont="1" applyFill="1" applyAlignment="1">
      <alignment horizontal="center" vertical="center"/>
    </xf>
    <xf numFmtId="4" fontId="40" fillId="8" borderId="24" xfId="0" applyNumberFormat="1" applyFont="1" applyFill="1" applyBorder="1" applyAlignment="1">
      <alignment horizontal="center" vertical="center"/>
    </xf>
    <xf numFmtId="4" fontId="40" fillId="8" borderId="3" xfId="0" applyNumberFormat="1" applyFont="1" applyFill="1" applyBorder="1" applyAlignment="1">
      <alignment horizontal="center" vertical="center"/>
    </xf>
    <xf numFmtId="4" fontId="40" fillId="8" borderId="123" xfId="0" applyNumberFormat="1" applyFont="1" applyFill="1" applyBorder="1" applyAlignment="1">
      <alignment horizontal="center" vertical="center"/>
    </xf>
    <xf numFmtId="4" fontId="32" fillId="0" borderId="102" xfId="0" applyNumberFormat="1" applyFont="1" applyBorder="1" applyAlignment="1">
      <alignment vertical="center"/>
    </xf>
    <xf numFmtId="4" fontId="35" fillId="3" borderId="54" xfId="0" applyNumberFormat="1" applyFont="1" applyFill="1" applyBorder="1" applyAlignment="1">
      <alignment vertical="center"/>
    </xf>
    <xf numFmtId="4" fontId="35" fillId="3" borderId="102" xfId="0" applyNumberFormat="1" applyFont="1" applyFill="1" applyBorder="1" applyAlignment="1">
      <alignment vertical="center"/>
    </xf>
    <xf numFmtId="4" fontId="35" fillId="3" borderId="19" xfId="0" applyNumberFormat="1" applyFont="1" applyFill="1" applyBorder="1" applyAlignment="1">
      <alignment vertical="center"/>
    </xf>
    <xf numFmtId="4" fontId="40" fillId="3" borderId="133" xfId="0" applyNumberFormat="1" applyFont="1" applyFill="1" applyBorder="1" applyAlignment="1">
      <alignment vertical="center"/>
    </xf>
    <xf numFmtId="10" fontId="32" fillId="3" borderId="134" xfId="0" applyNumberFormat="1" applyFont="1" applyFill="1" applyBorder="1" applyAlignment="1">
      <alignment vertical="center"/>
    </xf>
    <xf numFmtId="4" fontId="32" fillId="0" borderId="19" xfId="0" applyNumberFormat="1" applyFont="1" applyBorder="1" applyAlignment="1">
      <alignment vertical="center"/>
    </xf>
    <xf numFmtId="4" fontId="32" fillId="0" borderId="102" xfId="0" applyNumberFormat="1" applyFont="1" applyBorder="1" applyAlignment="1" applyProtection="1">
      <alignment vertical="center"/>
      <protection locked="0"/>
    </xf>
    <xf numFmtId="4" fontId="40" fillId="3" borderId="124" xfId="0" applyNumberFormat="1" applyFont="1" applyFill="1" applyBorder="1" applyAlignment="1">
      <alignment vertical="center"/>
    </xf>
    <xf numFmtId="10" fontId="32" fillId="3" borderId="27" xfId="0" applyNumberFormat="1" applyFont="1" applyFill="1" applyBorder="1" applyAlignment="1">
      <alignment vertical="center"/>
    </xf>
    <xf numFmtId="4" fontId="2" fillId="0" borderId="105" xfId="0" applyNumberFormat="1" applyFont="1" applyBorder="1" applyAlignment="1">
      <alignment vertical="center"/>
    </xf>
    <xf numFmtId="4" fontId="28" fillId="3" borderId="54" xfId="0" applyNumberFormat="1" applyFont="1" applyFill="1" applyBorder="1" applyAlignment="1">
      <alignment vertical="center"/>
    </xf>
    <xf numFmtId="4" fontId="2" fillId="0" borderId="102" xfId="0" applyNumberFormat="1" applyFont="1" applyBorder="1" applyAlignment="1">
      <alignment vertical="center"/>
    </xf>
    <xf numFmtId="4" fontId="28" fillId="3" borderId="102" xfId="0" applyNumberFormat="1" applyFont="1" applyFill="1" applyBorder="1" applyAlignment="1">
      <alignment vertical="center"/>
    </xf>
    <xf numFmtId="4" fontId="28" fillId="3" borderId="19" xfId="0" applyNumberFormat="1" applyFont="1" applyFill="1" applyBorder="1" applyAlignment="1">
      <alignment vertical="center"/>
    </xf>
    <xf numFmtId="4" fontId="18" fillId="3" borderId="124" xfId="0" applyNumberFormat="1" applyFont="1" applyFill="1" applyBorder="1" applyAlignment="1">
      <alignment vertical="center"/>
    </xf>
    <xf numFmtId="10" fontId="2" fillId="3" borderId="27" xfId="0" applyNumberFormat="1" applyFont="1" applyFill="1" applyBorder="1" applyAlignment="1">
      <alignment vertical="center"/>
    </xf>
    <xf numFmtId="4" fontId="40" fillId="3" borderId="122" xfId="0" applyNumberFormat="1" applyFont="1" applyFill="1" applyBorder="1" applyAlignment="1">
      <alignment vertical="center"/>
    </xf>
    <xf numFmtId="10" fontId="33" fillId="12" borderId="66" xfId="0" applyNumberFormat="1" applyFont="1" applyFill="1" applyBorder="1" applyAlignment="1">
      <alignment vertical="center"/>
    </xf>
    <xf numFmtId="0" fontId="33" fillId="0" borderId="103" xfId="14" applyFont="1" applyBorder="1" applyAlignment="1">
      <alignment horizontal="center"/>
    </xf>
    <xf numFmtId="0" fontId="35" fillId="21" borderId="18" xfId="76" applyNumberFormat="1" applyFont="1" applyFill="1" applyBorder="1" applyAlignment="1" applyProtection="1">
      <alignment horizontal="center" vertical="center" wrapText="1"/>
    </xf>
    <xf numFmtId="0" fontId="35" fillId="21" borderId="19" xfId="76" applyNumberFormat="1" applyFont="1" applyFill="1" applyBorder="1" applyAlignment="1" applyProtection="1">
      <alignment horizontal="center" vertical="center" wrapText="1"/>
    </xf>
    <xf numFmtId="0" fontId="35" fillId="21" borderId="49" xfId="76" applyNumberFormat="1" applyFont="1" applyFill="1" applyBorder="1" applyAlignment="1" applyProtection="1">
      <alignment horizontal="center" vertical="center" wrapText="1"/>
    </xf>
    <xf numFmtId="0" fontId="35" fillId="21" borderId="54" xfId="76" applyNumberFormat="1" applyFont="1" applyFill="1" applyBorder="1" applyAlignment="1" applyProtection="1">
      <alignment horizontal="center" vertical="center" wrapText="1"/>
    </xf>
    <xf numFmtId="0" fontId="32" fillId="0" borderId="100" xfId="14" applyFont="1" applyBorder="1" applyAlignment="1">
      <alignment horizontal="left" vertical="center" wrapText="1"/>
    </xf>
    <xf numFmtId="0" fontId="32" fillId="0" borderId="0" xfId="14" applyFont="1" applyAlignment="1">
      <alignment horizontal="left" vertical="center" wrapText="1"/>
    </xf>
    <xf numFmtId="0" fontId="32" fillId="25" borderId="60" xfId="76" applyNumberFormat="1" applyFont="1" applyFill="1" applyBorder="1" applyAlignment="1" applyProtection="1">
      <alignment horizontal="center" vertical="center" wrapText="1"/>
    </xf>
    <xf numFmtId="0" fontId="32" fillId="25" borderId="24" xfId="76" applyNumberFormat="1" applyFont="1" applyFill="1" applyBorder="1" applyAlignment="1" applyProtection="1">
      <alignment horizontal="center" vertical="center" wrapText="1"/>
    </xf>
    <xf numFmtId="0" fontId="32" fillId="25" borderId="77" xfId="76" applyNumberFormat="1" applyFont="1" applyFill="1" applyBorder="1" applyAlignment="1" applyProtection="1">
      <alignment horizontal="center" vertical="center" wrapText="1"/>
    </xf>
    <xf numFmtId="0" fontId="32" fillId="25" borderId="32" xfId="76" applyNumberFormat="1" applyFont="1" applyFill="1" applyBorder="1" applyAlignment="1" applyProtection="1">
      <alignment horizontal="center" vertical="center" wrapText="1"/>
    </xf>
    <xf numFmtId="0" fontId="32" fillId="25" borderId="66" xfId="76" applyNumberFormat="1" applyFont="1" applyFill="1" applyBorder="1" applyAlignment="1" applyProtection="1">
      <alignment horizontal="center" vertical="center" wrapText="1"/>
    </xf>
    <xf numFmtId="0" fontId="32" fillId="25" borderId="127" xfId="76" applyNumberFormat="1" applyFont="1" applyFill="1" applyBorder="1" applyAlignment="1" applyProtection="1">
      <alignment horizontal="center" vertical="center" wrapText="1"/>
    </xf>
    <xf numFmtId="0" fontId="32" fillId="25" borderId="99" xfId="76" applyNumberFormat="1" applyFont="1" applyFill="1" applyBorder="1" applyAlignment="1" applyProtection="1">
      <alignment horizontal="center" vertical="center" wrapText="1"/>
    </xf>
    <xf numFmtId="0" fontId="32" fillId="25" borderId="20" xfId="76" applyNumberFormat="1" applyFont="1" applyFill="1" applyBorder="1" applyAlignment="1" applyProtection="1">
      <alignment horizontal="center" vertical="center" wrapText="1"/>
    </xf>
    <xf numFmtId="0" fontId="32" fillId="25" borderId="49" xfId="76" applyNumberFormat="1" applyFont="1" applyFill="1" applyBorder="1" applyAlignment="1" applyProtection="1">
      <alignment horizontal="center" vertical="center" wrapText="1"/>
    </xf>
    <xf numFmtId="0" fontId="32" fillId="25" borderId="31" xfId="76" applyNumberFormat="1" applyFont="1" applyFill="1" applyBorder="1" applyAlignment="1" applyProtection="1">
      <alignment horizontal="center" vertical="center" wrapText="1"/>
    </xf>
    <xf numFmtId="0" fontId="32" fillId="25" borderId="71" xfId="76" applyNumberFormat="1" applyFont="1" applyFill="1" applyBorder="1" applyAlignment="1" applyProtection="1">
      <alignment horizontal="center" vertical="center" wrapText="1"/>
    </xf>
    <xf numFmtId="0" fontId="32" fillId="25" borderId="106" xfId="76" applyNumberFormat="1" applyFont="1" applyFill="1" applyBorder="1" applyAlignment="1" applyProtection="1">
      <alignment horizontal="center" vertical="center" wrapText="1"/>
    </xf>
    <xf numFmtId="0" fontId="43" fillId="20" borderId="32" xfId="76" applyNumberFormat="1" applyFont="1" applyFill="1" applyBorder="1" applyAlignment="1" applyProtection="1">
      <alignment horizontal="center" vertical="center" wrapText="1"/>
    </xf>
    <xf numFmtId="0" fontId="43" fillId="20" borderId="33" xfId="76" applyNumberFormat="1" applyFont="1" applyFill="1" applyBorder="1" applyAlignment="1" applyProtection="1">
      <alignment horizontal="center" vertical="center" wrapText="1"/>
    </xf>
    <xf numFmtId="0" fontId="43" fillId="20" borderId="66" xfId="76" applyNumberFormat="1" applyFont="1" applyFill="1" applyBorder="1" applyAlignment="1" applyProtection="1">
      <alignment horizontal="center" vertical="center" wrapText="1"/>
    </xf>
    <xf numFmtId="0" fontId="43" fillId="20" borderId="73" xfId="76" applyNumberFormat="1" applyFont="1" applyFill="1" applyBorder="1" applyAlignment="1" applyProtection="1">
      <alignment horizontal="center" vertical="center" wrapText="1"/>
    </xf>
    <xf numFmtId="0" fontId="43" fillId="20" borderId="107" xfId="76" applyNumberFormat="1" applyFont="1" applyFill="1" applyBorder="1" applyAlignment="1" applyProtection="1">
      <alignment horizontal="center" vertical="center" wrapText="1"/>
    </xf>
    <xf numFmtId="0" fontId="43" fillId="20" borderId="108" xfId="76" applyNumberFormat="1" applyFont="1" applyFill="1" applyBorder="1" applyAlignment="1" applyProtection="1">
      <alignment horizontal="center" vertical="center" wrapText="1"/>
    </xf>
    <xf numFmtId="0" fontId="35" fillId="21" borderId="78" xfId="76" applyNumberFormat="1" applyFont="1" applyFill="1" applyBorder="1" applyAlignment="1" applyProtection="1">
      <alignment horizontal="center" vertical="center" wrapText="1"/>
    </xf>
    <xf numFmtId="0" fontId="35" fillId="21" borderId="79" xfId="76" applyNumberFormat="1" applyFont="1" applyFill="1" applyBorder="1" applyAlignment="1" applyProtection="1">
      <alignment horizontal="center" vertical="center" wrapText="1"/>
    </xf>
    <xf numFmtId="44" fontId="35" fillId="21" borderId="93" xfId="77" applyFont="1" applyFill="1" applyBorder="1" applyAlignment="1" applyProtection="1">
      <alignment horizontal="center" vertical="center" wrapText="1"/>
    </xf>
    <xf numFmtId="44" fontId="35" fillId="21" borderId="65" xfId="77" applyFont="1" applyFill="1" applyBorder="1" applyAlignment="1" applyProtection="1">
      <alignment horizontal="center" vertical="center" wrapText="1"/>
    </xf>
    <xf numFmtId="0" fontId="66" fillId="25" borderId="31" xfId="76" applyNumberFormat="1" applyFont="1" applyFill="1" applyBorder="1" applyAlignment="1" applyProtection="1">
      <alignment horizontal="center" vertical="center" wrapText="1"/>
    </xf>
    <xf numFmtId="0" fontId="35" fillId="25" borderId="32" xfId="76" applyNumberFormat="1" applyFont="1" applyFill="1" applyBorder="1" applyAlignment="1" applyProtection="1">
      <alignment horizontal="center" vertical="center" wrapText="1"/>
    </xf>
    <xf numFmtId="0" fontId="35" fillId="25" borderId="71" xfId="76" applyNumberFormat="1" applyFont="1" applyFill="1" applyBorder="1" applyAlignment="1" applyProtection="1">
      <alignment horizontal="center" vertical="center" wrapText="1"/>
    </xf>
    <xf numFmtId="0" fontId="35" fillId="25" borderId="66" xfId="76" applyNumberFormat="1" applyFont="1" applyFill="1" applyBorder="1" applyAlignment="1" applyProtection="1">
      <alignment horizontal="center" vertical="center" wrapText="1"/>
    </xf>
    <xf numFmtId="0" fontId="34" fillId="0" borderId="0" xfId="14" applyFont="1" applyAlignment="1">
      <alignment horizontal="center" vertical="center" wrapText="1"/>
    </xf>
    <xf numFmtId="0" fontId="65" fillId="12" borderId="66" xfId="14" applyFont="1" applyFill="1" applyBorder="1" applyAlignment="1">
      <alignment horizontal="center" vertical="center" wrapText="1"/>
    </xf>
    <xf numFmtId="0" fontId="43" fillId="12" borderId="66" xfId="14" applyFont="1" applyFill="1" applyBorder="1" applyAlignment="1">
      <alignment horizontal="center" vertical="center" wrapText="1"/>
    </xf>
    <xf numFmtId="0" fontId="36" fillId="18" borderId="0" xfId="74" applyFont="1" applyFill="1" applyAlignment="1">
      <alignment horizontal="center"/>
    </xf>
    <xf numFmtId="0" fontId="33" fillId="18" borderId="0" xfId="74" applyFont="1" applyFill="1" applyAlignment="1">
      <alignment horizontal="left" wrapText="1"/>
    </xf>
    <xf numFmtId="173" fontId="43" fillId="9" borderId="52" xfId="0" applyNumberFormat="1"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4" fillId="0" borderId="17" xfId="0" applyFont="1" applyBorder="1" applyAlignment="1">
      <alignment horizontal="center" vertical="center" wrapText="1"/>
    </xf>
    <xf numFmtId="0" fontId="44" fillId="0" borderId="36" xfId="0" applyFont="1" applyBorder="1" applyAlignment="1">
      <alignment horizontal="center" vertical="center" wrapText="1"/>
    </xf>
    <xf numFmtId="0" fontId="41" fillId="3" borderId="51" xfId="0" applyFont="1" applyFill="1" applyBorder="1" applyAlignment="1">
      <alignment horizontal="center" vertical="center" wrapText="1"/>
    </xf>
    <xf numFmtId="0" fontId="41" fillId="3" borderId="63" xfId="0" applyFont="1" applyFill="1" applyBorder="1" applyAlignment="1">
      <alignment horizontal="center" vertical="center" wrapText="1"/>
    </xf>
    <xf numFmtId="0" fontId="32" fillId="3" borderId="2" xfId="0" applyFont="1" applyFill="1" applyBorder="1" applyAlignment="1">
      <alignment horizontal="center" vertical="center" textRotation="90"/>
    </xf>
    <xf numFmtId="0" fontId="39" fillId="3" borderId="2" xfId="0" applyFont="1" applyFill="1" applyBorder="1" applyAlignment="1">
      <alignment horizontal="center" vertical="center" wrapText="1"/>
    </xf>
    <xf numFmtId="0" fontId="39" fillId="3" borderId="2" xfId="0" applyFont="1" applyFill="1" applyBorder="1" applyAlignment="1">
      <alignment horizontal="center" vertical="center"/>
    </xf>
    <xf numFmtId="0" fontId="32" fillId="3" borderId="36" xfId="0" applyFont="1" applyFill="1" applyBorder="1" applyAlignment="1">
      <alignment horizontal="center" vertical="center" wrapText="1"/>
    </xf>
    <xf numFmtId="0" fontId="32" fillId="3" borderId="55"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39" fillId="3" borderId="51" xfId="0" applyFont="1" applyFill="1" applyBorder="1" applyAlignment="1">
      <alignment horizontal="center" vertical="center" wrapText="1"/>
    </xf>
    <xf numFmtId="0" fontId="39" fillId="3" borderId="22" xfId="0" applyFont="1" applyFill="1" applyBorder="1" applyAlignment="1">
      <alignment horizontal="center" vertical="center" wrapText="1"/>
    </xf>
    <xf numFmtId="0" fontId="42" fillId="3" borderId="35" xfId="0" applyFont="1" applyFill="1" applyBorder="1" applyAlignment="1">
      <alignment horizontal="center" vertical="center" wrapText="1"/>
    </xf>
    <xf numFmtId="0" fontId="32" fillId="3" borderId="51" xfId="0" applyFont="1" applyFill="1" applyBorder="1" applyAlignment="1">
      <alignment horizontal="center" vertical="center" wrapText="1"/>
    </xf>
    <xf numFmtId="0" fontId="32" fillId="3" borderId="63" xfId="0" applyFont="1" applyFill="1" applyBorder="1" applyAlignment="1">
      <alignment horizontal="center" vertical="center" wrapText="1"/>
    </xf>
    <xf numFmtId="0" fontId="32" fillId="3" borderId="52" xfId="0" applyFont="1" applyFill="1" applyBorder="1" applyAlignment="1">
      <alignment horizontal="center" vertical="center" wrapText="1"/>
    </xf>
    <xf numFmtId="0" fontId="33" fillId="14" borderId="130" xfId="14" applyFont="1" applyFill="1" applyBorder="1" applyAlignment="1">
      <alignment horizontal="center" vertical="center" wrapText="1"/>
    </xf>
    <xf numFmtId="0" fontId="33" fillId="14" borderId="131" xfId="14" applyFont="1" applyFill="1" applyBorder="1" applyAlignment="1">
      <alignment horizontal="center" vertical="center" wrapText="1"/>
    </xf>
    <xf numFmtId="0" fontId="33" fillId="14" borderId="132" xfId="14" applyFont="1" applyFill="1" applyBorder="1" applyAlignment="1">
      <alignment horizontal="center" vertical="center" wrapText="1"/>
    </xf>
    <xf numFmtId="0" fontId="32" fillId="3" borderId="17" xfId="0" applyFont="1" applyFill="1" applyBorder="1" applyAlignment="1">
      <alignment horizontal="center" vertical="center" wrapText="1"/>
    </xf>
    <xf numFmtId="0" fontId="43" fillId="3" borderId="51" xfId="0" applyFont="1" applyFill="1" applyBorder="1" applyAlignment="1">
      <alignment horizontal="center" vertical="center" wrapText="1"/>
    </xf>
    <xf numFmtId="0" fontId="43" fillId="3" borderId="63" xfId="0" applyFont="1" applyFill="1" applyBorder="1" applyAlignment="1">
      <alignment horizontal="center" vertical="center" wrapText="1"/>
    </xf>
    <xf numFmtId="0" fontId="40" fillId="3" borderId="129" xfId="0" applyFont="1" applyFill="1" applyBorder="1" applyAlignment="1">
      <alignment horizontal="center" vertical="center" wrapText="1"/>
    </xf>
    <xf numFmtId="0" fontId="40" fillId="3" borderId="55"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14" borderId="31" xfId="14" applyFont="1" applyFill="1" applyBorder="1" applyAlignment="1">
      <alignment horizontal="center" vertical="center" wrapText="1"/>
    </xf>
    <xf numFmtId="0" fontId="32" fillId="14" borderId="32" xfId="14" applyFont="1" applyFill="1" applyBorder="1" applyAlignment="1">
      <alignment horizontal="center" vertical="center" wrapText="1"/>
    </xf>
    <xf numFmtId="0" fontId="32" fillId="14" borderId="33" xfId="14" applyFont="1" applyFill="1" applyBorder="1" applyAlignment="1">
      <alignment horizontal="center" vertical="center" wrapText="1"/>
    </xf>
    <xf numFmtId="0" fontId="40" fillId="3" borderId="36" xfId="0" applyFont="1" applyFill="1" applyBorder="1" applyAlignment="1">
      <alignment horizontal="left" vertical="center" wrapText="1" indent="15"/>
    </xf>
    <xf numFmtId="0" fontId="43" fillId="8" borderId="51" xfId="0" applyFont="1" applyFill="1" applyBorder="1" applyAlignment="1">
      <alignment horizontal="center" vertical="center" textRotation="90"/>
    </xf>
    <xf numFmtId="0" fontId="43" fillId="8" borderId="2" xfId="0" applyFont="1" applyFill="1" applyBorder="1" applyAlignment="1">
      <alignment horizontal="center" vertical="center" textRotation="90"/>
    </xf>
    <xf numFmtId="0" fontId="56" fillId="0" borderId="109" xfId="14" applyFont="1" applyBorder="1" applyAlignment="1" applyProtection="1">
      <alignment horizontal="left" vertical="center" wrapText="1"/>
      <protection locked="0"/>
    </xf>
    <xf numFmtId="0" fontId="56" fillId="0" borderId="110" xfId="14" applyFont="1" applyBorder="1" applyAlignment="1" applyProtection="1">
      <alignment horizontal="left" vertical="center" wrapText="1"/>
      <protection locked="0"/>
    </xf>
    <xf numFmtId="0" fontId="56" fillId="0" borderId="111" xfId="14" applyFont="1" applyBorder="1" applyAlignment="1" applyProtection="1">
      <alignment horizontal="left" vertical="center" wrapText="1"/>
      <protection locked="0"/>
    </xf>
    <xf numFmtId="2" fontId="16" fillId="28" borderId="103" xfId="14" applyNumberFormat="1" applyFont="1" applyFill="1" applyBorder="1" applyAlignment="1" applyProtection="1">
      <alignment horizontal="center" vertical="center"/>
      <protection locked="0"/>
    </xf>
    <xf numFmtId="14" fontId="16" fillId="0" borderId="103" xfId="14" applyNumberFormat="1" applyFont="1" applyBorder="1" applyAlignment="1" applyProtection="1">
      <alignment horizontal="center" vertical="center"/>
      <protection locked="0"/>
    </xf>
    <xf numFmtId="0" fontId="16" fillId="0" borderId="103" xfId="14" applyFont="1" applyBorder="1" applyAlignment="1" applyProtection="1">
      <alignment horizontal="left" vertical="center"/>
      <protection locked="0"/>
    </xf>
    <xf numFmtId="0" fontId="78" fillId="27" borderId="103" xfId="76" applyNumberFormat="1" applyFont="1" applyFill="1" applyBorder="1" applyAlignment="1">
      <alignment horizontal="center" vertical="center" wrapText="1"/>
    </xf>
    <xf numFmtId="0" fontId="77" fillId="0" borderId="103" xfId="14" applyFont="1" applyBorder="1" applyAlignment="1" applyProtection="1">
      <alignment horizontal="center" vertical="center"/>
      <protection locked="0"/>
    </xf>
    <xf numFmtId="0" fontId="55" fillId="16" borderId="103" xfId="14" applyFont="1" applyFill="1" applyBorder="1" applyAlignment="1" applyProtection="1">
      <alignment horizontal="center" vertical="center" wrapText="1"/>
      <protection locked="0"/>
    </xf>
    <xf numFmtId="0" fontId="76" fillId="23" borderId="51" xfId="14" applyFont="1" applyFill="1" applyBorder="1" applyAlignment="1" applyProtection="1">
      <alignment horizontal="center" vertical="center" wrapText="1"/>
      <protection locked="0"/>
    </xf>
    <xf numFmtId="0" fontId="76" fillId="23" borderId="63" xfId="14" applyFont="1" applyFill="1" applyBorder="1" applyAlignment="1" applyProtection="1">
      <alignment horizontal="center" vertical="center" wrapText="1"/>
      <protection locked="0"/>
    </xf>
    <xf numFmtId="0" fontId="76" fillId="23" borderId="52" xfId="14" applyFont="1" applyFill="1" applyBorder="1" applyAlignment="1" applyProtection="1">
      <alignment horizontal="center" vertical="center" wrapText="1"/>
      <protection locked="0"/>
    </xf>
    <xf numFmtId="0" fontId="55" fillId="0" borderId="56" xfId="14" applyFont="1" applyBorder="1" applyAlignment="1" applyProtection="1">
      <alignment horizontal="left" vertical="center"/>
      <protection locked="0"/>
    </xf>
    <xf numFmtId="0" fontId="55" fillId="0" borderId="57" xfId="14" applyFont="1" applyBorder="1" applyAlignment="1" applyProtection="1">
      <alignment horizontal="left" vertical="center"/>
      <protection locked="0"/>
    </xf>
    <xf numFmtId="0" fontId="55" fillId="0" borderId="38" xfId="14" applyFont="1" applyBorder="1" applyAlignment="1" applyProtection="1">
      <alignment horizontal="left" vertical="center"/>
      <protection locked="0"/>
    </xf>
    <xf numFmtId="2" fontId="16" fillId="0" borderId="103" xfId="14" applyNumberFormat="1" applyFont="1" applyBorder="1" applyAlignment="1" applyProtection="1">
      <alignment horizontal="center" vertical="center"/>
      <protection locked="0"/>
    </xf>
    <xf numFmtId="0" fontId="55" fillId="16" borderId="114" xfId="14" applyFont="1" applyFill="1" applyBorder="1" applyAlignment="1" applyProtection="1">
      <alignment horizontal="center" vertical="center" wrapText="1"/>
      <protection locked="0"/>
    </xf>
    <xf numFmtId="0" fontId="55" fillId="16" borderId="102" xfId="14" applyFont="1" applyFill="1" applyBorder="1" applyAlignment="1" applyProtection="1">
      <alignment horizontal="center" vertical="center" wrapText="1"/>
      <protection locked="0"/>
    </xf>
    <xf numFmtId="0" fontId="76" fillId="14" borderId="103" xfId="14" applyFont="1" applyFill="1" applyBorder="1" applyAlignment="1" applyProtection="1">
      <alignment horizontal="center" vertical="center" wrapText="1"/>
      <protection locked="0"/>
    </xf>
    <xf numFmtId="0" fontId="33" fillId="0" borderId="67" xfId="0" applyFont="1" applyBorder="1" applyAlignment="1">
      <alignment horizontal="left" vertical="center"/>
    </xf>
    <xf numFmtId="0" fontId="33" fillId="0" borderId="68" xfId="0" applyFont="1" applyBorder="1" applyAlignment="1">
      <alignment horizontal="left" vertical="center"/>
    </xf>
    <xf numFmtId="0" fontId="33" fillId="0" borderId="69" xfId="0" applyFont="1" applyBorder="1" applyAlignment="1">
      <alignment horizontal="left" vertical="center"/>
    </xf>
    <xf numFmtId="0" fontId="33" fillId="12" borderId="67" xfId="0" applyFont="1" applyFill="1" applyBorder="1" applyAlignment="1" applyProtection="1">
      <alignment horizontal="left" vertical="center"/>
      <protection locked="0"/>
    </xf>
    <xf numFmtId="0" fontId="33" fillId="12" borderId="68" xfId="0" applyFont="1" applyFill="1" applyBorder="1" applyAlignment="1" applyProtection="1">
      <alignment horizontal="left" vertical="center"/>
      <protection locked="0"/>
    </xf>
    <xf numFmtId="0" fontId="33" fillId="12" borderId="69" xfId="0" applyFont="1" applyFill="1" applyBorder="1" applyAlignment="1" applyProtection="1">
      <alignment horizontal="left" vertical="center"/>
      <protection locked="0"/>
    </xf>
    <xf numFmtId="0" fontId="33" fillId="0" borderId="12" xfId="0" applyFont="1" applyBorder="1" applyAlignment="1">
      <alignment horizontal="left" vertical="center" wrapText="1"/>
    </xf>
    <xf numFmtId="0" fontId="33" fillId="0" borderId="47" xfId="0" applyFont="1" applyBorder="1" applyAlignment="1">
      <alignment horizontal="left" vertical="center" wrapText="1"/>
    </xf>
    <xf numFmtId="0" fontId="33" fillId="0" borderId="40" xfId="0" applyFont="1" applyBorder="1" applyAlignment="1">
      <alignment horizontal="left" vertical="center" wrapText="1"/>
    </xf>
    <xf numFmtId="0" fontId="33" fillId="0" borderId="12" xfId="14" applyFont="1" applyBorder="1" applyAlignment="1">
      <alignment horizontal="left" vertical="center"/>
    </xf>
    <xf numFmtId="0" fontId="33" fillId="0" borderId="47" xfId="14" applyFont="1" applyBorder="1" applyAlignment="1">
      <alignment horizontal="left" vertical="center"/>
    </xf>
    <xf numFmtId="0" fontId="33" fillId="0" borderId="40" xfId="14" applyFont="1" applyBorder="1" applyAlignment="1">
      <alignment horizontal="left" vertical="center"/>
    </xf>
    <xf numFmtId="0" fontId="43" fillId="3" borderId="10" xfId="0" applyFont="1" applyFill="1" applyBorder="1" applyAlignment="1">
      <alignment horizontal="center" vertical="center"/>
    </xf>
    <xf numFmtId="0" fontId="43" fillId="12" borderId="66" xfId="14" applyFont="1" applyFill="1" applyBorder="1" applyAlignment="1" applyProtection="1">
      <alignment horizontal="center" vertical="center"/>
      <protection locked="0"/>
    </xf>
    <xf numFmtId="0" fontId="33" fillId="0" borderId="66" xfId="14" applyFont="1" applyBorder="1" applyAlignment="1">
      <alignment horizontal="left" vertical="center"/>
    </xf>
    <xf numFmtId="0" fontId="33" fillId="0" borderId="20" xfId="14" applyFont="1" applyBorder="1" applyAlignment="1">
      <alignment horizontal="left" vertical="center" wrapText="1"/>
    </xf>
    <xf numFmtId="0" fontId="33" fillId="0" borderId="0" xfId="14" applyFont="1" applyAlignment="1">
      <alignment horizontal="left" vertical="center" wrapText="1"/>
    </xf>
    <xf numFmtId="0" fontId="33" fillId="0" borderId="66" xfId="0" applyFont="1" applyBorder="1" applyAlignment="1">
      <alignment horizontal="left" vertical="center"/>
    </xf>
    <xf numFmtId="0" fontId="43" fillId="3" borderId="66" xfId="0" applyFont="1" applyFill="1" applyBorder="1" applyAlignment="1">
      <alignment horizontal="center" vertical="center"/>
    </xf>
    <xf numFmtId="0" fontId="33" fillId="0" borderId="66" xfId="0" applyFont="1" applyBorder="1" applyAlignment="1">
      <alignment horizontal="right" vertical="center"/>
    </xf>
    <xf numFmtId="0" fontId="33" fillId="12" borderId="67" xfId="14" applyFont="1" applyFill="1" applyBorder="1" applyAlignment="1" applyProtection="1">
      <alignment horizontal="left" vertical="center"/>
      <protection locked="0"/>
    </xf>
    <xf numFmtId="0" fontId="33" fillId="12" borderId="68" xfId="14" applyFont="1" applyFill="1" applyBorder="1" applyAlignment="1" applyProtection="1">
      <alignment horizontal="left" vertical="center"/>
      <protection locked="0"/>
    </xf>
    <xf numFmtId="0" fontId="33" fillId="12" borderId="69" xfId="14" applyFont="1" applyFill="1" applyBorder="1" applyAlignment="1" applyProtection="1">
      <alignment horizontal="left" vertical="center"/>
      <protection locked="0"/>
    </xf>
    <xf numFmtId="0" fontId="33" fillId="0" borderId="10" xfId="14" applyFont="1" applyBorder="1" applyAlignment="1">
      <alignment horizontal="left" vertical="center"/>
    </xf>
    <xf numFmtId="0" fontId="43" fillId="12" borderId="10" xfId="14" applyFont="1" applyFill="1" applyBorder="1" applyAlignment="1" applyProtection="1">
      <alignment horizontal="center" vertical="center"/>
      <protection locked="0"/>
    </xf>
    <xf numFmtId="0" fontId="43" fillId="16" borderId="66" xfId="14" applyFont="1" applyFill="1" applyBorder="1" applyAlignment="1">
      <alignment horizontal="center" vertical="center" wrapText="1"/>
    </xf>
    <xf numFmtId="0" fontId="43" fillId="14" borderId="66" xfId="14" applyFont="1" applyFill="1" applyBorder="1" applyAlignment="1">
      <alignment horizontal="center" vertical="center" wrapText="1"/>
    </xf>
    <xf numFmtId="0" fontId="33" fillId="0" borderId="66" xfId="0" applyFont="1" applyBorder="1" applyAlignment="1">
      <alignment horizontal="left"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3" xfId="0" applyFont="1" applyBorder="1" applyAlignment="1">
      <alignment horizontal="center" vertical="center" wrapText="1"/>
    </xf>
    <xf numFmtId="0" fontId="43" fillId="8" borderId="17" xfId="0" applyFont="1" applyFill="1" applyBorder="1" applyAlignment="1">
      <alignment horizontal="center" vertical="center" textRotation="90"/>
    </xf>
    <xf numFmtId="0" fontId="33" fillId="0" borderId="59" xfId="14" applyFont="1" applyBorder="1" applyAlignment="1">
      <alignment horizontal="center" vertical="center" wrapText="1"/>
    </xf>
    <xf numFmtId="0" fontId="33" fillId="0" borderId="47" xfId="14" applyFont="1" applyBorder="1" applyAlignment="1">
      <alignment horizontal="center" vertical="center" wrapText="1"/>
    </xf>
    <xf numFmtId="0" fontId="33" fillId="0" borderId="64" xfId="14" applyFont="1" applyBorder="1" applyAlignment="1">
      <alignment horizontal="center" vertical="center" wrapText="1"/>
    </xf>
    <xf numFmtId="0" fontId="33" fillId="0" borderId="34" xfId="0" applyFont="1" applyBorder="1" applyAlignment="1">
      <alignment horizontal="center" vertical="center"/>
    </xf>
    <xf numFmtId="0" fontId="33" fillId="0" borderId="58" xfId="0" applyFont="1" applyBorder="1" applyAlignment="1">
      <alignment horizontal="center" vertical="center"/>
    </xf>
    <xf numFmtId="0" fontId="33" fillId="0" borderId="65" xfId="0" applyFont="1" applyBorder="1" applyAlignment="1">
      <alignment horizontal="center" vertical="center"/>
    </xf>
    <xf numFmtId="0" fontId="43" fillId="14" borderId="10" xfId="14" applyFont="1" applyFill="1" applyBorder="1" applyAlignment="1">
      <alignment horizontal="center" vertical="center"/>
    </xf>
    <xf numFmtId="0" fontId="14" fillId="5" borderId="5"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6"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46" fillId="0" borderId="66" xfId="75" applyFont="1" applyBorder="1" applyAlignment="1">
      <alignment horizontal="center" vertical="center" wrapText="1"/>
    </xf>
    <xf numFmtId="0" fontId="35" fillId="17" borderId="66" xfId="75" applyFont="1" applyFill="1" applyBorder="1" applyAlignment="1">
      <alignment horizontal="center" vertical="center" wrapText="1"/>
    </xf>
    <xf numFmtId="0" fontId="7" fillId="0" borderId="9" xfId="0" applyFont="1" applyBorder="1" applyAlignment="1">
      <alignment horizontal="left" vertical="center"/>
    </xf>
    <xf numFmtId="0" fontId="11" fillId="3" borderId="15" xfId="0" applyFont="1" applyFill="1" applyBorder="1" applyAlignment="1">
      <alignment horizontal="left" vertical="center"/>
    </xf>
    <xf numFmtId="0" fontId="11" fillId="3" borderId="7" xfId="0" applyFont="1" applyFill="1" applyBorder="1" applyAlignment="1">
      <alignment horizontal="left" vertical="center"/>
    </xf>
    <xf numFmtId="0" fontId="11" fillId="3" borderId="11" xfId="0" applyFont="1" applyFill="1" applyBorder="1" applyAlignment="1">
      <alignment horizontal="left" vertical="center"/>
    </xf>
    <xf numFmtId="0" fontId="12" fillId="0" borderId="9" xfId="0" applyFont="1" applyBorder="1" applyAlignment="1">
      <alignment horizontal="left" vertical="center"/>
    </xf>
    <xf numFmtId="0" fontId="11" fillId="0" borderId="9" xfId="0" applyFont="1" applyBorder="1" applyAlignment="1">
      <alignment horizontal="left" vertical="center"/>
    </xf>
    <xf numFmtId="0" fontId="7" fillId="0" borderId="9" xfId="0" applyFont="1" applyBorder="1" applyAlignment="1">
      <alignment horizontal="left" vertical="center" wrapText="1"/>
    </xf>
    <xf numFmtId="0" fontId="10" fillId="2"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2" borderId="9" xfId="0" applyFont="1" applyFill="1" applyBorder="1" applyAlignment="1">
      <alignment horizontal="left" vertical="center"/>
    </xf>
    <xf numFmtId="0" fontId="66" fillId="21" borderId="103" xfId="76" applyNumberFormat="1" applyFont="1" applyFill="1" applyBorder="1" applyAlignment="1">
      <alignment horizontal="center" vertical="center" wrapText="1"/>
    </xf>
    <xf numFmtId="0" fontId="71" fillId="21" borderId="103" xfId="76" applyNumberFormat="1" applyFont="1" applyFill="1" applyBorder="1" applyAlignment="1">
      <alignment horizontal="center" vertical="center" wrapText="1"/>
    </xf>
    <xf numFmtId="0" fontId="15" fillId="24" borderId="118" xfId="78" applyFont="1" applyFill="1" applyBorder="1" applyAlignment="1">
      <alignment horizontal="center" vertical="center" wrapText="1"/>
    </xf>
    <xf numFmtId="0" fontId="15" fillId="24" borderId="0" xfId="78" applyFont="1" applyFill="1" applyAlignment="1">
      <alignment horizontal="center" vertical="center" wrapText="1"/>
    </xf>
    <xf numFmtId="0" fontId="15" fillId="24" borderId="46" xfId="78" applyFont="1" applyFill="1" applyBorder="1" applyAlignment="1">
      <alignment horizontal="center" vertical="center" wrapText="1"/>
    </xf>
    <xf numFmtId="0" fontId="84" fillId="0" borderId="51" xfId="0" applyFont="1" applyBorder="1" applyAlignment="1">
      <alignment horizontal="center" vertical="center" wrapText="1"/>
    </xf>
    <xf numFmtId="0" fontId="84" fillId="0" borderId="63" xfId="0" applyFont="1" applyBorder="1" applyAlignment="1">
      <alignment horizontal="center" vertical="center" wrapText="1"/>
    </xf>
    <xf numFmtId="0" fontId="84" fillId="0" borderId="52" xfId="0" applyFont="1" applyBorder="1" applyAlignment="1">
      <alignment horizontal="center" vertical="center" wrapText="1"/>
    </xf>
    <xf numFmtId="0" fontId="43" fillId="2" borderId="126" xfId="0" applyFont="1" applyFill="1" applyBorder="1" applyAlignment="1">
      <alignment horizontal="center" vertical="center" wrapText="1"/>
    </xf>
    <xf numFmtId="0" fontId="43" fillId="2" borderId="41" xfId="0" applyFont="1" applyFill="1" applyBorder="1" applyAlignment="1">
      <alignment horizontal="center" vertical="center" wrapText="1"/>
    </xf>
    <xf numFmtId="0" fontId="43" fillId="2" borderId="129" xfId="0" applyFont="1" applyFill="1" applyBorder="1" applyAlignment="1">
      <alignment horizontal="center" vertical="center" wrapText="1"/>
    </xf>
    <xf numFmtId="0" fontId="43" fillId="2" borderId="55" xfId="0" applyFont="1" applyFill="1" applyBorder="1" applyAlignment="1">
      <alignment horizontal="center" vertical="center" wrapText="1"/>
    </xf>
    <xf numFmtId="0" fontId="84" fillId="0" borderId="5" xfId="0" applyFont="1" applyBorder="1" applyAlignment="1">
      <alignment horizontal="center" vertical="center"/>
    </xf>
    <xf numFmtId="0" fontId="84" fillId="0" borderId="55" xfId="0" applyFont="1" applyBorder="1" applyAlignment="1">
      <alignment horizontal="center" vertical="center"/>
    </xf>
    <xf numFmtId="4" fontId="43" fillId="2" borderId="66" xfId="0" applyNumberFormat="1" applyFont="1" applyFill="1" applyBorder="1" applyAlignment="1">
      <alignment horizontal="center" vertical="center"/>
    </xf>
    <xf numFmtId="0" fontId="84" fillId="7" borderId="81" xfId="0" applyFont="1" applyFill="1" applyBorder="1" applyAlignment="1">
      <alignment horizontal="center" vertical="center"/>
    </xf>
    <xf numFmtId="0" fontId="84" fillId="7" borderId="66" xfId="0" applyFont="1" applyFill="1" applyBorder="1" applyAlignment="1">
      <alignment horizontal="center" vertical="center"/>
    </xf>
    <xf numFmtId="0" fontId="43" fillId="0" borderId="17" xfId="0" applyFont="1" applyBorder="1" applyAlignment="1">
      <alignment horizontal="center" vertical="center"/>
    </xf>
    <xf numFmtId="0" fontId="43" fillId="0" borderId="55" xfId="0" applyFont="1" applyBorder="1" applyAlignment="1">
      <alignment horizontal="center" vertical="center"/>
    </xf>
    <xf numFmtId="0" fontId="84" fillId="7" borderId="35" xfId="0" applyFont="1" applyFill="1" applyBorder="1" applyAlignment="1">
      <alignment horizontal="center" vertical="center"/>
    </xf>
    <xf numFmtId="4" fontId="43" fillId="2" borderId="93" xfId="0" applyNumberFormat="1" applyFont="1" applyFill="1" applyBorder="1" applyAlignment="1">
      <alignment horizontal="center" vertical="center"/>
    </xf>
    <xf numFmtId="0" fontId="84" fillId="7" borderId="35" xfId="0" applyFont="1" applyFill="1" applyBorder="1" applyAlignment="1">
      <alignment horizontal="center" vertical="center" wrapText="1"/>
    </xf>
    <xf numFmtId="4" fontId="43" fillId="2" borderId="83" xfId="0" applyNumberFormat="1" applyFont="1" applyFill="1" applyBorder="1" applyAlignment="1">
      <alignment horizontal="center" vertical="center"/>
    </xf>
    <xf numFmtId="0" fontId="43" fillId="2" borderId="37" xfId="0" applyFont="1" applyFill="1" applyBorder="1" applyAlignment="1">
      <alignment horizontal="center" vertical="center" wrapText="1"/>
    </xf>
    <xf numFmtId="0" fontId="43" fillId="2" borderId="78" xfId="0" applyFont="1" applyFill="1" applyBorder="1" applyAlignment="1">
      <alignment horizontal="center" vertical="center" wrapText="1"/>
    </xf>
    <xf numFmtId="0" fontId="43" fillId="2" borderId="79" xfId="0" applyFont="1" applyFill="1" applyBorder="1" applyAlignment="1">
      <alignment horizontal="center" vertical="center" wrapText="1"/>
    </xf>
    <xf numFmtId="0" fontId="43" fillId="2" borderId="80"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3" fillId="2" borderId="85" xfId="0" applyFont="1" applyFill="1" applyBorder="1" applyAlignment="1">
      <alignment horizontal="center" vertical="center" wrapText="1"/>
    </xf>
    <xf numFmtId="4" fontId="43" fillId="2" borderId="26" xfId="0" applyNumberFormat="1" applyFont="1" applyFill="1" applyBorder="1" applyAlignment="1">
      <alignment horizontal="center" vertical="center"/>
    </xf>
    <xf numFmtId="0" fontId="84" fillId="7" borderId="29" xfId="0" applyFont="1" applyFill="1" applyBorder="1" applyAlignment="1">
      <alignment horizontal="left" vertical="center"/>
    </xf>
    <xf numFmtId="4" fontId="43" fillId="2" borderId="70" xfId="0" applyNumberFormat="1" applyFont="1" applyFill="1" applyBorder="1" applyAlignment="1">
      <alignment horizontal="center" vertical="center"/>
    </xf>
    <xf numFmtId="0" fontId="84" fillId="7" borderId="71" xfId="0" applyFont="1" applyFill="1" applyBorder="1" applyAlignment="1">
      <alignment horizontal="center" vertical="center" wrapText="1"/>
    </xf>
    <xf numFmtId="0" fontId="84" fillId="7" borderId="66" xfId="0" applyFont="1" applyFill="1" applyBorder="1" applyAlignment="1">
      <alignment horizontal="center" vertical="center" wrapText="1"/>
    </xf>
    <xf numFmtId="0" fontId="84" fillId="0" borderId="29"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50" xfId="0" applyFont="1" applyBorder="1" applyAlignment="1">
      <alignment horizontal="center" vertical="center" wrapText="1"/>
    </xf>
    <xf numFmtId="0" fontId="32" fillId="3" borderId="51" xfId="0" applyFont="1" applyFill="1" applyBorder="1" applyAlignment="1">
      <alignment vertical="center"/>
    </xf>
    <xf numFmtId="0" fontId="32" fillId="0" borderId="71" xfId="0" applyFont="1" applyBorder="1" applyAlignment="1">
      <alignment vertical="center"/>
    </xf>
    <xf numFmtId="0" fontId="35" fillId="3" borderId="72" xfId="0" applyFont="1" applyFill="1" applyBorder="1" applyAlignment="1">
      <alignment horizontal="left" vertical="center"/>
    </xf>
    <xf numFmtId="0" fontId="35" fillId="2" borderId="87" xfId="0" applyFont="1" applyFill="1" applyBorder="1" applyAlignment="1">
      <alignment horizontal="left" vertical="center"/>
    </xf>
    <xf numFmtId="0" fontId="35" fillId="3" borderId="89" xfId="0" applyFont="1" applyFill="1" applyBorder="1" applyAlignment="1">
      <alignment vertical="center"/>
    </xf>
    <xf numFmtId="0" fontId="51" fillId="3" borderId="2" xfId="0" applyFont="1" applyFill="1" applyBorder="1" applyAlignment="1">
      <alignment vertical="center"/>
    </xf>
    <xf numFmtId="0" fontId="35" fillId="0" borderId="71" xfId="0" applyFont="1" applyBorder="1" applyAlignment="1">
      <alignment horizontal="center" vertical="center"/>
    </xf>
    <xf numFmtId="0" fontId="35" fillId="0" borderId="66" xfId="0" applyFont="1" applyBorder="1" applyAlignment="1">
      <alignment horizontal="center" vertical="center"/>
    </xf>
    <xf numFmtId="4" fontId="47" fillId="0" borderId="88" xfId="0" applyNumberFormat="1" applyFont="1" applyBorder="1" applyAlignment="1">
      <alignment horizontal="center" vertical="center"/>
    </xf>
    <xf numFmtId="4" fontId="47" fillId="0" borderId="116" xfId="0" applyNumberFormat="1" applyFont="1" applyBorder="1" applyAlignment="1">
      <alignment horizontal="center" vertical="center"/>
    </xf>
    <xf numFmtId="0" fontId="32" fillId="0" borderId="72" xfId="0" applyFont="1" applyBorder="1" applyAlignment="1">
      <alignment horizontal="left" vertical="center"/>
    </xf>
    <xf numFmtId="0" fontId="32" fillId="0" borderId="72" xfId="0" applyFont="1" applyBorder="1" applyAlignment="1">
      <alignment horizontal="left" vertical="center" wrapText="1"/>
    </xf>
    <xf numFmtId="0" fontId="32" fillId="0" borderId="71" xfId="0" applyFont="1" applyBorder="1" applyAlignment="1">
      <alignment horizontal="left" vertical="center"/>
    </xf>
    <xf numFmtId="0" fontId="35" fillId="0" borderId="72" xfId="0" applyFont="1" applyBorder="1" applyAlignment="1">
      <alignment horizontal="center" vertical="center"/>
    </xf>
    <xf numFmtId="0" fontId="35" fillId="0" borderId="73" xfId="0" applyFont="1" applyBorder="1" applyAlignment="1">
      <alignment horizontal="center" vertical="center"/>
    </xf>
    <xf numFmtId="0" fontId="35" fillId="0" borderId="101" xfId="0" applyFont="1" applyBorder="1" applyAlignment="1">
      <alignment horizontal="center" vertical="center"/>
    </xf>
    <xf numFmtId="0" fontId="47" fillId="0" borderId="77" xfId="0" applyFont="1" applyBorder="1" applyAlignment="1">
      <alignment horizontal="center" vertical="center"/>
    </xf>
    <xf numFmtId="4" fontId="47" fillId="0" borderId="91" xfId="0" applyNumberFormat="1" applyFont="1" applyBorder="1" applyAlignment="1">
      <alignment horizontal="center" vertical="center"/>
    </xf>
    <xf numFmtId="0" fontId="32" fillId="0" borderId="85" xfId="0" applyFont="1" applyBorder="1" applyAlignment="1">
      <alignment horizontal="center" vertical="center"/>
    </xf>
    <xf numFmtId="0" fontId="32" fillId="0" borderId="66" xfId="0" applyFont="1" applyBorder="1" applyAlignment="1" applyProtection="1">
      <alignment horizontal="left" vertical="center" wrapText="1"/>
      <protection locked="0"/>
    </xf>
    <xf numFmtId="0" fontId="35" fillId="3" borderId="67" xfId="0" applyFont="1" applyFill="1" applyBorder="1" applyAlignment="1">
      <alignment horizontal="left" vertical="center"/>
    </xf>
    <xf numFmtId="0" fontId="32" fillId="0" borderId="66" xfId="0" applyFont="1" applyBorder="1" applyAlignment="1">
      <alignment horizontal="left" vertical="center"/>
    </xf>
    <xf numFmtId="0" fontId="32" fillId="0" borderId="67" xfId="0" applyFont="1" applyBorder="1" applyAlignment="1" applyProtection="1">
      <alignment horizontal="center" vertical="center" wrapText="1"/>
      <protection locked="0"/>
    </xf>
    <xf numFmtId="0" fontId="32" fillId="0" borderId="69" xfId="0" applyFont="1" applyBorder="1" applyAlignment="1" applyProtection="1">
      <alignment horizontal="center" vertical="center" wrapText="1"/>
      <protection locked="0"/>
    </xf>
    <xf numFmtId="0" fontId="49" fillId="3" borderId="94" xfId="0" applyFont="1" applyFill="1" applyBorder="1" applyAlignment="1">
      <alignment horizontal="center" vertical="center" wrapText="1"/>
    </xf>
    <xf numFmtId="0" fontId="49" fillId="3" borderId="95"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10" borderId="36" xfId="0" applyFont="1" applyFill="1" applyBorder="1" applyAlignment="1">
      <alignment horizontal="center" vertical="center" wrapText="1"/>
    </xf>
    <xf numFmtId="0" fontId="50" fillId="11" borderId="36" xfId="0" applyFont="1" applyFill="1" applyBorder="1" applyAlignment="1">
      <alignment horizontal="center" vertical="center" wrapText="1"/>
    </xf>
    <xf numFmtId="0" fontId="35" fillId="2" borderId="83" xfId="0" applyFont="1" applyFill="1" applyBorder="1" applyAlignment="1">
      <alignment horizontal="left" vertical="center" wrapText="1"/>
    </xf>
    <xf numFmtId="0" fontId="49" fillId="3" borderId="74" xfId="0" applyFont="1" applyFill="1" applyBorder="1" applyAlignment="1">
      <alignment horizontal="left" vertical="center" wrapText="1"/>
    </xf>
    <xf numFmtId="0" fontId="49" fillId="3" borderId="75" xfId="0" applyFont="1" applyFill="1" applyBorder="1" applyAlignment="1">
      <alignment horizontal="left" vertical="center" wrapText="1"/>
    </xf>
    <xf numFmtId="0" fontId="49" fillId="3" borderId="76" xfId="0" applyFont="1" applyFill="1" applyBorder="1" applyAlignment="1">
      <alignment horizontal="left" vertical="center" wrapText="1"/>
    </xf>
    <xf numFmtId="0" fontId="35" fillId="0" borderId="56" xfId="0" applyFont="1" applyBorder="1" applyAlignment="1">
      <alignment horizontal="left" vertical="center"/>
    </xf>
    <xf numFmtId="0" fontId="35" fillId="0" borderId="57" xfId="0" applyFont="1" applyBorder="1" applyAlignment="1">
      <alignment horizontal="left" vertical="center"/>
    </xf>
    <xf numFmtId="0" fontId="35" fillId="0" borderId="92" xfId="0" applyFont="1" applyBorder="1" applyAlignment="1">
      <alignment horizontal="left" vertical="center"/>
    </xf>
    <xf numFmtId="0" fontId="35" fillId="2" borderId="129"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2" fillId="3" borderId="42" xfId="0" applyFont="1" applyFill="1" applyBorder="1" applyAlignment="1">
      <alignment vertical="center"/>
    </xf>
    <xf numFmtId="0" fontId="35" fillId="3" borderId="71" xfId="0" applyFont="1" applyFill="1" applyBorder="1" applyAlignment="1">
      <alignment horizontal="left" vertical="center"/>
    </xf>
    <xf numFmtId="0" fontId="51" fillId="3" borderId="35" xfId="0" applyFont="1" applyFill="1" applyBorder="1" applyAlignment="1">
      <alignment vertical="center"/>
    </xf>
    <xf numFmtId="0" fontId="35" fillId="3" borderId="66" xfId="0" applyFont="1" applyFill="1" applyBorder="1" applyAlignment="1">
      <alignment horizontal="left" vertical="center"/>
    </xf>
    <xf numFmtId="0" fontId="32" fillId="3" borderId="29" xfId="0" applyFont="1" applyFill="1" applyBorder="1" applyAlignment="1">
      <alignment vertical="center"/>
    </xf>
    <xf numFmtId="0" fontId="51" fillId="3" borderId="51" xfId="0" applyFont="1" applyFill="1" applyBorder="1" applyAlignment="1">
      <alignment vertical="center"/>
    </xf>
    <xf numFmtId="0" fontId="35" fillId="0" borderId="67" xfId="0" applyFont="1" applyBorder="1" applyAlignment="1">
      <alignment horizontal="center" vertical="center"/>
    </xf>
    <xf numFmtId="4" fontId="47" fillId="0" borderId="22" xfId="0" applyNumberFormat="1" applyFont="1" applyBorder="1" applyAlignment="1">
      <alignment horizontal="center" vertical="center"/>
    </xf>
    <xf numFmtId="4" fontId="47" fillId="0" borderId="125" xfId="0" applyNumberFormat="1" applyFont="1" applyBorder="1" applyAlignment="1">
      <alignment horizontal="center" vertical="center"/>
    </xf>
    <xf numFmtId="0" fontId="47" fillId="0" borderId="67" xfId="0" applyFont="1" applyBorder="1" applyAlignment="1">
      <alignment horizontal="center" vertical="center"/>
    </xf>
    <xf numFmtId="0" fontId="2" fillId="3" borderId="29" xfId="0" applyFont="1" applyFill="1" applyBorder="1" applyAlignment="1">
      <alignment vertical="center"/>
    </xf>
    <xf numFmtId="0" fontId="2" fillId="0" borderId="71" xfId="0" applyFont="1" applyBorder="1" applyAlignment="1">
      <alignment vertical="center"/>
    </xf>
    <xf numFmtId="0" fontId="28" fillId="3" borderId="72" xfId="0" applyFont="1" applyFill="1" applyBorder="1" applyAlignment="1">
      <alignment horizontal="left" vertical="center"/>
    </xf>
    <xf numFmtId="0" fontId="28" fillId="2" borderId="87" xfId="0" applyFont="1" applyFill="1" applyBorder="1" applyAlignment="1">
      <alignment horizontal="left" vertical="center"/>
    </xf>
    <xf numFmtId="0" fontId="28" fillId="3" borderId="89" xfId="0" applyFont="1" applyFill="1" applyBorder="1" applyAlignment="1">
      <alignment vertical="center"/>
    </xf>
    <xf numFmtId="0" fontId="31" fillId="3" borderId="51" xfId="0" applyFont="1" applyFill="1" applyBorder="1" applyAlignment="1">
      <alignment vertical="center"/>
    </xf>
    <xf numFmtId="0" fontId="28" fillId="0" borderId="71" xfId="0" applyFont="1" applyBorder="1" applyAlignment="1">
      <alignment horizontal="center" vertical="center"/>
    </xf>
    <xf numFmtId="0" fontId="30" fillId="0" borderId="67" xfId="0" applyFont="1" applyBorder="1" applyAlignment="1">
      <alignment horizontal="center" vertical="center"/>
    </xf>
    <xf numFmtId="4" fontId="30" fillId="0" borderId="88" xfId="0" applyNumberFormat="1" applyFont="1" applyBorder="1" applyAlignment="1">
      <alignment horizontal="center" vertical="center"/>
    </xf>
    <xf numFmtId="4" fontId="30" fillId="0" borderId="116" xfId="0" applyNumberFormat="1" applyFont="1" applyBorder="1" applyAlignment="1">
      <alignment horizontal="center" vertical="center"/>
    </xf>
    <xf numFmtId="0" fontId="2" fillId="0" borderId="72" xfId="0" applyFont="1" applyBorder="1" applyAlignment="1">
      <alignment horizontal="left" vertical="center"/>
    </xf>
    <xf numFmtId="0" fontId="2" fillId="0" borderId="72" xfId="0" applyFont="1" applyBorder="1" applyAlignment="1">
      <alignment horizontal="left" vertical="center" wrapText="1"/>
    </xf>
    <xf numFmtId="0" fontId="2" fillId="0" borderId="71" xfId="0" applyFont="1" applyBorder="1" applyAlignment="1">
      <alignment horizontal="left"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101" xfId="0" applyFont="1" applyBorder="1" applyAlignment="1">
      <alignment horizontal="center" vertical="center"/>
    </xf>
    <xf numFmtId="0" fontId="30" fillId="0" borderId="77" xfId="0" applyFont="1" applyBorder="1" applyAlignment="1">
      <alignment horizontal="center" vertical="center"/>
    </xf>
    <xf numFmtId="4" fontId="30" fillId="0" borderId="22" xfId="0" applyNumberFormat="1" applyFont="1" applyBorder="1" applyAlignment="1">
      <alignment horizontal="center" vertical="center"/>
    </xf>
    <xf numFmtId="4" fontId="30" fillId="0" borderId="125" xfId="0" applyNumberFormat="1" applyFont="1" applyBorder="1" applyAlignment="1">
      <alignment horizontal="center" vertical="center"/>
    </xf>
    <xf numFmtId="0" fontId="2" fillId="0" borderId="85" xfId="0" applyFont="1" applyBorder="1" applyAlignment="1">
      <alignment horizontal="center" vertical="center"/>
    </xf>
    <xf numFmtId="0" fontId="2" fillId="0" borderId="66" xfId="0" applyFont="1" applyBorder="1" applyAlignment="1" applyProtection="1">
      <alignment horizontal="left" vertical="center" wrapText="1"/>
      <protection locked="0"/>
    </xf>
    <xf numFmtId="0" fontId="28" fillId="3" borderId="67" xfId="0" applyFont="1" applyFill="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pplyProtection="1">
      <alignment horizontal="center" vertical="center" wrapText="1"/>
      <protection locked="0"/>
    </xf>
    <xf numFmtId="0" fontId="2" fillId="0" borderId="69" xfId="0" applyFont="1" applyBorder="1" applyAlignment="1" applyProtection="1">
      <alignment horizontal="center" vertical="center" wrapText="1"/>
      <protection locked="0"/>
    </xf>
    <xf numFmtId="0" fontId="27" fillId="3" borderId="94" xfId="0" applyFont="1" applyFill="1" applyBorder="1" applyAlignment="1">
      <alignment horizontal="center" vertical="center" wrapText="1"/>
    </xf>
    <xf numFmtId="0" fontId="27" fillId="3" borderId="95"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10" borderId="36" xfId="0" applyFont="1" applyFill="1" applyBorder="1" applyAlignment="1">
      <alignment horizontal="center" vertical="center" wrapText="1"/>
    </xf>
    <xf numFmtId="0" fontId="29" fillId="11" borderId="36" xfId="0" applyFont="1" applyFill="1" applyBorder="1" applyAlignment="1">
      <alignment horizontal="center" vertical="center" wrapText="1"/>
    </xf>
    <xf numFmtId="0" fontId="28" fillId="2" borderId="83" xfId="0" applyFont="1" applyFill="1" applyBorder="1" applyAlignment="1">
      <alignment horizontal="left" vertical="center" wrapText="1"/>
    </xf>
    <xf numFmtId="0" fontId="27" fillId="3" borderId="74" xfId="0" applyFont="1" applyFill="1" applyBorder="1" applyAlignment="1">
      <alignment horizontal="left" vertical="center" wrapText="1"/>
    </xf>
    <xf numFmtId="0" fontId="27" fillId="3" borderId="75" xfId="0" applyFont="1" applyFill="1" applyBorder="1" applyAlignment="1">
      <alignment horizontal="left" vertical="center" wrapText="1"/>
    </xf>
    <xf numFmtId="0" fontId="27" fillId="3" borderId="76" xfId="0" applyFont="1" applyFill="1" applyBorder="1" applyAlignment="1">
      <alignment horizontal="left" vertical="center" wrapText="1"/>
    </xf>
    <xf numFmtId="0" fontId="28" fillId="0" borderId="56" xfId="0" applyFont="1" applyBorder="1" applyAlignment="1">
      <alignment horizontal="left" vertical="center"/>
    </xf>
    <xf numFmtId="0" fontId="28" fillId="0" borderId="57" xfId="0" applyFont="1" applyBorder="1" applyAlignment="1">
      <alignment horizontal="left" vertical="center"/>
    </xf>
    <xf numFmtId="0" fontId="28" fillId="0" borderId="92" xfId="0" applyFont="1" applyBorder="1" applyAlignment="1">
      <alignment horizontal="left" vertical="center"/>
    </xf>
    <xf numFmtId="0" fontId="15" fillId="2" borderId="129"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52" fillId="2" borderId="121" xfId="74" applyFont="1" applyFill="1" applyBorder="1" applyAlignment="1">
      <alignment horizontal="center" vertical="center"/>
    </xf>
    <xf numFmtId="0" fontId="52" fillId="2" borderId="122" xfId="74" applyFont="1" applyFill="1" applyBorder="1" applyAlignment="1">
      <alignment horizontal="center" vertical="center"/>
    </xf>
    <xf numFmtId="0" fontId="52" fillId="2" borderId="123" xfId="74" applyFont="1" applyFill="1" applyBorder="1" applyAlignment="1">
      <alignment horizontal="center" vertical="center"/>
    </xf>
    <xf numFmtId="0" fontId="52" fillId="3" borderId="77" xfId="74" applyFont="1" applyFill="1" applyBorder="1" applyAlignment="1" applyProtection="1">
      <alignment horizontal="center" vertical="center"/>
      <protection locked="0"/>
    </xf>
    <xf numFmtId="0" fontId="52" fillId="3" borderId="82" xfId="74" applyFont="1" applyFill="1" applyBorder="1" applyAlignment="1" applyProtection="1">
      <alignment horizontal="center" vertical="center"/>
      <protection locked="0"/>
    </xf>
    <xf numFmtId="0" fontId="52" fillId="0" borderId="71" xfId="74" applyFont="1" applyBorder="1" applyAlignment="1">
      <alignment horizontal="left" vertical="center"/>
    </xf>
    <xf numFmtId="0" fontId="52" fillId="0" borderId="66" xfId="74" applyFont="1" applyBorder="1" applyAlignment="1">
      <alignment horizontal="left" vertical="center"/>
    </xf>
    <xf numFmtId="0" fontId="42" fillId="0" borderId="3" xfId="74" applyFont="1" applyBorder="1" applyAlignment="1">
      <alignment horizontal="left" vertical="center"/>
    </xf>
    <xf numFmtId="0" fontId="42" fillId="0" borderId="4" xfId="74" applyFont="1" applyBorder="1" applyAlignment="1">
      <alignment horizontal="left" vertical="center"/>
    </xf>
    <xf numFmtId="0" fontId="42" fillId="0" borderId="0" xfId="74" applyFont="1" applyAlignment="1">
      <alignment horizontal="left" vertical="center"/>
    </xf>
    <xf numFmtId="0" fontId="42" fillId="0" borderId="6" xfId="74" applyFont="1" applyBorder="1" applyAlignment="1">
      <alignment horizontal="left" vertical="center"/>
    </xf>
    <xf numFmtId="0" fontId="35" fillId="0" borderId="66" xfId="74" applyFont="1" applyBorder="1" applyAlignment="1" applyProtection="1">
      <alignment horizontal="left" vertical="center" wrapText="1"/>
      <protection locked="0"/>
    </xf>
    <xf numFmtId="0" fontId="32" fillId="0" borderId="66" xfId="74" applyFont="1" applyBorder="1" applyAlignment="1" applyProtection="1">
      <alignment horizontal="left" vertical="center" wrapText="1"/>
      <protection locked="0"/>
    </xf>
    <xf numFmtId="0" fontId="52" fillId="3" borderId="121" xfId="74" applyFont="1" applyFill="1" applyBorder="1" applyAlignment="1">
      <alignment horizontal="center" vertical="center"/>
    </xf>
    <xf numFmtId="0" fontId="52" fillId="3" borderId="122" xfId="74" applyFont="1" applyFill="1" applyBorder="1" applyAlignment="1">
      <alignment horizontal="center" vertical="center"/>
    </xf>
    <xf numFmtId="0" fontId="52" fillId="3" borderId="123" xfId="74" applyFont="1" applyFill="1" applyBorder="1" applyAlignment="1">
      <alignment horizontal="center" vertical="center"/>
    </xf>
    <xf numFmtId="0" fontId="32" fillId="0" borderId="66" xfId="74" applyFont="1" applyBorder="1" applyAlignment="1" applyProtection="1">
      <alignment horizontal="left" vertical="center"/>
      <protection locked="0"/>
    </xf>
    <xf numFmtId="0" fontId="52" fillId="0" borderId="71" xfId="74" applyFont="1" applyBorder="1" applyAlignment="1" applyProtection="1">
      <alignment horizontal="left" vertical="center"/>
      <protection locked="0"/>
    </xf>
    <xf numFmtId="0" fontId="52" fillId="0" borderId="66" xfId="74" applyFont="1" applyBorder="1" applyAlignment="1" applyProtection="1">
      <alignment horizontal="left" vertical="center"/>
      <protection locked="0"/>
    </xf>
    <xf numFmtId="0" fontId="52" fillId="3" borderId="66" xfId="74" applyFont="1" applyFill="1" applyBorder="1" applyAlignment="1" applyProtection="1">
      <alignment horizontal="left" vertical="center" wrapText="1"/>
      <protection locked="0"/>
    </xf>
    <xf numFmtId="0" fontId="52" fillId="3" borderId="66" xfId="74" applyFont="1" applyFill="1" applyBorder="1" applyAlignment="1" applyProtection="1">
      <alignment horizontal="center" vertical="center"/>
      <protection locked="0"/>
    </xf>
    <xf numFmtId="0" fontId="52" fillId="3" borderId="73" xfId="74" applyFont="1" applyFill="1" applyBorder="1" applyAlignment="1" applyProtection="1">
      <alignment horizontal="center" vertical="center"/>
      <protection locked="0"/>
    </xf>
    <xf numFmtId="0" fontId="32" fillId="0" borderId="77" xfId="74" applyFont="1" applyBorder="1" applyAlignment="1">
      <alignment horizontal="left" vertical="center"/>
    </xf>
    <xf numFmtId="0" fontId="32" fillId="0" borderId="66" xfId="74" applyFont="1" applyBorder="1" applyAlignment="1">
      <alignment horizontal="left" vertical="center"/>
    </xf>
    <xf numFmtId="0" fontId="52" fillId="0" borderId="71" xfId="74" applyFont="1" applyBorder="1" applyAlignment="1">
      <alignment horizontal="left" vertical="center" wrapText="1"/>
    </xf>
    <xf numFmtId="0" fontId="52" fillId="0" borderId="66" xfId="74" applyFont="1" applyBorder="1" applyAlignment="1">
      <alignment horizontal="left" vertical="center" wrapText="1"/>
    </xf>
    <xf numFmtId="0" fontId="49" fillId="3" borderId="41" xfId="74" applyFont="1" applyFill="1" applyBorder="1" applyAlignment="1">
      <alignment horizontal="center" vertical="center" wrapText="1"/>
    </xf>
    <xf numFmtId="0" fontId="49" fillId="3" borderId="24" xfId="74" applyFont="1" applyFill="1" applyBorder="1" applyAlignment="1">
      <alignment horizontal="center" vertical="center" wrapText="1"/>
    </xf>
    <xf numFmtId="0" fontId="49" fillId="3" borderId="120" xfId="74" applyFont="1" applyFill="1" applyBorder="1" applyAlignment="1">
      <alignment horizontal="center" vertical="center" wrapText="1"/>
    </xf>
    <xf numFmtId="0" fontId="47" fillId="2" borderId="121" xfId="74" applyFont="1" applyFill="1" applyBorder="1" applyAlignment="1">
      <alignment horizontal="center" vertical="center"/>
    </xf>
    <xf numFmtId="0" fontId="47" fillId="2" borderId="122" xfId="74" applyFont="1" applyFill="1" applyBorder="1" applyAlignment="1">
      <alignment horizontal="center" vertical="center"/>
    </xf>
    <xf numFmtId="0" fontId="47" fillId="2" borderId="123" xfId="74" applyFont="1" applyFill="1" applyBorder="1" applyAlignment="1">
      <alignment horizontal="center" vertical="center"/>
    </xf>
    <xf numFmtId="10" fontId="52" fillId="2" borderId="125" xfId="74" applyNumberFormat="1" applyFont="1" applyFill="1" applyBorder="1" applyAlignment="1">
      <alignment horizontal="center" vertical="center"/>
    </xf>
    <xf numFmtId="10" fontId="52" fillId="2" borderId="87" xfId="74" applyNumberFormat="1" applyFont="1" applyFill="1" applyBorder="1" applyAlignment="1">
      <alignment horizontal="center" vertical="center"/>
    </xf>
    <xf numFmtId="0" fontId="52" fillId="2" borderId="126" xfId="74" applyFont="1" applyFill="1" applyBorder="1" applyAlignment="1">
      <alignment horizontal="left" vertical="center" wrapText="1"/>
    </xf>
    <xf numFmtId="0" fontId="52" fillId="2" borderId="127" xfId="74" applyFont="1" applyFill="1" applyBorder="1" applyAlignment="1">
      <alignment horizontal="left" vertical="center" wrapText="1"/>
    </xf>
    <xf numFmtId="0" fontId="52" fillId="2" borderId="128" xfId="74" applyFont="1" applyFill="1" applyBorder="1" applyAlignment="1">
      <alignment horizontal="left" vertical="center" wrapText="1"/>
    </xf>
    <xf numFmtId="0" fontId="93" fillId="2" borderId="126" xfId="0" applyFont="1" applyFill="1" applyBorder="1" applyAlignment="1" applyProtection="1">
      <alignment horizontal="center" vertical="center"/>
      <protection locked="0"/>
    </xf>
    <xf numFmtId="0" fontId="93" fillId="2" borderId="127" xfId="0" applyFont="1" applyFill="1" applyBorder="1" applyAlignment="1" applyProtection="1">
      <alignment horizontal="center" vertical="center"/>
      <protection locked="0"/>
    </xf>
    <xf numFmtId="0" fontId="93" fillId="2" borderId="128" xfId="0" applyFont="1" applyFill="1" applyBorder="1" applyAlignment="1" applyProtection="1">
      <alignment horizontal="center" vertical="center"/>
      <protection locked="0"/>
    </xf>
    <xf numFmtId="0" fontId="50" fillId="7" borderId="122" xfId="74" applyFont="1" applyFill="1" applyBorder="1" applyAlignment="1">
      <alignment horizontal="left" vertical="center"/>
    </xf>
    <xf numFmtId="0" fontId="73" fillId="26" borderId="114" xfId="75" applyFont="1" applyFill="1" applyBorder="1" applyAlignment="1">
      <alignment horizontal="center" vertical="center" wrapText="1"/>
    </xf>
    <xf numFmtId="0" fontId="73" fillId="26" borderId="102" xfId="75" applyFont="1" applyFill="1" applyBorder="1" applyAlignment="1">
      <alignment horizontal="center" vertical="center" wrapText="1"/>
    </xf>
    <xf numFmtId="0" fontId="60" fillId="26" borderId="114" xfId="75" applyFont="1" applyFill="1" applyBorder="1" applyAlignment="1">
      <alignment horizontal="center" vertical="center"/>
    </xf>
    <xf numFmtId="0" fontId="60" fillId="26" borderId="105" xfId="75" applyFont="1" applyFill="1" applyBorder="1" applyAlignment="1">
      <alignment horizontal="center" vertical="center"/>
    </xf>
    <xf numFmtId="0" fontId="60" fillId="26" borderId="102" xfId="75" applyFont="1" applyFill="1" applyBorder="1" applyAlignment="1">
      <alignment horizontal="center" vertical="center"/>
    </xf>
    <xf numFmtId="0" fontId="72" fillId="26" borderId="114" xfId="75" applyFont="1" applyFill="1" applyBorder="1" applyAlignment="1">
      <alignment horizontal="center" vertical="center" wrapText="1"/>
    </xf>
    <xf numFmtId="0" fontId="72" fillId="26" borderId="105" xfId="75" applyFont="1" applyFill="1" applyBorder="1" applyAlignment="1">
      <alignment horizontal="center" vertical="center" wrapText="1"/>
    </xf>
    <xf numFmtId="0" fontId="72" fillId="26" borderId="102" xfId="75" applyFont="1" applyFill="1" applyBorder="1" applyAlignment="1">
      <alignment horizontal="center" vertical="center" wrapText="1"/>
    </xf>
    <xf numFmtId="0" fontId="61" fillId="0" borderId="105" xfId="75" applyFont="1" applyBorder="1" applyAlignment="1">
      <alignment horizontal="left" vertical="center"/>
    </xf>
    <xf numFmtId="0" fontId="61" fillId="0" borderId="102" xfId="75" applyFont="1" applyBorder="1" applyAlignment="1">
      <alignment horizontal="left" vertical="center"/>
    </xf>
  </cellXfs>
  <cellStyles count="85">
    <cellStyle name="Excel Built-in Explanatory Text" xfId="73"/>
    <cellStyle name="Excel Built-in Explanatory Text 1" xfId="80"/>
    <cellStyle name="Excel Built-in Explanatory Text 2" xfId="81"/>
    <cellStyle name="Moeda" xfId="2" builtinId="4"/>
    <cellStyle name="Moeda 2" xfId="4"/>
    <cellStyle name="Moeda 2 2" xfId="5"/>
    <cellStyle name="Moeda 2 3" xfId="6"/>
    <cellStyle name="Moeda 3" xfId="7"/>
    <cellStyle name="Moeda 4" xfId="8"/>
    <cellStyle name="Moeda 4 2" xfId="9"/>
    <cellStyle name="Moeda 4 3" xfId="10"/>
    <cellStyle name="Moeda 5" xfId="11"/>
    <cellStyle name="Moeda 6" xfId="12"/>
    <cellStyle name="Moeda 7" xfId="13"/>
    <cellStyle name="Moeda 8" xfId="77"/>
    <cellStyle name="Normal" xfId="0" builtinId="0"/>
    <cellStyle name="Normal 12" xfId="75"/>
    <cellStyle name="Normal 2" xfId="14"/>
    <cellStyle name="Normal 2 2" xfId="15"/>
    <cellStyle name="Normal 2 2 2" xfId="16"/>
    <cellStyle name="Normal 2 3" xfId="17"/>
    <cellStyle name="Normal 2 3 2" xfId="18"/>
    <cellStyle name="Normal 2 3 2 2" xfId="19"/>
    <cellStyle name="Normal 2 3 3" xfId="20"/>
    <cellStyle name="Normal 2 3 3 2" xfId="21"/>
    <cellStyle name="Normal 2 3 4" xfId="22"/>
    <cellStyle name="Normal 3" xfId="23"/>
    <cellStyle name="Normal 3 2" xfId="24"/>
    <cellStyle name="Normal 3 3" xfId="25"/>
    <cellStyle name="Normal 4" xfId="26"/>
    <cellStyle name="Normal 4 2" xfId="27"/>
    <cellStyle name="Normal 5" xfId="28"/>
    <cellStyle name="Normal 5 2" xfId="29"/>
    <cellStyle name="Normal 6" xfId="30"/>
    <cellStyle name="Normal 6 2" xfId="31"/>
    <cellStyle name="Normal 7" xfId="32"/>
    <cellStyle name="Normal 7 2" xfId="79"/>
    <cellStyle name="Normal 8" xfId="74"/>
    <cellStyle name="Normal 9" xfId="82"/>
    <cellStyle name="Normal_Plan1" xfId="78"/>
    <cellStyle name="Porcentagem" xfId="3" builtinId="5"/>
    <cellStyle name="Porcentagem 12" xfId="84"/>
    <cellStyle name="Porcentagem 2" xfId="33"/>
    <cellStyle name="Porcentagem 2 2" xfId="34"/>
    <cellStyle name="Porcentagem 3" xfId="35"/>
    <cellStyle name="Porcentagem 4" xfId="36"/>
    <cellStyle name="Porcentagem 4 2" xfId="37"/>
    <cellStyle name="Porcentagem 4 3" xfId="38"/>
    <cellStyle name="Porcentagem 4 4" xfId="39"/>
    <cellStyle name="Porcentagem 5" xfId="40"/>
    <cellStyle name="Porcentagem 6" xfId="41"/>
    <cellStyle name="Porcentagem 7" xfId="42"/>
    <cellStyle name="Porcentagem 8" xfId="43"/>
    <cellStyle name="Porcentagem 9" xfId="44"/>
    <cellStyle name="Separador de milhares 2" xfId="45"/>
    <cellStyle name="Separador de milhares 2 2" xfId="46"/>
    <cellStyle name="Separador de milhares 2 2 2" xfId="47"/>
    <cellStyle name="Separador de milhares 2 3" xfId="48"/>
    <cellStyle name="Separador de milhares 2 4" xfId="49"/>
    <cellStyle name="Separador de milhares 3" xfId="50"/>
    <cellStyle name="Separador de milhares 3 2" xfId="51"/>
    <cellStyle name="Separador de milhares 3 3" xfId="52"/>
    <cellStyle name="Separador de milhares 4" xfId="53"/>
    <cellStyle name="Separador de milhares 4 2" xfId="54"/>
    <cellStyle name="Separador de milhares 4 3" xfId="55"/>
    <cellStyle name="Separador de milhares 4 4" xfId="56"/>
    <cellStyle name="Separador de milhares 5" xfId="57"/>
    <cellStyle name="Separador de milhares 5 2" xfId="58"/>
    <cellStyle name="Separador de milhares 6" xfId="59"/>
    <cellStyle name="Separador de milhares 7" xfId="60"/>
    <cellStyle name="Separador de milhares 8" xfId="61"/>
    <cellStyle name="Separador de milhares 9" xfId="62"/>
    <cellStyle name="Separador de milhares 9 2" xfId="63"/>
    <cellStyle name="Texto Explicativo 2" xfId="64"/>
    <cellStyle name="Texto Explicativo 2 2" xfId="65"/>
    <cellStyle name="Texto Explicativo 4" xfId="76"/>
    <cellStyle name="Título 1 1" xfId="66"/>
    <cellStyle name="Título 1 1 2" xfId="67"/>
    <cellStyle name="Vírgula" xfId="1" builtinId="3"/>
    <cellStyle name="Vírgula 2" xfId="68"/>
    <cellStyle name="Vírgula 2 2" xfId="69"/>
    <cellStyle name="Vírgula 2 3" xfId="70"/>
    <cellStyle name="Vírgula 2 4" xfId="83"/>
    <cellStyle name="Vírgula 3" xfId="71"/>
    <cellStyle name="Vírgula 4" xfId="7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2F2F2"/>
      <rgbColor rgb="FFEEEEEE"/>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DDD"/>
      <rgbColor rgb="FFFFFF99"/>
      <rgbColor rgb="FF95B3D7"/>
      <rgbColor rgb="FFFF99CC"/>
      <rgbColor rgb="FFCC99FF"/>
      <rgbColor rgb="FFFFCC99"/>
      <rgbColor rgb="FF3366FF"/>
      <rgbColor rgb="FF33CCCC"/>
      <rgbColor rgb="FF99CC00"/>
      <rgbColor rgb="FFFFCC00"/>
      <rgbColor rgb="FFFF9900"/>
      <rgbColor rgb="FFE46C0A"/>
      <rgbColor rgb="FF558ED5"/>
      <rgbColor rgb="FF969696"/>
      <rgbColor rgb="FF10243E"/>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99"/>
      <color rgb="FFCC0000"/>
      <color rgb="FFA9F9F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9525</xdr:rowOff>
    </xdr:from>
    <xdr:to>
      <xdr:col>0</xdr:col>
      <xdr:colOff>400050</xdr:colOff>
      <xdr:row>3</xdr:row>
      <xdr:rowOff>0</xdr:rowOff>
    </xdr:to>
    <xdr:pic>
      <xdr:nvPicPr>
        <xdr:cNvPr id="2" name="Picture 1">
          <a:extLst>
            <a:ext uri="{FF2B5EF4-FFF2-40B4-BE49-F238E27FC236}">
              <a16:creationId xmlns:a16="http://schemas.microsoft.com/office/drawing/2014/main" xmlns="" id="{6A850110-A5D9-4E80-9159-59ED52D89F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525"/>
          <a:ext cx="3714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8" name="Picture 1">
          <a:extLst>
            <a:ext uri="{FF2B5EF4-FFF2-40B4-BE49-F238E27FC236}">
              <a16:creationId xmlns:a16="http://schemas.microsoft.com/office/drawing/2014/main" xmlns="" id="{00000000-0008-0000-0800-000008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9" name="Picture 1">
          <a:extLst>
            <a:ext uri="{FF2B5EF4-FFF2-40B4-BE49-F238E27FC236}">
              <a16:creationId xmlns:a16="http://schemas.microsoft.com/office/drawing/2014/main" xmlns="" id="{00000000-0008-0000-0900-000009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572239</xdr:colOff>
      <xdr:row>2</xdr:row>
      <xdr:rowOff>136230</xdr:rowOff>
    </xdr:to>
    <xdr:pic>
      <xdr:nvPicPr>
        <xdr:cNvPr id="10" name="Picture 1">
          <a:extLst>
            <a:ext uri="{FF2B5EF4-FFF2-40B4-BE49-F238E27FC236}">
              <a16:creationId xmlns:a16="http://schemas.microsoft.com/office/drawing/2014/main" xmlns="" id="{00000000-0008-0000-0A00-00000A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572239</xdr:colOff>
      <xdr:row>2</xdr:row>
      <xdr:rowOff>136230</xdr:rowOff>
    </xdr:to>
    <xdr:pic>
      <xdr:nvPicPr>
        <xdr:cNvPr id="11" name="Picture 1">
          <a:extLst>
            <a:ext uri="{FF2B5EF4-FFF2-40B4-BE49-F238E27FC236}">
              <a16:creationId xmlns:a16="http://schemas.microsoft.com/office/drawing/2014/main" xmlns="" id="{00000000-0008-0000-0B00-00000B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13" name="Picture 1">
          <a:extLst>
            <a:ext uri="{FF2B5EF4-FFF2-40B4-BE49-F238E27FC236}">
              <a16:creationId xmlns:a16="http://schemas.microsoft.com/office/drawing/2014/main" xmlns="" id="{00000000-0008-0000-0D00-00000D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571219</xdr:colOff>
      <xdr:row>2</xdr:row>
      <xdr:rowOff>136230</xdr:rowOff>
    </xdr:to>
    <xdr:pic>
      <xdr:nvPicPr>
        <xdr:cNvPr id="12" name="Picture 1">
          <a:extLst>
            <a:ext uri="{FF2B5EF4-FFF2-40B4-BE49-F238E27FC236}">
              <a16:creationId xmlns:a16="http://schemas.microsoft.com/office/drawing/2014/main" xmlns="" id="{00000000-0008-0000-0C00-00000C000000}"/>
            </a:ext>
          </a:extLst>
        </xdr:cNvPr>
        <xdr:cNvPicPr/>
      </xdr:nvPicPr>
      <xdr:blipFill>
        <a:blip xmlns:r="http://schemas.openxmlformats.org/officeDocument/2006/relationships" r:embed="rId1"/>
        <a:stretch/>
      </xdr:blipFill>
      <xdr:spPr>
        <a:xfrm>
          <a:off x="146880" y="47520"/>
          <a:ext cx="478440" cy="416160"/>
        </a:xfrm>
        <a:prstGeom prst="rect">
          <a:avLst/>
        </a:prstGeom>
        <a:ln w="0">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14" name="Picture 1">
          <a:extLst>
            <a:ext uri="{FF2B5EF4-FFF2-40B4-BE49-F238E27FC236}">
              <a16:creationId xmlns:a16="http://schemas.microsoft.com/office/drawing/2014/main" xmlns="" id="{00000000-0008-0000-0E00-00000E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0</xdr:col>
      <xdr:colOff>400050</xdr:colOff>
      <xdr:row>2</xdr:row>
      <xdr:rowOff>28575</xdr:rowOff>
    </xdr:to>
    <xdr:pic>
      <xdr:nvPicPr>
        <xdr:cNvPr id="2" name="Picture 1">
          <a:extLst>
            <a:ext uri="{FF2B5EF4-FFF2-40B4-BE49-F238E27FC236}">
              <a16:creationId xmlns:a16="http://schemas.microsoft.com/office/drawing/2014/main" xmlns="" id="{E9D4495D-EFA9-452F-873C-ED99E86F49F5}"/>
            </a:ext>
          </a:extLst>
        </xdr:cNvPr>
        <xdr:cNvPicPr/>
      </xdr:nvPicPr>
      <xdr:blipFill>
        <a:blip xmlns:r="http://schemas.openxmlformats.org/officeDocument/2006/relationships" r:embed="rId1" cstate="print"/>
        <a:stretch/>
      </xdr:blipFill>
      <xdr:spPr>
        <a:xfrm>
          <a:off x="95250" y="57150"/>
          <a:ext cx="304800" cy="29527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38250</xdr:colOff>
      <xdr:row>0</xdr:row>
      <xdr:rowOff>47355</xdr:rowOff>
    </xdr:from>
    <xdr:to>
      <xdr:col>0</xdr:col>
      <xdr:colOff>552210</xdr:colOff>
      <xdr:row>2</xdr:row>
      <xdr:rowOff>169290</xdr:rowOff>
    </xdr:to>
    <xdr:pic>
      <xdr:nvPicPr>
        <xdr:cNvPr id="3" name="Picture 1">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stretch/>
      </xdr:blipFill>
      <xdr:spPr>
        <a:xfrm>
          <a:off x="38250" y="47355"/>
          <a:ext cx="513960" cy="502935"/>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59364</xdr:rowOff>
    </xdr:from>
    <xdr:to>
      <xdr:col>0</xdr:col>
      <xdr:colOff>447675</xdr:colOff>
      <xdr:row>2</xdr:row>
      <xdr:rowOff>95250</xdr:rowOff>
    </xdr:to>
    <xdr:pic>
      <xdr:nvPicPr>
        <xdr:cNvPr id="2" name="Picture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xdr:blipFill>
      <xdr:spPr>
        <a:xfrm>
          <a:off x="95250" y="59364"/>
          <a:ext cx="352425" cy="350211"/>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338805</xdr:colOff>
      <xdr:row>0</xdr:row>
      <xdr:rowOff>95250</xdr:rowOff>
    </xdr:from>
    <xdr:to>
      <xdr:col>0</xdr:col>
      <xdr:colOff>781050</xdr:colOff>
      <xdr:row>2</xdr:row>
      <xdr:rowOff>123825</xdr:rowOff>
    </xdr:to>
    <xdr:pic>
      <xdr:nvPicPr>
        <xdr:cNvPr id="2" name="Image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xdr:blipFill>
      <xdr:spPr>
        <a:xfrm>
          <a:off x="338805" y="95250"/>
          <a:ext cx="442245" cy="447675"/>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372889</xdr:colOff>
      <xdr:row>0</xdr:row>
      <xdr:rowOff>44823</xdr:rowOff>
    </xdr:from>
    <xdr:to>
      <xdr:col>0</xdr:col>
      <xdr:colOff>837649</xdr:colOff>
      <xdr:row>2</xdr:row>
      <xdr:rowOff>213663</xdr:rowOff>
    </xdr:to>
    <xdr:pic>
      <xdr:nvPicPr>
        <xdr:cNvPr id="2" name="Imagem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tretch/>
      </xdr:blipFill>
      <xdr:spPr>
        <a:xfrm>
          <a:off x="372889" y="44823"/>
          <a:ext cx="464760" cy="482605"/>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4" name="Picture 1">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5" name="Picture 1_0">
          <a:extLst>
            <a:ext uri="{FF2B5EF4-FFF2-40B4-BE49-F238E27FC236}">
              <a16:creationId xmlns:a16="http://schemas.microsoft.com/office/drawing/2014/main" xmlns="" id="{00000000-0008-0000-0500-000005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576049</xdr:colOff>
      <xdr:row>2</xdr:row>
      <xdr:rowOff>140040</xdr:rowOff>
    </xdr:to>
    <xdr:pic>
      <xdr:nvPicPr>
        <xdr:cNvPr id="6" name="Picture 1">
          <a:extLst>
            <a:ext uri="{FF2B5EF4-FFF2-40B4-BE49-F238E27FC236}">
              <a16:creationId xmlns:a16="http://schemas.microsoft.com/office/drawing/2014/main" xmlns="" id="{00000000-0008-0000-0600-000006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146880</xdr:colOff>
      <xdr:row>0</xdr:row>
      <xdr:rowOff>47520</xdr:rowOff>
    </xdr:from>
    <xdr:to>
      <xdr:col>0</xdr:col>
      <xdr:colOff>572239</xdr:colOff>
      <xdr:row>2</xdr:row>
      <xdr:rowOff>136230</xdr:rowOff>
    </xdr:to>
    <xdr:pic>
      <xdr:nvPicPr>
        <xdr:cNvPr id="7" name="Picture 1">
          <a:extLst>
            <a:ext uri="{FF2B5EF4-FFF2-40B4-BE49-F238E27FC236}">
              <a16:creationId xmlns:a16="http://schemas.microsoft.com/office/drawing/2014/main" xmlns="" id="{00000000-0008-0000-0700-000007000000}"/>
            </a:ext>
          </a:extLst>
        </xdr:cNvPr>
        <xdr:cNvPicPr/>
      </xdr:nvPicPr>
      <xdr:blipFill>
        <a:blip xmlns:r="http://schemas.openxmlformats.org/officeDocument/2006/relationships" r:embed="rId1"/>
        <a:stretch/>
      </xdr:blipFill>
      <xdr:spPr>
        <a:xfrm>
          <a:off x="146880" y="47520"/>
          <a:ext cx="487080" cy="416160"/>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19"/>
  <sheetViews>
    <sheetView showGridLines="0" zoomScale="115" zoomScaleNormal="115" workbookViewId="0">
      <selection activeCell="A7" sqref="A7:XFD119"/>
    </sheetView>
  </sheetViews>
  <sheetFormatPr defaultRowHeight="15" x14ac:dyDescent="0.25"/>
  <cols>
    <col min="1" max="1" width="7.33203125" style="175" bestFit="1" customWidth="1"/>
    <col min="2" max="2" width="48.33203125" style="175" customWidth="1"/>
    <col min="3" max="3" width="9.1640625" style="175" customWidth="1"/>
    <col min="4" max="4" width="19" style="175" customWidth="1"/>
    <col min="5" max="5" width="15" style="175" customWidth="1"/>
    <col min="6" max="8" width="19" style="175" customWidth="1"/>
    <col min="9" max="9" width="15.5" style="175" customWidth="1"/>
    <col min="10" max="11" width="19" style="175" customWidth="1"/>
    <col min="12" max="14" width="16.1640625" style="397" customWidth="1"/>
    <col min="15" max="15" width="15.1640625" style="397" customWidth="1"/>
    <col min="16" max="16" width="15.83203125" style="175" customWidth="1"/>
    <col min="17" max="17" width="18.33203125" style="175" customWidth="1"/>
    <col min="18" max="18" width="16.5" style="175" customWidth="1"/>
    <col min="19" max="19" width="14" style="175" customWidth="1"/>
    <col min="20" max="20" width="15.1640625" style="398" bestFit="1" customWidth="1"/>
    <col min="21" max="21" width="13.83203125" style="398" bestFit="1" customWidth="1"/>
    <col min="22" max="22" width="18.6640625" style="398" bestFit="1" customWidth="1"/>
    <col min="23" max="23" width="14.33203125" style="398" bestFit="1" customWidth="1"/>
    <col min="24" max="25" width="12.33203125" style="398" bestFit="1" customWidth="1"/>
    <col min="26" max="258" width="9.33203125" style="175"/>
    <col min="259" max="259" width="7.33203125" style="175" bestFit="1" customWidth="1"/>
    <col min="260" max="260" width="48.33203125" style="175" customWidth="1"/>
    <col min="261" max="261" width="9.1640625" style="175" customWidth="1"/>
    <col min="262" max="262" width="19" style="175" customWidth="1"/>
    <col min="263" max="263" width="15" style="175" customWidth="1"/>
    <col min="264" max="265" width="19" style="175" customWidth="1"/>
    <col min="266" max="266" width="15.5" style="175" customWidth="1"/>
    <col min="267" max="268" width="19" style="175" customWidth="1"/>
    <col min="269" max="270" width="16.1640625" style="175" customWidth="1"/>
    <col min="271" max="271" width="15.1640625" style="175" customWidth="1"/>
    <col min="272" max="272" width="15.83203125" style="175" customWidth="1"/>
    <col min="273" max="273" width="15" style="175" customWidth="1"/>
    <col min="274" max="274" width="16.5" style="175" customWidth="1"/>
    <col min="275" max="275" width="14" style="175" customWidth="1"/>
    <col min="276" max="276" width="15.1640625" style="175" bestFit="1" customWidth="1"/>
    <col min="277" max="277" width="13.83203125" style="175" bestFit="1" customWidth="1"/>
    <col min="278" max="278" width="15.5" style="175" bestFit="1" customWidth="1"/>
    <col min="279" max="279" width="14.33203125" style="175" bestFit="1" customWidth="1"/>
    <col min="280" max="281" width="12.33203125" style="175" bestFit="1" customWidth="1"/>
    <col min="282" max="514" width="9.33203125" style="175"/>
    <col min="515" max="515" width="7.33203125" style="175" bestFit="1" customWidth="1"/>
    <col min="516" max="516" width="48.33203125" style="175" customWidth="1"/>
    <col min="517" max="517" width="9.1640625" style="175" customWidth="1"/>
    <col min="518" max="518" width="19" style="175" customWidth="1"/>
    <col min="519" max="519" width="15" style="175" customWidth="1"/>
    <col min="520" max="521" width="19" style="175" customWidth="1"/>
    <col min="522" max="522" width="15.5" style="175" customWidth="1"/>
    <col min="523" max="524" width="19" style="175" customWidth="1"/>
    <col min="525" max="526" width="16.1640625" style="175" customWidth="1"/>
    <col min="527" max="527" width="15.1640625" style="175" customWidth="1"/>
    <col min="528" max="528" width="15.83203125" style="175" customWidth="1"/>
    <col min="529" max="529" width="15" style="175" customWidth="1"/>
    <col min="530" max="530" width="16.5" style="175" customWidth="1"/>
    <col min="531" max="531" width="14" style="175" customWidth="1"/>
    <col min="532" max="532" width="15.1640625" style="175" bestFit="1" customWidth="1"/>
    <col min="533" max="533" width="13.83203125" style="175" bestFit="1" customWidth="1"/>
    <col min="534" max="534" width="15.5" style="175" bestFit="1" customWidth="1"/>
    <col min="535" max="535" width="14.33203125" style="175" bestFit="1" customWidth="1"/>
    <col min="536" max="537" width="12.33203125" style="175" bestFit="1" customWidth="1"/>
    <col min="538" max="770" width="9.33203125" style="175"/>
    <col min="771" max="771" width="7.33203125" style="175" bestFit="1" customWidth="1"/>
    <col min="772" max="772" width="48.33203125" style="175" customWidth="1"/>
    <col min="773" max="773" width="9.1640625" style="175" customWidth="1"/>
    <col min="774" max="774" width="19" style="175" customWidth="1"/>
    <col min="775" max="775" width="15" style="175" customWidth="1"/>
    <col min="776" max="777" width="19" style="175" customWidth="1"/>
    <col min="778" max="778" width="15.5" style="175" customWidth="1"/>
    <col min="779" max="780" width="19" style="175" customWidth="1"/>
    <col min="781" max="782" width="16.1640625" style="175" customWidth="1"/>
    <col min="783" max="783" width="15.1640625" style="175" customWidth="1"/>
    <col min="784" max="784" width="15.83203125" style="175" customWidth="1"/>
    <col min="785" max="785" width="15" style="175" customWidth="1"/>
    <col min="786" max="786" width="16.5" style="175" customWidth="1"/>
    <col min="787" max="787" width="14" style="175" customWidth="1"/>
    <col min="788" max="788" width="15.1640625" style="175" bestFit="1" customWidth="1"/>
    <col min="789" max="789" width="13.83203125" style="175" bestFit="1" customWidth="1"/>
    <col min="790" max="790" width="15.5" style="175" bestFit="1" customWidth="1"/>
    <col min="791" max="791" width="14.33203125" style="175" bestFit="1" customWidth="1"/>
    <col min="792" max="793" width="12.33203125" style="175" bestFit="1" customWidth="1"/>
    <col min="794" max="1026" width="9.33203125" style="175"/>
    <col min="1027" max="1027" width="7.33203125" style="175" bestFit="1" customWidth="1"/>
    <col min="1028" max="1028" width="48.33203125" style="175" customWidth="1"/>
    <col min="1029" max="1029" width="9.1640625" style="175" customWidth="1"/>
    <col min="1030" max="1030" width="19" style="175" customWidth="1"/>
    <col min="1031" max="1031" width="15" style="175" customWidth="1"/>
    <col min="1032" max="1033" width="19" style="175" customWidth="1"/>
    <col min="1034" max="1034" width="15.5" style="175" customWidth="1"/>
    <col min="1035" max="1036" width="19" style="175" customWidth="1"/>
    <col min="1037" max="1038" width="16.1640625" style="175" customWidth="1"/>
    <col min="1039" max="1039" width="15.1640625" style="175" customWidth="1"/>
    <col min="1040" max="1040" width="15.83203125" style="175" customWidth="1"/>
    <col min="1041" max="1041" width="15" style="175" customWidth="1"/>
    <col min="1042" max="1042" width="16.5" style="175" customWidth="1"/>
    <col min="1043" max="1043" width="14" style="175" customWidth="1"/>
    <col min="1044" max="1044" width="15.1640625" style="175" bestFit="1" customWidth="1"/>
    <col min="1045" max="1045" width="13.83203125" style="175" bestFit="1" customWidth="1"/>
    <col min="1046" max="1046" width="15.5" style="175" bestFit="1" customWidth="1"/>
    <col min="1047" max="1047" width="14.33203125" style="175" bestFit="1" customWidth="1"/>
    <col min="1048" max="1049" width="12.33203125" style="175" bestFit="1" customWidth="1"/>
    <col min="1050" max="1282" width="9.33203125" style="175"/>
    <col min="1283" max="1283" width="7.33203125" style="175" bestFit="1" customWidth="1"/>
    <col min="1284" max="1284" width="48.33203125" style="175" customWidth="1"/>
    <col min="1285" max="1285" width="9.1640625" style="175" customWidth="1"/>
    <col min="1286" max="1286" width="19" style="175" customWidth="1"/>
    <col min="1287" max="1287" width="15" style="175" customWidth="1"/>
    <col min="1288" max="1289" width="19" style="175" customWidth="1"/>
    <col min="1290" max="1290" width="15.5" style="175" customWidth="1"/>
    <col min="1291" max="1292" width="19" style="175" customWidth="1"/>
    <col min="1293" max="1294" width="16.1640625" style="175" customWidth="1"/>
    <col min="1295" max="1295" width="15.1640625" style="175" customWidth="1"/>
    <col min="1296" max="1296" width="15.83203125" style="175" customWidth="1"/>
    <col min="1297" max="1297" width="15" style="175" customWidth="1"/>
    <col min="1298" max="1298" width="16.5" style="175" customWidth="1"/>
    <col min="1299" max="1299" width="14" style="175" customWidth="1"/>
    <col min="1300" max="1300" width="15.1640625" style="175" bestFit="1" customWidth="1"/>
    <col min="1301" max="1301" width="13.83203125" style="175" bestFit="1" customWidth="1"/>
    <col min="1302" max="1302" width="15.5" style="175" bestFit="1" customWidth="1"/>
    <col min="1303" max="1303" width="14.33203125" style="175" bestFit="1" customWidth="1"/>
    <col min="1304" max="1305" width="12.33203125" style="175" bestFit="1" customWidth="1"/>
    <col min="1306" max="1538" width="9.33203125" style="175"/>
    <col min="1539" max="1539" width="7.33203125" style="175" bestFit="1" customWidth="1"/>
    <col min="1540" max="1540" width="48.33203125" style="175" customWidth="1"/>
    <col min="1541" max="1541" width="9.1640625" style="175" customWidth="1"/>
    <col min="1542" max="1542" width="19" style="175" customWidth="1"/>
    <col min="1543" max="1543" width="15" style="175" customWidth="1"/>
    <col min="1544" max="1545" width="19" style="175" customWidth="1"/>
    <col min="1546" max="1546" width="15.5" style="175" customWidth="1"/>
    <col min="1547" max="1548" width="19" style="175" customWidth="1"/>
    <col min="1549" max="1550" width="16.1640625" style="175" customWidth="1"/>
    <col min="1551" max="1551" width="15.1640625" style="175" customWidth="1"/>
    <col min="1552" max="1552" width="15.83203125" style="175" customWidth="1"/>
    <col min="1553" max="1553" width="15" style="175" customWidth="1"/>
    <col min="1554" max="1554" width="16.5" style="175" customWidth="1"/>
    <col min="1555" max="1555" width="14" style="175" customWidth="1"/>
    <col min="1556" max="1556" width="15.1640625" style="175" bestFit="1" customWidth="1"/>
    <col min="1557" max="1557" width="13.83203125" style="175" bestFit="1" customWidth="1"/>
    <col min="1558" max="1558" width="15.5" style="175" bestFit="1" customWidth="1"/>
    <col min="1559" max="1559" width="14.33203125" style="175" bestFit="1" customWidth="1"/>
    <col min="1560" max="1561" width="12.33203125" style="175" bestFit="1" customWidth="1"/>
    <col min="1562" max="1794" width="9.33203125" style="175"/>
    <col min="1795" max="1795" width="7.33203125" style="175" bestFit="1" customWidth="1"/>
    <col min="1796" max="1796" width="48.33203125" style="175" customWidth="1"/>
    <col min="1797" max="1797" width="9.1640625" style="175" customWidth="1"/>
    <col min="1798" max="1798" width="19" style="175" customWidth="1"/>
    <col min="1799" max="1799" width="15" style="175" customWidth="1"/>
    <col min="1800" max="1801" width="19" style="175" customWidth="1"/>
    <col min="1802" max="1802" width="15.5" style="175" customWidth="1"/>
    <col min="1803" max="1804" width="19" style="175" customWidth="1"/>
    <col min="1805" max="1806" width="16.1640625" style="175" customWidth="1"/>
    <col min="1807" max="1807" width="15.1640625" style="175" customWidth="1"/>
    <col min="1808" max="1808" width="15.83203125" style="175" customWidth="1"/>
    <col min="1809" max="1809" width="15" style="175" customWidth="1"/>
    <col min="1810" max="1810" width="16.5" style="175" customWidth="1"/>
    <col min="1811" max="1811" width="14" style="175" customWidth="1"/>
    <col min="1812" max="1812" width="15.1640625" style="175" bestFit="1" customWidth="1"/>
    <col min="1813" max="1813" width="13.83203125" style="175" bestFit="1" customWidth="1"/>
    <col min="1814" max="1814" width="15.5" style="175" bestFit="1" customWidth="1"/>
    <col min="1815" max="1815" width="14.33203125" style="175" bestFit="1" customWidth="1"/>
    <col min="1816" max="1817" width="12.33203125" style="175" bestFit="1" customWidth="1"/>
    <col min="1818" max="2050" width="9.33203125" style="175"/>
    <col min="2051" max="2051" width="7.33203125" style="175" bestFit="1" customWidth="1"/>
    <col min="2052" max="2052" width="48.33203125" style="175" customWidth="1"/>
    <col min="2053" max="2053" width="9.1640625" style="175" customWidth="1"/>
    <col min="2054" max="2054" width="19" style="175" customWidth="1"/>
    <col min="2055" max="2055" width="15" style="175" customWidth="1"/>
    <col min="2056" max="2057" width="19" style="175" customWidth="1"/>
    <col min="2058" max="2058" width="15.5" style="175" customWidth="1"/>
    <col min="2059" max="2060" width="19" style="175" customWidth="1"/>
    <col min="2061" max="2062" width="16.1640625" style="175" customWidth="1"/>
    <col min="2063" max="2063" width="15.1640625" style="175" customWidth="1"/>
    <col min="2064" max="2064" width="15.83203125" style="175" customWidth="1"/>
    <col min="2065" max="2065" width="15" style="175" customWidth="1"/>
    <col min="2066" max="2066" width="16.5" style="175" customWidth="1"/>
    <col min="2067" max="2067" width="14" style="175" customWidth="1"/>
    <col min="2068" max="2068" width="15.1640625" style="175" bestFit="1" customWidth="1"/>
    <col min="2069" max="2069" width="13.83203125" style="175" bestFit="1" customWidth="1"/>
    <col min="2070" max="2070" width="15.5" style="175" bestFit="1" customWidth="1"/>
    <col min="2071" max="2071" width="14.33203125" style="175" bestFit="1" customWidth="1"/>
    <col min="2072" max="2073" width="12.33203125" style="175" bestFit="1" customWidth="1"/>
    <col min="2074" max="2306" width="9.33203125" style="175"/>
    <col min="2307" max="2307" width="7.33203125" style="175" bestFit="1" customWidth="1"/>
    <col min="2308" max="2308" width="48.33203125" style="175" customWidth="1"/>
    <col min="2309" max="2309" width="9.1640625" style="175" customWidth="1"/>
    <col min="2310" max="2310" width="19" style="175" customWidth="1"/>
    <col min="2311" max="2311" width="15" style="175" customWidth="1"/>
    <col min="2312" max="2313" width="19" style="175" customWidth="1"/>
    <col min="2314" max="2314" width="15.5" style="175" customWidth="1"/>
    <col min="2315" max="2316" width="19" style="175" customWidth="1"/>
    <col min="2317" max="2318" width="16.1640625" style="175" customWidth="1"/>
    <col min="2319" max="2319" width="15.1640625" style="175" customWidth="1"/>
    <col min="2320" max="2320" width="15.83203125" style="175" customWidth="1"/>
    <col min="2321" max="2321" width="15" style="175" customWidth="1"/>
    <col min="2322" max="2322" width="16.5" style="175" customWidth="1"/>
    <col min="2323" max="2323" width="14" style="175" customWidth="1"/>
    <col min="2324" max="2324" width="15.1640625" style="175" bestFit="1" customWidth="1"/>
    <col min="2325" max="2325" width="13.83203125" style="175" bestFit="1" customWidth="1"/>
    <col min="2326" max="2326" width="15.5" style="175" bestFit="1" customWidth="1"/>
    <col min="2327" max="2327" width="14.33203125" style="175" bestFit="1" customWidth="1"/>
    <col min="2328" max="2329" width="12.33203125" style="175" bestFit="1" customWidth="1"/>
    <col min="2330" max="2562" width="9.33203125" style="175"/>
    <col min="2563" max="2563" width="7.33203125" style="175" bestFit="1" customWidth="1"/>
    <col min="2564" max="2564" width="48.33203125" style="175" customWidth="1"/>
    <col min="2565" max="2565" width="9.1640625" style="175" customWidth="1"/>
    <col min="2566" max="2566" width="19" style="175" customWidth="1"/>
    <col min="2567" max="2567" width="15" style="175" customWidth="1"/>
    <col min="2568" max="2569" width="19" style="175" customWidth="1"/>
    <col min="2570" max="2570" width="15.5" style="175" customWidth="1"/>
    <col min="2571" max="2572" width="19" style="175" customWidth="1"/>
    <col min="2573" max="2574" width="16.1640625" style="175" customWidth="1"/>
    <col min="2575" max="2575" width="15.1640625" style="175" customWidth="1"/>
    <col min="2576" max="2576" width="15.83203125" style="175" customWidth="1"/>
    <col min="2577" max="2577" width="15" style="175" customWidth="1"/>
    <col min="2578" max="2578" width="16.5" style="175" customWidth="1"/>
    <col min="2579" max="2579" width="14" style="175" customWidth="1"/>
    <col min="2580" max="2580" width="15.1640625" style="175" bestFit="1" customWidth="1"/>
    <col min="2581" max="2581" width="13.83203125" style="175" bestFit="1" customWidth="1"/>
    <col min="2582" max="2582" width="15.5" style="175" bestFit="1" customWidth="1"/>
    <col min="2583" max="2583" width="14.33203125" style="175" bestFit="1" customWidth="1"/>
    <col min="2584" max="2585" width="12.33203125" style="175" bestFit="1" customWidth="1"/>
    <col min="2586" max="2818" width="9.33203125" style="175"/>
    <col min="2819" max="2819" width="7.33203125" style="175" bestFit="1" customWidth="1"/>
    <col min="2820" max="2820" width="48.33203125" style="175" customWidth="1"/>
    <col min="2821" max="2821" width="9.1640625" style="175" customWidth="1"/>
    <col min="2822" max="2822" width="19" style="175" customWidth="1"/>
    <col min="2823" max="2823" width="15" style="175" customWidth="1"/>
    <col min="2824" max="2825" width="19" style="175" customWidth="1"/>
    <col min="2826" max="2826" width="15.5" style="175" customWidth="1"/>
    <col min="2827" max="2828" width="19" style="175" customWidth="1"/>
    <col min="2829" max="2830" width="16.1640625" style="175" customWidth="1"/>
    <col min="2831" max="2831" width="15.1640625" style="175" customWidth="1"/>
    <col min="2832" max="2832" width="15.83203125" style="175" customWidth="1"/>
    <col min="2833" max="2833" width="15" style="175" customWidth="1"/>
    <col min="2834" max="2834" width="16.5" style="175" customWidth="1"/>
    <col min="2835" max="2835" width="14" style="175" customWidth="1"/>
    <col min="2836" max="2836" width="15.1640625" style="175" bestFit="1" customWidth="1"/>
    <col min="2837" max="2837" width="13.83203125" style="175" bestFit="1" customWidth="1"/>
    <col min="2838" max="2838" width="15.5" style="175" bestFit="1" customWidth="1"/>
    <col min="2839" max="2839" width="14.33203125" style="175" bestFit="1" customWidth="1"/>
    <col min="2840" max="2841" width="12.33203125" style="175" bestFit="1" customWidth="1"/>
    <col min="2842" max="3074" width="9.33203125" style="175"/>
    <col min="3075" max="3075" width="7.33203125" style="175" bestFit="1" customWidth="1"/>
    <col min="3076" max="3076" width="48.33203125" style="175" customWidth="1"/>
    <col min="3077" max="3077" width="9.1640625" style="175" customWidth="1"/>
    <col min="3078" max="3078" width="19" style="175" customWidth="1"/>
    <col min="3079" max="3079" width="15" style="175" customWidth="1"/>
    <col min="3080" max="3081" width="19" style="175" customWidth="1"/>
    <col min="3082" max="3082" width="15.5" style="175" customWidth="1"/>
    <col min="3083" max="3084" width="19" style="175" customWidth="1"/>
    <col min="3085" max="3086" width="16.1640625" style="175" customWidth="1"/>
    <col min="3087" max="3087" width="15.1640625" style="175" customWidth="1"/>
    <col min="3088" max="3088" width="15.83203125" style="175" customWidth="1"/>
    <col min="3089" max="3089" width="15" style="175" customWidth="1"/>
    <col min="3090" max="3090" width="16.5" style="175" customWidth="1"/>
    <col min="3091" max="3091" width="14" style="175" customWidth="1"/>
    <col min="3092" max="3092" width="15.1640625" style="175" bestFit="1" customWidth="1"/>
    <col min="3093" max="3093" width="13.83203125" style="175" bestFit="1" customWidth="1"/>
    <col min="3094" max="3094" width="15.5" style="175" bestFit="1" customWidth="1"/>
    <col min="3095" max="3095" width="14.33203125" style="175" bestFit="1" customWidth="1"/>
    <col min="3096" max="3097" width="12.33203125" style="175" bestFit="1" customWidth="1"/>
    <col min="3098" max="3330" width="9.33203125" style="175"/>
    <col min="3331" max="3331" width="7.33203125" style="175" bestFit="1" customWidth="1"/>
    <col min="3332" max="3332" width="48.33203125" style="175" customWidth="1"/>
    <col min="3333" max="3333" width="9.1640625" style="175" customWidth="1"/>
    <col min="3334" max="3334" width="19" style="175" customWidth="1"/>
    <col min="3335" max="3335" width="15" style="175" customWidth="1"/>
    <col min="3336" max="3337" width="19" style="175" customWidth="1"/>
    <col min="3338" max="3338" width="15.5" style="175" customWidth="1"/>
    <col min="3339" max="3340" width="19" style="175" customWidth="1"/>
    <col min="3341" max="3342" width="16.1640625" style="175" customWidth="1"/>
    <col min="3343" max="3343" width="15.1640625" style="175" customWidth="1"/>
    <col min="3344" max="3344" width="15.83203125" style="175" customWidth="1"/>
    <col min="3345" max="3345" width="15" style="175" customWidth="1"/>
    <col min="3346" max="3346" width="16.5" style="175" customWidth="1"/>
    <col min="3347" max="3347" width="14" style="175" customWidth="1"/>
    <col min="3348" max="3348" width="15.1640625" style="175" bestFit="1" customWidth="1"/>
    <col min="3349" max="3349" width="13.83203125" style="175" bestFit="1" customWidth="1"/>
    <col min="3350" max="3350" width="15.5" style="175" bestFit="1" customWidth="1"/>
    <col min="3351" max="3351" width="14.33203125" style="175" bestFit="1" customWidth="1"/>
    <col min="3352" max="3353" width="12.33203125" style="175" bestFit="1" customWidth="1"/>
    <col min="3354" max="3586" width="9.33203125" style="175"/>
    <col min="3587" max="3587" width="7.33203125" style="175" bestFit="1" customWidth="1"/>
    <col min="3588" max="3588" width="48.33203125" style="175" customWidth="1"/>
    <col min="3589" max="3589" width="9.1640625" style="175" customWidth="1"/>
    <col min="3590" max="3590" width="19" style="175" customWidth="1"/>
    <col min="3591" max="3591" width="15" style="175" customWidth="1"/>
    <col min="3592" max="3593" width="19" style="175" customWidth="1"/>
    <col min="3594" max="3594" width="15.5" style="175" customWidth="1"/>
    <col min="3595" max="3596" width="19" style="175" customWidth="1"/>
    <col min="3597" max="3598" width="16.1640625" style="175" customWidth="1"/>
    <col min="3599" max="3599" width="15.1640625" style="175" customWidth="1"/>
    <col min="3600" max="3600" width="15.83203125" style="175" customWidth="1"/>
    <col min="3601" max="3601" width="15" style="175" customWidth="1"/>
    <col min="3602" max="3602" width="16.5" style="175" customWidth="1"/>
    <col min="3603" max="3603" width="14" style="175" customWidth="1"/>
    <col min="3604" max="3604" width="15.1640625" style="175" bestFit="1" customWidth="1"/>
    <col min="3605" max="3605" width="13.83203125" style="175" bestFit="1" customWidth="1"/>
    <col min="3606" max="3606" width="15.5" style="175" bestFit="1" customWidth="1"/>
    <col min="3607" max="3607" width="14.33203125" style="175" bestFit="1" customWidth="1"/>
    <col min="3608" max="3609" width="12.33203125" style="175" bestFit="1" customWidth="1"/>
    <col min="3610" max="3842" width="9.33203125" style="175"/>
    <col min="3843" max="3843" width="7.33203125" style="175" bestFit="1" customWidth="1"/>
    <col min="3844" max="3844" width="48.33203125" style="175" customWidth="1"/>
    <col min="3845" max="3845" width="9.1640625" style="175" customWidth="1"/>
    <col min="3846" max="3846" width="19" style="175" customWidth="1"/>
    <col min="3847" max="3847" width="15" style="175" customWidth="1"/>
    <col min="3848" max="3849" width="19" style="175" customWidth="1"/>
    <col min="3850" max="3850" width="15.5" style="175" customWidth="1"/>
    <col min="3851" max="3852" width="19" style="175" customWidth="1"/>
    <col min="3853" max="3854" width="16.1640625" style="175" customWidth="1"/>
    <col min="3855" max="3855" width="15.1640625" style="175" customWidth="1"/>
    <col min="3856" max="3856" width="15.83203125" style="175" customWidth="1"/>
    <col min="3857" max="3857" width="15" style="175" customWidth="1"/>
    <col min="3858" max="3858" width="16.5" style="175" customWidth="1"/>
    <col min="3859" max="3859" width="14" style="175" customWidth="1"/>
    <col min="3860" max="3860" width="15.1640625" style="175" bestFit="1" customWidth="1"/>
    <col min="3861" max="3861" width="13.83203125" style="175" bestFit="1" customWidth="1"/>
    <col min="3862" max="3862" width="15.5" style="175" bestFit="1" customWidth="1"/>
    <col min="3863" max="3863" width="14.33203125" style="175" bestFit="1" customWidth="1"/>
    <col min="3864" max="3865" width="12.33203125" style="175" bestFit="1" customWidth="1"/>
    <col min="3866" max="4098" width="9.33203125" style="175"/>
    <col min="4099" max="4099" width="7.33203125" style="175" bestFit="1" customWidth="1"/>
    <col min="4100" max="4100" width="48.33203125" style="175" customWidth="1"/>
    <col min="4101" max="4101" width="9.1640625" style="175" customWidth="1"/>
    <col min="4102" max="4102" width="19" style="175" customWidth="1"/>
    <col min="4103" max="4103" width="15" style="175" customWidth="1"/>
    <col min="4104" max="4105" width="19" style="175" customWidth="1"/>
    <col min="4106" max="4106" width="15.5" style="175" customWidth="1"/>
    <col min="4107" max="4108" width="19" style="175" customWidth="1"/>
    <col min="4109" max="4110" width="16.1640625" style="175" customWidth="1"/>
    <col min="4111" max="4111" width="15.1640625" style="175" customWidth="1"/>
    <col min="4112" max="4112" width="15.83203125" style="175" customWidth="1"/>
    <col min="4113" max="4113" width="15" style="175" customWidth="1"/>
    <col min="4114" max="4114" width="16.5" style="175" customWidth="1"/>
    <col min="4115" max="4115" width="14" style="175" customWidth="1"/>
    <col min="4116" max="4116" width="15.1640625" style="175" bestFit="1" customWidth="1"/>
    <col min="4117" max="4117" width="13.83203125" style="175" bestFit="1" customWidth="1"/>
    <col min="4118" max="4118" width="15.5" style="175" bestFit="1" customWidth="1"/>
    <col min="4119" max="4119" width="14.33203125" style="175" bestFit="1" customWidth="1"/>
    <col min="4120" max="4121" width="12.33203125" style="175" bestFit="1" customWidth="1"/>
    <col min="4122" max="4354" width="9.33203125" style="175"/>
    <col min="4355" max="4355" width="7.33203125" style="175" bestFit="1" customWidth="1"/>
    <col min="4356" max="4356" width="48.33203125" style="175" customWidth="1"/>
    <col min="4357" max="4357" width="9.1640625" style="175" customWidth="1"/>
    <col min="4358" max="4358" width="19" style="175" customWidth="1"/>
    <col min="4359" max="4359" width="15" style="175" customWidth="1"/>
    <col min="4360" max="4361" width="19" style="175" customWidth="1"/>
    <col min="4362" max="4362" width="15.5" style="175" customWidth="1"/>
    <col min="4363" max="4364" width="19" style="175" customWidth="1"/>
    <col min="4365" max="4366" width="16.1640625" style="175" customWidth="1"/>
    <col min="4367" max="4367" width="15.1640625" style="175" customWidth="1"/>
    <col min="4368" max="4368" width="15.83203125" style="175" customWidth="1"/>
    <col min="4369" max="4369" width="15" style="175" customWidth="1"/>
    <col min="4370" max="4370" width="16.5" style="175" customWidth="1"/>
    <col min="4371" max="4371" width="14" style="175" customWidth="1"/>
    <col min="4372" max="4372" width="15.1640625" style="175" bestFit="1" customWidth="1"/>
    <col min="4373" max="4373" width="13.83203125" style="175" bestFit="1" customWidth="1"/>
    <col min="4374" max="4374" width="15.5" style="175" bestFit="1" customWidth="1"/>
    <col min="4375" max="4375" width="14.33203125" style="175" bestFit="1" customWidth="1"/>
    <col min="4376" max="4377" width="12.33203125" style="175" bestFit="1" customWidth="1"/>
    <col min="4378" max="4610" width="9.33203125" style="175"/>
    <col min="4611" max="4611" width="7.33203125" style="175" bestFit="1" customWidth="1"/>
    <col min="4612" max="4612" width="48.33203125" style="175" customWidth="1"/>
    <col min="4613" max="4613" width="9.1640625" style="175" customWidth="1"/>
    <col min="4614" max="4614" width="19" style="175" customWidth="1"/>
    <col min="4615" max="4615" width="15" style="175" customWidth="1"/>
    <col min="4616" max="4617" width="19" style="175" customWidth="1"/>
    <col min="4618" max="4618" width="15.5" style="175" customWidth="1"/>
    <col min="4619" max="4620" width="19" style="175" customWidth="1"/>
    <col min="4621" max="4622" width="16.1640625" style="175" customWidth="1"/>
    <col min="4623" max="4623" width="15.1640625" style="175" customWidth="1"/>
    <col min="4624" max="4624" width="15.83203125" style="175" customWidth="1"/>
    <col min="4625" max="4625" width="15" style="175" customWidth="1"/>
    <col min="4626" max="4626" width="16.5" style="175" customWidth="1"/>
    <col min="4627" max="4627" width="14" style="175" customWidth="1"/>
    <col min="4628" max="4628" width="15.1640625" style="175" bestFit="1" customWidth="1"/>
    <col min="4629" max="4629" width="13.83203125" style="175" bestFit="1" customWidth="1"/>
    <col min="4630" max="4630" width="15.5" style="175" bestFit="1" customWidth="1"/>
    <col min="4631" max="4631" width="14.33203125" style="175" bestFit="1" customWidth="1"/>
    <col min="4632" max="4633" width="12.33203125" style="175" bestFit="1" customWidth="1"/>
    <col min="4634" max="4866" width="9.33203125" style="175"/>
    <col min="4867" max="4867" width="7.33203125" style="175" bestFit="1" customWidth="1"/>
    <col min="4868" max="4868" width="48.33203125" style="175" customWidth="1"/>
    <col min="4869" max="4869" width="9.1640625" style="175" customWidth="1"/>
    <col min="4870" max="4870" width="19" style="175" customWidth="1"/>
    <col min="4871" max="4871" width="15" style="175" customWidth="1"/>
    <col min="4872" max="4873" width="19" style="175" customWidth="1"/>
    <col min="4874" max="4874" width="15.5" style="175" customWidth="1"/>
    <col min="4875" max="4876" width="19" style="175" customWidth="1"/>
    <col min="4877" max="4878" width="16.1640625" style="175" customWidth="1"/>
    <col min="4879" max="4879" width="15.1640625" style="175" customWidth="1"/>
    <col min="4880" max="4880" width="15.83203125" style="175" customWidth="1"/>
    <col min="4881" max="4881" width="15" style="175" customWidth="1"/>
    <col min="4882" max="4882" width="16.5" style="175" customWidth="1"/>
    <col min="4883" max="4883" width="14" style="175" customWidth="1"/>
    <col min="4884" max="4884" width="15.1640625" style="175" bestFit="1" customWidth="1"/>
    <col min="4885" max="4885" width="13.83203125" style="175" bestFit="1" customWidth="1"/>
    <col min="4886" max="4886" width="15.5" style="175" bestFit="1" customWidth="1"/>
    <col min="4887" max="4887" width="14.33203125" style="175" bestFit="1" customWidth="1"/>
    <col min="4888" max="4889" width="12.33203125" style="175" bestFit="1" customWidth="1"/>
    <col min="4890" max="5122" width="9.33203125" style="175"/>
    <col min="5123" max="5123" width="7.33203125" style="175" bestFit="1" customWidth="1"/>
    <col min="5124" max="5124" width="48.33203125" style="175" customWidth="1"/>
    <col min="5125" max="5125" width="9.1640625" style="175" customWidth="1"/>
    <col min="5126" max="5126" width="19" style="175" customWidth="1"/>
    <col min="5127" max="5127" width="15" style="175" customWidth="1"/>
    <col min="5128" max="5129" width="19" style="175" customWidth="1"/>
    <col min="5130" max="5130" width="15.5" style="175" customWidth="1"/>
    <col min="5131" max="5132" width="19" style="175" customWidth="1"/>
    <col min="5133" max="5134" width="16.1640625" style="175" customWidth="1"/>
    <col min="5135" max="5135" width="15.1640625" style="175" customWidth="1"/>
    <col min="5136" max="5136" width="15.83203125" style="175" customWidth="1"/>
    <col min="5137" max="5137" width="15" style="175" customWidth="1"/>
    <col min="5138" max="5138" width="16.5" style="175" customWidth="1"/>
    <col min="5139" max="5139" width="14" style="175" customWidth="1"/>
    <col min="5140" max="5140" width="15.1640625" style="175" bestFit="1" customWidth="1"/>
    <col min="5141" max="5141" width="13.83203125" style="175" bestFit="1" customWidth="1"/>
    <col min="5142" max="5142" width="15.5" style="175" bestFit="1" customWidth="1"/>
    <col min="5143" max="5143" width="14.33203125" style="175" bestFit="1" customWidth="1"/>
    <col min="5144" max="5145" width="12.33203125" style="175" bestFit="1" customWidth="1"/>
    <col min="5146" max="5378" width="9.33203125" style="175"/>
    <col min="5379" max="5379" width="7.33203125" style="175" bestFit="1" customWidth="1"/>
    <col min="5380" max="5380" width="48.33203125" style="175" customWidth="1"/>
    <col min="5381" max="5381" width="9.1640625" style="175" customWidth="1"/>
    <col min="5382" max="5382" width="19" style="175" customWidth="1"/>
    <col min="5383" max="5383" width="15" style="175" customWidth="1"/>
    <col min="5384" max="5385" width="19" style="175" customWidth="1"/>
    <col min="5386" max="5386" width="15.5" style="175" customWidth="1"/>
    <col min="5387" max="5388" width="19" style="175" customWidth="1"/>
    <col min="5389" max="5390" width="16.1640625" style="175" customWidth="1"/>
    <col min="5391" max="5391" width="15.1640625" style="175" customWidth="1"/>
    <col min="5392" max="5392" width="15.83203125" style="175" customWidth="1"/>
    <col min="5393" max="5393" width="15" style="175" customWidth="1"/>
    <col min="5394" max="5394" width="16.5" style="175" customWidth="1"/>
    <col min="5395" max="5395" width="14" style="175" customWidth="1"/>
    <col min="5396" max="5396" width="15.1640625" style="175" bestFit="1" customWidth="1"/>
    <col min="5397" max="5397" width="13.83203125" style="175" bestFit="1" customWidth="1"/>
    <col min="5398" max="5398" width="15.5" style="175" bestFit="1" customWidth="1"/>
    <col min="5399" max="5399" width="14.33203125" style="175" bestFit="1" customWidth="1"/>
    <col min="5400" max="5401" width="12.33203125" style="175" bestFit="1" customWidth="1"/>
    <col min="5402" max="5634" width="9.33203125" style="175"/>
    <col min="5635" max="5635" width="7.33203125" style="175" bestFit="1" customWidth="1"/>
    <col min="5636" max="5636" width="48.33203125" style="175" customWidth="1"/>
    <col min="5637" max="5637" width="9.1640625" style="175" customWidth="1"/>
    <col min="5638" max="5638" width="19" style="175" customWidth="1"/>
    <col min="5639" max="5639" width="15" style="175" customWidth="1"/>
    <col min="5640" max="5641" width="19" style="175" customWidth="1"/>
    <col min="5642" max="5642" width="15.5" style="175" customWidth="1"/>
    <col min="5643" max="5644" width="19" style="175" customWidth="1"/>
    <col min="5645" max="5646" width="16.1640625" style="175" customWidth="1"/>
    <col min="5647" max="5647" width="15.1640625" style="175" customWidth="1"/>
    <col min="5648" max="5648" width="15.83203125" style="175" customWidth="1"/>
    <col min="5649" max="5649" width="15" style="175" customWidth="1"/>
    <col min="5650" max="5650" width="16.5" style="175" customWidth="1"/>
    <col min="5651" max="5651" width="14" style="175" customWidth="1"/>
    <col min="5652" max="5652" width="15.1640625" style="175" bestFit="1" customWidth="1"/>
    <col min="5653" max="5653" width="13.83203125" style="175" bestFit="1" customWidth="1"/>
    <col min="5654" max="5654" width="15.5" style="175" bestFit="1" customWidth="1"/>
    <col min="5655" max="5655" width="14.33203125" style="175" bestFit="1" customWidth="1"/>
    <col min="5656" max="5657" width="12.33203125" style="175" bestFit="1" customWidth="1"/>
    <col min="5658" max="5890" width="9.33203125" style="175"/>
    <col min="5891" max="5891" width="7.33203125" style="175" bestFit="1" customWidth="1"/>
    <col min="5892" max="5892" width="48.33203125" style="175" customWidth="1"/>
    <col min="5893" max="5893" width="9.1640625" style="175" customWidth="1"/>
    <col min="5894" max="5894" width="19" style="175" customWidth="1"/>
    <col min="5895" max="5895" width="15" style="175" customWidth="1"/>
    <col min="5896" max="5897" width="19" style="175" customWidth="1"/>
    <col min="5898" max="5898" width="15.5" style="175" customWidth="1"/>
    <col min="5899" max="5900" width="19" style="175" customWidth="1"/>
    <col min="5901" max="5902" width="16.1640625" style="175" customWidth="1"/>
    <col min="5903" max="5903" width="15.1640625" style="175" customWidth="1"/>
    <col min="5904" max="5904" width="15.83203125" style="175" customWidth="1"/>
    <col min="5905" max="5905" width="15" style="175" customWidth="1"/>
    <col min="5906" max="5906" width="16.5" style="175" customWidth="1"/>
    <col min="5907" max="5907" width="14" style="175" customWidth="1"/>
    <col min="5908" max="5908" width="15.1640625" style="175" bestFit="1" customWidth="1"/>
    <col min="5909" max="5909" width="13.83203125" style="175" bestFit="1" customWidth="1"/>
    <col min="5910" max="5910" width="15.5" style="175" bestFit="1" customWidth="1"/>
    <col min="5911" max="5911" width="14.33203125" style="175" bestFit="1" customWidth="1"/>
    <col min="5912" max="5913" width="12.33203125" style="175" bestFit="1" customWidth="1"/>
    <col min="5914" max="6146" width="9.33203125" style="175"/>
    <col min="6147" max="6147" width="7.33203125" style="175" bestFit="1" customWidth="1"/>
    <col min="6148" max="6148" width="48.33203125" style="175" customWidth="1"/>
    <col min="6149" max="6149" width="9.1640625" style="175" customWidth="1"/>
    <col min="6150" max="6150" width="19" style="175" customWidth="1"/>
    <col min="6151" max="6151" width="15" style="175" customWidth="1"/>
    <col min="6152" max="6153" width="19" style="175" customWidth="1"/>
    <col min="6154" max="6154" width="15.5" style="175" customWidth="1"/>
    <col min="6155" max="6156" width="19" style="175" customWidth="1"/>
    <col min="6157" max="6158" width="16.1640625" style="175" customWidth="1"/>
    <col min="6159" max="6159" width="15.1640625" style="175" customWidth="1"/>
    <col min="6160" max="6160" width="15.83203125" style="175" customWidth="1"/>
    <col min="6161" max="6161" width="15" style="175" customWidth="1"/>
    <col min="6162" max="6162" width="16.5" style="175" customWidth="1"/>
    <col min="6163" max="6163" width="14" style="175" customWidth="1"/>
    <col min="6164" max="6164" width="15.1640625" style="175" bestFit="1" customWidth="1"/>
    <col min="6165" max="6165" width="13.83203125" style="175" bestFit="1" customWidth="1"/>
    <col min="6166" max="6166" width="15.5" style="175" bestFit="1" customWidth="1"/>
    <col min="6167" max="6167" width="14.33203125" style="175" bestFit="1" customWidth="1"/>
    <col min="6168" max="6169" width="12.33203125" style="175" bestFit="1" customWidth="1"/>
    <col min="6170" max="6402" width="9.33203125" style="175"/>
    <col min="6403" max="6403" width="7.33203125" style="175" bestFit="1" customWidth="1"/>
    <col min="6404" max="6404" width="48.33203125" style="175" customWidth="1"/>
    <col min="6405" max="6405" width="9.1640625" style="175" customWidth="1"/>
    <col min="6406" max="6406" width="19" style="175" customWidth="1"/>
    <col min="6407" max="6407" width="15" style="175" customWidth="1"/>
    <col min="6408" max="6409" width="19" style="175" customWidth="1"/>
    <col min="6410" max="6410" width="15.5" style="175" customWidth="1"/>
    <col min="6411" max="6412" width="19" style="175" customWidth="1"/>
    <col min="6413" max="6414" width="16.1640625" style="175" customWidth="1"/>
    <col min="6415" max="6415" width="15.1640625" style="175" customWidth="1"/>
    <col min="6416" max="6416" width="15.83203125" style="175" customWidth="1"/>
    <col min="6417" max="6417" width="15" style="175" customWidth="1"/>
    <col min="6418" max="6418" width="16.5" style="175" customWidth="1"/>
    <col min="6419" max="6419" width="14" style="175" customWidth="1"/>
    <col min="6420" max="6420" width="15.1640625" style="175" bestFit="1" customWidth="1"/>
    <col min="6421" max="6421" width="13.83203125" style="175" bestFit="1" customWidth="1"/>
    <col min="6422" max="6422" width="15.5" style="175" bestFit="1" customWidth="1"/>
    <col min="6423" max="6423" width="14.33203125" style="175" bestFit="1" customWidth="1"/>
    <col min="6424" max="6425" width="12.33203125" style="175" bestFit="1" customWidth="1"/>
    <col min="6426" max="6658" width="9.33203125" style="175"/>
    <col min="6659" max="6659" width="7.33203125" style="175" bestFit="1" customWidth="1"/>
    <col min="6660" max="6660" width="48.33203125" style="175" customWidth="1"/>
    <col min="6661" max="6661" width="9.1640625" style="175" customWidth="1"/>
    <col min="6662" max="6662" width="19" style="175" customWidth="1"/>
    <col min="6663" max="6663" width="15" style="175" customWidth="1"/>
    <col min="6664" max="6665" width="19" style="175" customWidth="1"/>
    <col min="6666" max="6666" width="15.5" style="175" customWidth="1"/>
    <col min="6667" max="6668" width="19" style="175" customWidth="1"/>
    <col min="6669" max="6670" width="16.1640625" style="175" customWidth="1"/>
    <col min="6671" max="6671" width="15.1640625" style="175" customWidth="1"/>
    <col min="6672" max="6672" width="15.83203125" style="175" customWidth="1"/>
    <col min="6673" max="6673" width="15" style="175" customWidth="1"/>
    <col min="6674" max="6674" width="16.5" style="175" customWidth="1"/>
    <col min="6675" max="6675" width="14" style="175" customWidth="1"/>
    <col min="6676" max="6676" width="15.1640625" style="175" bestFit="1" customWidth="1"/>
    <col min="6677" max="6677" width="13.83203125" style="175" bestFit="1" customWidth="1"/>
    <col min="6678" max="6678" width="15.5" style="175" bestFit="1" customWidth="1"/>
    <col min="6679" max="6679" width="14.33203125" style="175" bestFit="1" customWidth="1"/>
    <col min="6680" max="6681" width="12.33203125" style="175" bestFit="1" customWidth="1"/>
    <col min="6682" max="6914" width="9.33203125" style="175"/>
    <col min="6915" max="6915" width="7.33203125" style="175" bestFit="1" customWidth="1"/>
    <col min="6916" max="6916" width="48.33203125" style="175" customWidth="1"/>
    <col min="6917" max="6917" width="9.1640625" style="175" customWidth="1"/>
    <col min="6918" max="6918" width="19" style="175" customWidth="1"/>
    <col min="6919" max="6919" width="15" style="175" customWidth="1"/>
    <col min="6920" max="6921" width="19" style="175" customWidth="1"/>
    <col min="6922" max="6922" width="15.5" style="175" customWidth="1"/>
    <col min="6923" max="6924" width="19" style="175" customWidth="1"/>
    <col min="6925" max="6926" width="16.1640625" style="175" customWidth="1"/>
    <col min="6927" max="6927" width="15.1640625" style="175" customWidth="1"/>
    <col min="6928" max="6928" width="15.83203125" style="175" customWidth="1"/>
    <col min="6929" max="6929" width="15" style="175" customWidth="1"/>
    <col min="6930" max="6930" width="16.5" style="175" customWidth="1"/>
    <col min="6931" max="6931" width="14" style="175" customWidth="1"/>
    <col min="6932" max="6932" width="15.1640625" style="175" bestFit="1" customWidth="1"/>
    <col min="6933" max="6933" width="13.83203125" style="175" bestFit="1" customWidth="1"/>
    <col min="6934" max="6934" width="15.5" style="175" bestFit="1" customWidth="1"/>
    <col min="6935" max="6935" width="14.33203125" style="175" bestFit="1" customWidth="1"/>
    <col min="6936" max="6937" width="12.33203125" style="175" bestFit="1" customWidth="1"/>
    <col min="6938" max="7170" width="9.33203125" style="175"/>
    <col min="7171" max="7171" width="7.33203125" style="175" bestFit="1" customWidth="1"/>
    <col min="7172" max="7172" width="48.33203125" style="175" customWidth="1"/>
    <col min="7173" max="7173" width="9.1640625" style="175" customWidth="1"/>
    <col min="7174" max="7174" width="19" style="175" customWidth="1"/>
    <col min="7175" max="7175" width="15" style="175" customWidth="1"/>
    <col min="7176" max="7177" width="19" style="175" customWidth="1"/>
    <col min="7178" max="7178" width="15.5" style="175" customWidth="1"/>
    <col min="7179" max="7180" width="19" style="175" customWidth="1"/>
    <col min="7181" max="7182" width="16.1640625" style="175" customWidth="1"/>
    <col min="7183" max="7183" width="15.1640625" style="175" customWidth="1"/>
    <col min="7184" max="7184" width="15.83203125" style="175" customWidth="1"/>
    <col min="7185" max="7185" width="15" style="175" customWidth="1"/>
    <col min="7186" max="7186" width="16.5" style="175" customWidth="1"/>
    <col min="7187" max="7187" width="14" style="175" customWidth="1"/>
    <col min="7188" max="7188" width="15.1640625" style="175" bestFit="1" customWidth="1"/>
    <col min="7189" max="7189" width="13.83203125" style="175" bestFit="1" customWidth="1"/>
    <col min="7190" max="7190" width="15.5" style="175" bestFit="1" customWidth="1"/>
    <col min="7191" max="7191" width="14.33203125" style="175" bestFit="1" customWidth="1"/>
    <col min="7192" max="7193" width="12.33203125" style="175" bestFit="1" customWidth="1"/>
    <col min="7194" max="7426" width="9.33203125" style="175"/>
    <col min="7427" max="7427" width="7.33203125" style="175" bestFit="1" customWidth="1"/>
    <col min="7428" max="7428" width="48.33203125" style="175" customWidth="1"/>
    <col min="7429" max="7429" width="9.1640625" style="175" customWidth="1"/>
    <col min="7430" max="7430" width="19" style="175" customWidth="1"/>
    <col min="7431" max="7431" width="15" style="175" customWidth="1"/>
    <col min="7432" max="7433" width="19" style="175" customWidth="1"/>
    <col min="7434" max="7434" width="15.5" style="175" customWidth="1"/>
    <col min="7435" max="7436" width="19" style="175" customWidth="1"/>
    <col min="7437" max="7438" width="16.1640625" style="175" customWidth="1"/>
    <col min="7439" max="7439" width="15.1640625" style="175" customWidth="1"/>
    <col min="7440" max="7440" width="15.83203125" style="175" customWidth="1"/>
    <col min="7441" max="7441" width="15" style="175" customWidth="1"/>
    <col min="7442" max="7442" width="16.5" style="175" customWidth="1"/>
    <col min="7443" max="7443" width="14" style="175" customWidth="1"/>
    <col min="7444" max="7444" width="15.1640625" style="175" bestFit="1" customWidth="1"/>
    <col min="7445" max="7445" width="13.83203125" style="175" bestFit="1" customWidth="1"/>
    <col min="7446" max="7446" width="15.5" style="175" bestFit="1" customWidth="1"/>
    <col min="7447" max="7447" width="14.33203125" style="175" bestFit="1" customWidth="1"/>
    <col min="7448" max="7449" width="12.33203125" style="175" bestFit="1" customWidth="1"/>
    <col min="7450" max="7682" width="9.33203125" style="175"/>
    <col min="7683" max="7683" width="7.33203125" style="175" bestFit="1" customWidth="1"/>
    <col min="7684" max="7684" width="48.33203125" style="175" customWidth="1"/>
    <col min="7685" max="7685" width="9.1640625" style="175" customWidth="1"/>
    <col min="7686" max="7686" width="19" style="175" customWidth="1"/>
    <col min="7687" max="7687" width="15" style="175" customWidth="1"/>
    <col min="7688" max="7689" width="19" style="175" customWidth="1"/>
    <col min="7690" max="7690" width="15.5" style="175" customWidth="1"/>
    <col min="7691" max="7692" width="19" style="175" customWidth="1"/>
    <col min="7693" max="7694" width="16.1640625" style="175" customWidth="1"/>
    <col min="7695" max="7695" width="15.1640625" style="175" customWidth="1"/>
    <col min="7696" max="7696" width="15.83203125" style="175" customWidth="1"/>
    <col min="7697" max="7697" width="15" style="175" customWidth="1"/>
    <col min="7698" max="7698" width="16.5" style="175" customWidth="1"/>
    <col min="7699" max="7699" width="14" style="175" customWidth="1"/>
    <col min="7700" max="7700" width="15.1640625" style="175" bestFit="1" customWidth="1"/>
    <col min="7701" max="7701" width="13.83203125" style="175" bestFit="1" customWidth="1"/>
    <col min="7702" max="7702" width="15.5" style="175" bestFit="1" customWidth="1"/>
    <col min="7703" max="7703" width="14.33203125" style="175" bestFit="1" customWidth="1"/>
    <col min="7704" max="7705" width="12.33203125" style="175" bestFit="1" customWidth="1"/>
    <col min="7706" max="7938" width="9.33203125" style="175"/>
    <col min="7939" max="7939" width="7.33203125" style="175" bestFit="1" customWidth="1"/>
    <col min="7940" max="7940" width="48.33203125" style="175" customWidth="1"/>
    <col min="7941" max="7941" width="9.1640625" style="175" customWidth="1"/>
    <col min="7942" max="7942" width="19" style="175" customWidth="1"/>
    <col min="7943" max="7943" width="15" style="175" customWidth="1"/>
    <col min="7944" max="7945" width="19" style="175" customWidth="1"/>
    <col min="7946" max="7946" width="15.5" style="175" customWidth="1"/>
    <col min="7947" max="7948" width="19" style="175" customWidth="1"/>
    <col min="7949" max="7950" width="16.1640625" style="175" customWidth="1"/>
    <col min="7951" max="7951" width="15.1640625" style="175" customWidth="1"/>
    <col min="7952" max="7952" width="15.83203125" style="175" customWidth="1"/>
    <col min="7953" max="7953" width="15" style="175" customWidth="1"/>
    <col min="7954" max="7954" width="16.5" style="175" customWidth="1"/>
    <col min="7955" max="7955" width="14" style="175" customWidth="1"/>
    <col min="7956" max="7956" width="15.1640625" style="175" bestFit="1" customWidth="1"/>
    <col min="7957" max="7957" width="13.83203125" style="175" bestFit="1" customWidth="1"/>
    <col min="7958" max="7958" width="15.5" style="175" bestFit="1" customWidth="1"/>
    <col min="7959" max="7959" width="14.33203125" style="175" bestFit="1" customWidth="1"/>
    <col min="7960" max="7961" width="12.33203125" style="175" bestFit="1" customWidth="1"/>
    <col min="7962" max="8194" width="9.33203125" style="175"/>
    <col min="8195" max="8195" width="7.33203125" style="175" bestFit="1" customWidth="1"/>
    <col min="8196" max="8196" width="48.33203125" style="175" customWidth="1"/>
    <col min="8197" max="8197" width="9.1640625" style="175" customWidth="1"/>
    <col min="8198" max="8198" width="19" style="175" customWidth="1"/>
    <col min="8199" max="8199" width="15" style="175" customWidth="1"/>
    <col min="8200" max="8201" width="19" style="175" customWidth="1"/>
    <col min="8202" max="8202" width="15.5" style="175" customWidth="1"/>
    <col min="8203" max="8204" width="19" style="175" customWidth="1"/>
    <col min="8205" max="8206" width="16.1640625" style="175" customWidth="1"/>
    <col min="8207" max="8207" width="15.1640625" style="175" customWidth="1"/>
    <col min="8208" max="8208" width="15.83203125" style="175" customWidth="1"/>
    <col min="8209" max="8209" width="15" style="175" customWidth="1"/>
    <col min="8210" max="8210" width="16.5" style="175" customWidth="1"/>
    <col min="8211" max="8211" width="14" style="175" customWidth="1"/>
    <col min="8212" max="8212" width="15.1640625" style="175" bestFit="1" customWidth="1"/>
    <col min="8213" max="8213" width="13.83203125" style="175" bestFit="1" customWidth="1"/>
    <col min="8214" max="8214" width="15.5" style="175" bestFit="1" customWidth="1"/>
    <col min="8215" max="8215" width="14.33203125" style="175" bestFit="1" customWidth="1"/>
    <col min="8216" max="8217" width="12.33203125" style="175" bestFit="1" customWidth="1"/>
    <col min="8218" max="8450" width="9.33203125" style="175"/>
    <col min="8451" max="8451" width="7.33203125" style="175" bestFit="1" customWidth="1"/>
    <col min="8452" max="8452" width="48.33203125" style="175" customWidth="1"/>
    <col min="8453" max="8453" width="9.1640625" style="175" customWidth="1"/>
    <col min="8454" max="8454" width="19" style="175" customWidth="1"/>
    <col min="8455" max="8455" width="15" style="175" customWidth="1"/>
    <col min="8456" max="8457" width="19" style="175" customWidth="1"/>
    <col min="8458" max="8458" width="15.5" style="175" customWidth="1"/>
    <col min="8459" max="8460" width="19" style="175" customWidth="1"/>
    <col min="8461" max="8462" width="16.1640625" style="175" customWidth="1"/>
    <col min="8463" max="8463" width="15.1640625" style="175" customWidth="1"/>
    <col min="8464" max="8464" width="15.83203125" style="175" customWidth="1"/>
    <col min="8465" max="8465" width="15" style="175" customWidth="1"/>
    <col min="8466" max="8466" width="16.5" style="175" customWidth="1"/>
    <col min="8467" max="8467" width="14" style="175" customWidth="1"/>
    <col min="8468" max="8468" width="15.1640625" style="175" bestFit="1" customWidth="1"/>
    <col min="8469" max="8469" width="13.83203125" style="175" bestFit="1" customWidth="1"/>
    <col min="8470" max="8470" width="15.5" style="175" bestFit="1" customWidth="1"/>
    <col min="8471" max="8471" width="14.33203125" style="175" bestFit="1" customWidth="1"/>
    <col min="8472" max="8473" width="12.33203125" style="175" bestFit="1" customWidth="1"/>
    <col min="8474" max="8706" width="9.33203125" style="175"/>
    <col min="8707" max="8707" width="7.33203125" style="175" bestFit="1" customWidth="1"/>
    <col min="8708" max="8708" width="48.33203125" style="175" customWidth="1"/>
    <col min="8709" max="8709" width="9.1640625" style="175" customWidth="1"/>
    <col min="8710" max="8710" width="19" style="175" customWidth="1"/>
    <col min="8711" max="8711" width="15" style="175" customWidth="1"/>
    <col min="8712" max="8713" width="19" style="175" customWidth="1"/>
    <col min="8714" max="8714" width="15.5" style="175" customWidth="1"/>
    <col min="8715" max="8716" width="19" style="175" customWidth="1"/>
    <col min="8717" max="8718" width="16.1640625" style="175" customWidth="1"/>
    <col min="8719" max="8719" width="15.1640625" style="175" customWidth="1"/>
    <col min="8720" max="8720" width="15.83203125" style="175" customWidth="1"/>
    <col min="8721" max="8721" width="15" style="175" customWidth="1"/>
    <col min="8722" max="8722" width="16.5" style="175" customWidth="1"/>
    <col min="8723" max="8723" width="14" style="175" customWidth="1"/>
    <col min="8724" max="8724" width="15.1640625" style="175" bestFit="1" customWidth="1"/>
    <col min="8725" max="8725" width="13.83203125" style="175" bestFit="1" customWidth="1"/>
    <col min="8726" max="8726" width="15.5" style="175" bestFit="1" customWidth="1"/>
    <col min="8727" max="8727" width="14.33203125" style="175" bestFit="1" customWidth="1"/>
    <col min="8728" max="8729" width="12.33203125" style="175" bestFit="1" customWidth="1"/>
    <col min="8730" max="8962" width="9.33203125" style="175"/>
    <col min="8963" max="8963" width="7.33203125" style="175" bestFit="1" customWidth="1"/>
    <col min="8964" max="8964" width="48.33203125" style="175" customWidth="1"/>
    <col min="8965" max="8965" width="9.1640625" style="175" customWidth="1"/>
    <col min="8966" max="8966" width="19" style="175" customWidth="1"/>
    <col min="8967" max="8967" width="15" style="175" customWidth="1"/>
    <col min="8968" max="8969" width="19" style="175" customWidth="1"/>
    <col min="8970" max="8970" width="15.5" style="175" customWidth="1"/>
    <col min="8971" max="8972" width="19" style="175" customWidth="1"/>
    <col min="8973" max="8974" width="16.1640625" style="175" customWidth="1"/>
    <col min="8975" max="8975" width="15.1640625" style="175" customWidth="1"/>
    <col min="8976" max="8976" width="15.83203125" style="175" customWidth="1"/>
    <col min="8977" max="8977" width="15" style="175" customWidth="1"/>
    <col min="8978" max="8978" width="16.5" style="175" customWidth="1"/>
    <col min="8979" max="8979" width="14" style="175" customWidth="1"/>
    <col min="8980" max="8980" width="15.1640625" style="175" bestFit="1" customWidth="1"/>
    <col min="8981" max="8981" width="13.83203125" style="175" bestFit="1" customWidth="1"/>
    <col min="8982" max="8982" width="15.5" style="175" bestFit="1" customWidth="1"/>
    <col min="8983" max="8983" width="14.33203125" style="175" bestFit="1" customWidth="1"/>
    <col min="8984" max="8985" width="12.33203125" style="175" bestFit="1" customWidth="1"/>
    <col min="8986" max="9218" width="9.33203125" style="175"/>
    <col min="9219" max="9219" width="7.33203125" style="175" bestFit="1" customWidth="1"/>
    <col min="9220" max="9220" width="48.33203125" style="175" customWidth="1"/>
    <col min="9221" max="9221" width="9.1640625" style="175" customWidth="1"/>
    <col min="9222" max="9222" width="19" style="175" customWidth="1"/>
    <col min="9223" max="9223" width="15" style="175" customWidth="1"/>
    <col min="9224" max="9225" width="19" style="175" customWidth="1"/>
    <col min="9226" max="9226" width="15.5" style="175" customWidth="1"/>
    <col min="9227" max="9228" width="19" style="175" customWidth="1"/>
    <col min="9229" max="9230" width="16.1640625" style="175" customWidth="1"/>
    <col min="9231" max="9231" width="15.1640625" style="175" customWidth="1"/>
    <col min="9232" max="9232" width="15.83203125" style="175" customWidth="1"/>
    <col min="9233" max="9233" width="15" style="175" customWidth="1"/>
    <col min="9234" max="9234" width="16.5" style="175" customWidth="1"/>
    <col min="9235" max="9235" width="14" style="175" customWidth="1"/>
    <col min="9236" max="9236" width="15.1640625" style="175" bestFit="1" customWidth="1"/>
    <col min="9237" max="9237" width="13.83203125" style="175" bestFit="1" customWidth="1"/>
    <col min="9238" max="9238" width="15.5" style="175" bestFit="1" customWidth="1"/>
    <col min="9239" max="9239" width="14.33203125" style="175" bestFit="1" customWidth="1"/>
    <col min="9240" max="9241" width="12.33203125" style="175" bestFit="1" customWidth="1"/>
    <col min="9242" max="9474" width="9.33203125" style="175"/>
    <col min="9475" max="9475" width="7.33203125" style="175" bestFit="1" customWidth="1"/>
    <col min="9476" max="9476" width="48.33203125" style="175" customWidth="1"/>
    <col min="9477" max="9477" width="9.1640625" style="175" customWidth="1"/>
    <col min="9478" max="9478" width="19" style="175" customWidth="1"/>
    <col min="9479" max="9479" width="15" style="175" customWidth="1"/>
    <col min="9480" max="9481" width="19" style="175" customWidth="1"/>
    <col min="9482" max="9482" width="15.5" style="175" customWidth="1"/>
    <col min="9483" max="9484" width="19" style="175" customWidth="1"/>
    <col min="9485" max="9486" width="16.1640625" style="175" customWidth="1"/>
    <col min="9487" max="9487" width="15.1640625" style="175" customWidth="1"/>
    <col min="9488" max="9488" width="15.83203125" style="175" customWidth="1"/>
    <col min="9489" max="9489" width="15" style="175" customWidth="1"/>
    <col min="9490" max="9490" width="16.5" style="175" customWidth="1"/>
    <col min="9491" max="9491" width="14" style="175" customWidth="1"/>
    <col min="9492" max="9492" width="15.1640625" style="175" bestFit="1" customWidth="1"/>
    <col min="9493" max="9493" width="13.83203125" style="175" bestFit="1" customWidth="1"/>
    <col min="9494" max="9494" width="15.5" style="175" bestFit="1" customWidth="1"/>
    <col min="9495" max="9495" width="14.33203125" style="175" bestFit="1" customWidth="1"/>
    <col min="9496" max="9497" width="12.33203125" style="175" bestFit="1" customWidth="1"/>
    <col min="9498" max="9730" width="9.33203125" style="175"/>
    <col min="9731" max="9731" width="7.33203125" style="175" bestFit="1" customWidth="1"/>
    <col min="9732" max="9732" width="48.33203125" style="175" customWidth="1"/>
    <col min="9733" max="9733" width="9.1640625" style="175" customWidth="1"/>
    <col min="9734" max="9734" width="19" style="175" customWidth="1"/>
    <col min="9735" max="9735" width="15" style="175" customWidth="1"/>
    <col min="9736" max="9737" width="19" style="175" customWidth="1"/>
    <col min="9738" max="9738" width="15.5" style="175" customWidth="1"/>
    <col min="9739" max="9740" width="19" style="175" customWidth="1"/>
    <col min="9741" max="9742" width="16.1640625" style="175" customWidth="1"/>
    <col min="9743" max="9743" width="15.1640625" style="175" customWidth="1"/>
    <col min="9744" max="9744" width="15.83203125" style="175" customWidth="1"/>
    <col min="9745" max="9745" width="15" style="175" customWidth="1"/>
    <col min="9746" max="9746" width="16.5" style="175" customWidth="1"/>
    <col min="9747" max="9747" width="14" style="175" customWidth="1"/>
    <col min="9748" max="9748" width="15.1640625" style="175" bestFit="1" customWidth="1"/>
    <col min="9749" max="9749" width="13.83203125" style="175" bestFit="1" customWidth="1"/>
    <col min="9750" max="9750" width="15.5" style="175" bestFit="1" customWidth="1"/>
    <col min="9751" max="9751" width="14.33203125" style="175" bestFit="1" customWidth="1"/>
    <col min="9752" max="9753" width="12.33203125" style="175" bestFit="1" customWidth="1"/>
    <col min="9754" max="9986" width="9.33203125" style="175"/>
    <col min="9987" max="9987" width="7.33203125" style="175" bestFit="1" customWidth="1"/>
    <col min="9988" max="9988" width="48.33203125" style="175" customWidth="1"/>
    <col min="9989" max="9989" width="9.1640625" style="175" customWidth="1"/>
    <col min="9990" max="9990" width="19" style="175" customWidth="1"/>
    <col min="9991" max="9991" width="15" style="175" customWidth="1"/>
    <col min="9992" max="9993" width="19" style="175" customWidth="1"/>
    <col min="9994" max="9994" width="15.5" style="175" customWidth="1"/>
    <col min="9995" max="9996" width="19" style="175" customWidth="1"/>
    <col min="9997" max="9998" width="16.1640625" style="175" customWidth="1"/>
    <col min="9999" max="9999" width="15.1640625" style="175" customWidth="1"/>
    <col min="10000" max="10000" width="15.83203125" style="175" customWidth="1"/>
    <col min="10001" max="10001" width="15" style="175" customWidth="1"/>
    <col min="10002" max="10002" width="16.5" style="175" customWidth="1"/>
    <col min="10003" max="10003" width="14" style="175" customWidth="1"/>
    <col min="10004" max="10004" width="15.1640625" style="175" bestFit="1" customWidth="1"/>
    <col min="10005" max="10005" width="13.83203125" style="175" bestFit="1" customWidth="1"/>
    <col min="10006" max="10006" width="15.5" style="175" bestFit="1" customWidth="1"/>
    <col min="10007" max="10007" width="14.33203125" style="175" bestFit="1" customWidth="1"/>
    <col min="10008" max="10009" width="12.33203125" style="175" bestFit="1" customWidth="1"/>
    <col min="10010" max="10242" width="9.33203125" style="175"/>
    <col min="10243" max="10243" width="7.33203125" style="175" bestFit="1" customWidth="1"/>
    <col min="10244" max="10244" width="48.33203125" style="175" customWidth="1"/>
    <col min="10245" max="10245" width="9.1640625" style="175" customWidth="1"/>
    <col min="10246" max="10246" width="19" style="175" customWidth="1"/>
    <col min="10247" max="10247" width="15" style="175" customWidth="1"/>
    <col min="10248" max="10249" width="19" style="175" customWidth="1"/>
    <col min="10250" max="10250" width="15.5" style="175" customWidth="1"/>
    <col min="10251" max="10252" width="19" style="175" customWidth="1"/>
    <col min="10253" max="10254" width="16.1640625" style="175" customWidth="1"/>
    <col min="10255" max="10255" width="15.1640625" style="175" customWidth="1"/>
    <col min="10256" max="10256" width="15.83203125" style="175" customWidth="1"/>
    <col min="10257" max="10257" width="15" style="175" customWidth="1"/>
    <col min="10258" max="10258" width="16.5" style="175" customWidth="1"/>
    <col min="10259" max="10259" width="14" style="175" customWidth="1"/>
    <col min="10260" max="10260" width="15.1640625" style="175" bestFit="1" customWidth="1"/>
    <col min="10261" max="10261" width="13.83203125" style="175" bestFit="1" customWidth="1"/>
    <col min="10262" max="10262" width="15.5" style="175" bestFit="1" customWidth="1"/>
    <col min="10263" max="10263" width="14.33203125" style="175" bestFit="1" customWidth="1"/>
    <col min="10264" max="10265" width="12.33203125" style="175" bestFit="1" customWidth="1"/>
    <col min="10266" max="10498" width="9.33203125" style="175"/>
    <col min="10499" max="10499" width="7.33203125" style="175" bestFit="1" customWidth="1"/>
    <col min="10500" max="10500" width="48.33203125" style="175" customWidth="1"/>
    <col min="10501" max="10501" width="9.1640625" style="175" customWidth="1"/>
    <col min="10502" max="10502" width="19" style="175" customWidth="1"/>
    <col min="10503" max="10503" width="15" style="175" customWidth="1"/>
    <col min="10504" max="10505" width="19" style="175" customWidth="1"/>
    <col min="10506" max="10506" width="15.5" style="175" customWidth="1"/>
    <col min="10507" max="10508" width="19" style="175" customWidth="1"/>
    <col min="10509" max="10510" width="16.1640625" style="175" customWidth="1"/>
    <col min="10511" max="10511" width="15.1640625" style="175" customWidth="1"/>
    <col min="10512" max="10512" width="15.83203125" style="175" customWidth="1"/>
    <col min="10513" max="10513" width="15" style="175" customWidth="1"/>
    <col min="10514" max="10514" width="16.5" style="175" customWidth="1"/>
    <col min="10515" max="10515" width="14" style="175" customWidth="1"/>
    <col min="10516" max="10516" width="15.1640625" style="175" bestFit="1" customWidth="1"/>
    <col min="10517" max="10517" width="13.83203125" style="175" bestFit="1" customWidth="1"/>
    <col min="10518" max="10518" width="15.5" style="175" bestFit="1" customWidth="1"/>
    <col min="10519" max="10519" width="14.33203125" style="175" bestFit="1" customWidth="1"/>
    <col min="10520" max="10521" width="12.33203125" style="175" bestFit="1" customWidth="1"/>
    <col min="10522" max="10754" width="9.33203125" style="175"/>
    <col min="10755" max="10755" width="7.33203125" style="175" bestFit="1" customWidth="1"/>
    <col min="10756" max="10756" width="48.33203125" style="175" customWidth="1"/>
    <col min="10757" max="10757" width="9.1640625" style="175" customWidth="1"/>
    <col min="10758" max="10758" width="19" style="175" customWidth="1"/>
    <col min="10759" max="10759" width="15" style="175" customWidth="1"/>
    <col min="10760" max="10761" width="19" style="175" customWidth="1"/>
    <col min="10762" max="10762" width="15.5" style="175" customWidth="1"/>
    <col min="10763" max="10764" width="19" style="175" customWidth="1"/>
    <col min="10765" max="10766" width="16.1640625" style="175" customWidth="1"/>
    <col min="10767" max="10767" width="15.1640625" style="175" customWidth="1"/>
    <col min="10768" max="10768" width="15.83203125" style="175" customWidth="1"/>
    <col min="10769" max="10769" width="15" style="175" customWidth="1"/>
    <col min="10770" max="10770" width="16.5" style="175" customWidth="1"/>
    <col min="10771" max="10771" width="14" style="175" customWidth="1"/>
    <col min="10772" max="10772" width="15.1640625" style="175" bestFit="1" customWidth="1"/>
    <col min="10773" max="10773" width="13.83203125" style="175" bestFit="1" customWidth="1"/>
    <col min="10774" max="10774" width="15.5" style="175" bestFit="1" customWidth="1"/>
    <col min="10775" max="10775" width="14.33203125" style="175" bestFit="1" customWidth="1"/>
    <col min="10776" max="10777" width="12.33203125" style="175" bestFit="1" customWidth="1"/>
    <col min="10778" max="11010" width="9.33203125" style="175"/>
    <col min="11011" max="11011" width="7.33203125" style="175" bestFit="1" customWidth="1"/>
    <col min="11012" max="11012" width="48.33203125" style="175" customWidth="1"/>
    <col min="11013" max="11013" width="9.1640625" style="175" customWidth="1"/>
    <col min="11014" max="11014" width="19" style="175" customWidth="1"/>
    <col min="11015" max="11015" width="15" style="175" customWidth="1"/>
    <col min="11016" max="11017" width="19" style="175" customWidth="1"/>
    <col min="11018" max="11018" width="15.5" style="175" customWidth="1"/>
    <col min="11019" max="11020" width="19" style="175" customWidth="1"/>
    <col min="11021" max="11022" width="16.1640625" style="175" customWidth="1"/>
    <col min="11023" max="11023" width="15.1640625" style="175" customWidth="1"/>
    <col min="11024" max="11024" width="15.83203125" style="175" customWidth="1"/>
    <col min="11025" max="11025" width="15" style="175" customWidth="1"/>
    <col min="11026" max="11026" width="16.5" style="175" customWidth="1"/>
    <col min="11027" max="11027" width="14" style="175" customWidth="1"/>
    <col min="11028" max="11028" width="15.1640625" style="175" bestFit="1" customWidth="1"/>
    <col min="11029" max="11029" width="13.83203125" style="175" bestFit="1" customWidth="1"/>
    <col min="11030" max="11030" width="15.5" style="175" bestFit="1" customWidth="1"/>
    <col min="11031" max="11031" width="14.33203125" style="175" bestFit="1" customWidth="1"/>
    <col min="11032" max="11033" width="12.33203125" style="175" bestFit="1" customWidth="1"/>
    <col min="11034" max="11266" width="9.33203125" style="175"/>
    <col min="11267" max="11267" width="7.33203125" style="175" bestFit="1" customWidth="1"/>
    <col min="11268" max="11268" width="48.33203125" style="175" customWidth="1"/>
    <col min="11269" max="11269" width="9.1640625" style="175" customWidth="1"/>
    <col min="11270" max="11270" width="19" style="175" customWidth="1"/>
    <col min="11271" max="11271" width="15" style="175" customWidth="1"/>
    <col min="11272" max="11273" width="19" style="175" customWidth="1"/>
    <col min="11274" max="11274" width="15.5" style="175" customWidth="1"/>
    <col min="11275" max="11276" width="19" style="175" customWidth="1"/>
    <col min="11277" max="11278" width="16.1640625" style="175" customWidth="1"/>
    <col min="11279" max="11279" width="15.1640625" style="175" customWidth="1"/>
    <col min="11280" max="11280" width="15.83203125" style="175" customWidth="1"/>
    <col min="11281" max="11281" width="15" style="175" customWidth="1"/>
    <col min="11282" max="11282" width="16.5" style="175" customWidth="1"/>
    <col min="11283" max="11283" width="14" style="175" customWidth="1"/>
    <col min="11284" max="11284" width="15.1640625" style="175" bestFit="1" customWidth="1"/>
    <col min="11285" max="11285" width="13.83203125" style="175" bestFit="1" customWidth="1"/>
    <col min="11286" max="11286" width="15.5" style="175" bestFit="1" customWidth="1"/>
    <col min="11287" max="11287" width="14.33203125" style="175" bestFit="1" customWidth="1"/>
    <col min="11288" max="11289" width="12.33203125" style="175" bestFit="1" customWidth="1"/>
    <col min="11290" max="11522" width="9.33203125" style="175"/>
    <col min="11523" max="11523" width="7.33203125" style="175" bestFit="1" customWidth="1"/>
    <col min="11524" max="11524" width="48.33203125" style="175" customWidth="1"/>
    <col min="11525" max="11525" width="9.1640625" style="175" customWidth="1"/>
    <col min="11526" max="11526" width="19" style="175" customWidth="1"/>
    <col min="11527" max="11527" width="15" style="175" customWidth="1"/>
    <col min="11528" max="11529" width="19" style="175" customWidth="1"/>
    <col min="11530" max="11530" width="15.5" style="175" customWidth="1"/>
    <col min="11531" max="11532" width="19" style="175" customWidth="1"/>
    <col min="11533" max="11534" width="16.1640625" style="175" customWidth="1"/>
    <col min="11535" max="11535" width="15.1640625" style="175" customWidth="1"/>
    <col min="11536" max="11536" width="15.83203125" style="175" customWidth="1"/>
    <col min="11537" max="11537" width="15" style="175" customWidth="1"/>
    <col min="11538" max="11538" width="16.5" style="175" customWidth="1"/>
    <col min="11539" max="11539" width="14" style="175" customWidth="1"/>
    <col min="11540" max="11540" width="15.1640625" style="175" bestFit="1" customWidth="1"/>
    <col min="11541" max="11541" width="13.83203125" style="175" bestFit="1" customWidth="1"/>
    <col min="11542" max="11542" width="15.5" style="175" bestFit="1" customWidth="1"/>
    <col min="11543" max="11543" width="14.33203125" style="175" bestFit="1" customWidth="1"/>
    <col min="11544" max="11545" width="12.33203125" style="175" bestFit="1" customWidth="1"/>
    <col min="11546" max="11778" width="9.33203125" style="175"/>
    <col min="11779" max="11779" width="7.33203125" style="175" bestFit="1" customWidth="1"/>
    <col min="11780" max="11780" width="48.33203125" style="175" customWidth="1"/>
    <col min="11781" max="11781" width="9.1640625" style="175" customWidth="1"/>
    <col min="11782" max="11782" width="19" style="175" customWidth="1"/>
    <col min="11783" max="11783" width="15" style="175" customWidth="1"/>
    <col min="11784" max="11785" width="19" style="175" customWidth="1"/>
    <col min="11786" max="11786" width="15.5" style="175" customWidth="1"/>
    <col min="11787" max="11788" width="19" style="175" customWidth="1"/>
    <col min="11789" max="11790" width="16.1640625" style="175" customWidth="1"/>
    <col min="11791" max="11791" width="15.1640625" style="175" customWidth="1"/>
    <col min="11792" max="11792" width="15.83203125" style="175" customWidth="1"/>
    <col min="11793" max="11793" width="15" style="175" customWidth="1"/>
    <col min="11794" max="11794" width="16.5" style="175" customWidth="1"/>
    <col min="11795" max="11795" width="14" style="175" customWidth="1"/>
    <col min="11796" max="11796" width="15.1640625" style="175" bestFit="1" customWidth="1"/>
    <col min="11797" max="11797" width="13.83203125" style="175" bestFit="1" customWidth="1"/>
    <col min="11798" max="11798" width="15.5" style="175" bestFit="1" customWidth="1"/>
    <col min="11799" max="11799" width="14.33203125" style="175" bestFit="1" customWidth="1"/>
    <col min="11800" max="11801" width="12.33203125" style="175" bestFit="1" customWidth="1"/>
    <col min="11802" max="12034" width="9.33203125" style="175"/>
    <col min="12035" max="12035" width="7.33203125" style="175" bestFit="1" customWidth="1"/>
    <col min="12036" max="12036" width="48.33203125" style="175" customWidth="1"/>
    <col min="12037" max="12037" width="9.1640625" style="175" customWidth="1"/>
    <col min="12038" max="12038" width="19" style="175" customWidth="1"/>
    <col min="12039" max="12039" width="15" style="175" customWidth="1"/>
    <col min="12040" max="12041" width="19" style="175" customWidth="1"/>
    <col min="12042" max="12042" width="15.5" style="175" customWidth="1"/>
    <col min="12043" max="12044" width="19" style="175" customWidth="1"/>
    <col min="12045" max="12046" width="16.1640625" style="175" customWidth="1"/>
    <col min="12047" max="12047" width="15.1640625" style="175" customWidth="1"/>
    <col min="12048" max="12048" width="15.83203125" style="175" customWidth="1"/>
    <col min="12049" max="12049" width="15" style="175" customWidth="1"/>
    <col min="12050" max="12050" width="16.5" style="175" customWidth="1"/>
    <col min="12051" max="12051" width="14" style="175" customWidth="1"/>
    <col min="12052" max="12052" width="15.1640625" style="175" bestFit="1" customWidth="1"/>
    <col min="12053" max="12053" width="13.83203125" style="175" bestFit="1" customWidth="1"/>
    <col min="12054" max="12054" width="15.5" style="175" bestFit="1" customWidth="1"/>
    <col min="12055" max="12055" width="14.33203125" style="175" bestFit="1" customWidth="1"/>
    <col min="12056" max="12057" width="12.33203125" style="175" bestFit="1" customWidth="1"/>
    <col min="12058" max="12290" width="9.33203125" style="175"/>
    <col min="12291" max="12291" width="7.33203125" style="175" bestFit="1" customWidth="1"/>
    <col min="12292" max="12292" width="48.33203125" style="175" customWidth="1"/>
    <col min="12293" max="12293" width="9.1640625" style="175" customWidth="1"/>
    <col min="12294" max="12294" width="19" style="175" customWidth="1"/>
    <col min="12295" max="12295" width="15" style="175" customWidth="1"/>
    <col min="12296" max="12297" width="19" style="175" customWidth="1"/>
    <col min="12298" max="12298" width="15.5" style="175" customWidth="1"/>
    <col min="12299" max="12300" width="19" style="175" customWidth="1"/>
    <col min="12301" max="12302" width="16.1640625" style="175" customWidth="1"/>
    <col min="12303" max="12303" width="15.1640625" style="175" customWidth="1"/>
    <col min="12304" max="12304" width="15.83203125" style="175" customWidth="1"/>
    <col min="12305" max="12305" width="15" style="175" customWidth="1"/>
    <col min="12306" max="12306" width="16.5" style="175" customWidth="1"/>
    <col min="12307" max="12307" width="14" style="175" customWidth="1"/>
    <col min="12308" max="12308" width="15.1640625" style="175" bestFit="1" customWidth="1"/>
    <col min="12309" max="12309" width="13.83203125" style="175" bestFit="1" customWidth="1"/>
    <col min="12310" max="12310" width="15.5" style="175" bestFit="1" customWidth="1"/>
    <col min="12311" max="12311" width="14.33203125" style="175" bestFit="1" customWidth="1"/>
    <col min="12312" max="12313" width="12.33203125" style="175" bestFit="1" customWidth="1"/>
    <col min="12314" max="12546" width="9.33203125" style="175"/>
    <col min="12547" max="12547" width="7.33203125" style="175" bestFit="1" customWidth="1"/>
    <col min="12548" max="12548" width="48.33203125" style="175" customWidth="1"/>
    <col min="12549" max="12549" width="9.1640625" style="175" customWidth="1"/>
    <col min="12550" max="12550" width="19" style="175" customWidth="1"/>
    <col min="12551" max="12551" width="15" style="175" customWidth="1"/>
    <col min="12552" max="12553" width="19" style="175" customWidth="1"/>
    <col min="12554" max="12554" width="15.5" style="175" customWidth="1"/>
    <col min="12555" max="12556" width="19" style="175" customWidth="1"/>
    <col min="12557" max="12558" width="16.1640625" style="175" customWidth="1"/>
    <col min="12559" max="12559" width="15.1640625" style="175" customWidth="1"/>
    <col min="12560" max="12560" width="15.83203125" style="175" customWidth="1"/>
    <col min="12561" max="12561" width="15" style="175" customWidth="1"/>
    <col min="12562" max="12562" width="16.5" style="175" customWidth="1"/>
    <col min="12563" max="12563" width="14" style="175" customWidth="1"/>
    <col min="12564" max="12564" width="15.1640625" style="175" bestFit="1" customWidth="1"/>
    <col min="12565" max="12565" width="13.83203125" style="175" bestFit="1" customWidth="1"/>
    <col min="12566" max="12566" width="15.5" style="175" bestFit="1" customWidth="1"/>
    <col min="12567" max="12567" width="14.33203125" style="175" bestFit="1" customWidth="1"/>
    <col min="12568" max="12569" width="12.33203125" style="175" bestFit="1" customWidth="1"/>
    <col min="12570" max="12802" width="9.33203125" style="175"/>
    <col min="12803" max="12803" width="7.33203125" style="175" bestFit="1" customWidth="1"/>
    <col min="12804" max="12804" width="48.33203125" style="175" customWidth="1"/>
    <col min="12805" max="12805" width="9.1640625" style="175" customWidth="1"/>
    <col min="12806" max="12806" width="19" style="175" customWidth="1"/>
    <col min="12807" max="12807" width="15" style="175" customWidth="1"/>
    <col min="12808" max="12809" width="19" style="175" customWidth="1"/>
    <col min="12810" max="12810" width="15.5" style="175" customWidth="1"/>
    <col min="12811" max="12812" width="19" style="175" customWidth="1"/>
    <col min="12813" max="12814" width="16.1640625" style="175" customWidth="1"/>
    <col min="12815" max="12815" width="15.1640625" style="175" customWidth="1"/>
    <col min="12816" max="12816" width="15.83203125" style="175" customWidth="1"/>
    <col min="12817" max="12817" width="15" style="175" customWidth="1"/>
    <col min="12818" max="12818" width="16.5" style="175" customWidth="1"/>
    <col min="12819" max="12819" width="14" style="175" customWidth="1"/>
    <col min="12820" max="12820" width="15.1640625" style="175" bestFit="1" customWidth="1"/>
    <col min="12821" max="12821" width="13.83203125" style="175" bestFit="1" customWidth="1"/>
    <col min="12822" max="12822" width="15.5" style="175" bestFit="1" customWidth="1"/>
    <col min="12823" max="12823" width="14.33203125" style="175" bestFit="1" customWidth="1"/>
    <col min="12824" max="12825" width="12.33203125" style="175" bestFit="1" customWidth="1"/>
    <col min="12826" max="13058" width="9.33203125" style="175"/>
    <col min="13059" max="13059" width="7.33203125" style="175" bestFit="1" customWidth="1"/>
    <col min="13060" max="13060" width="48.33203125" style="175" customWidth="1"/>
    <col min="13061" max="13061" width="9.1640625" style="175" customWidth="1"/>
    <col min="13062" max="13062" width="19" style="175" customWidth="1"/>
    <col min="13063" max="13063" width="15" style="175" customWidth="1"/>
    <col min="13064" max="13065" width="19" style="175" customWidth="1"/>
    <col min="13066" max="13066" width="15.5" style="175" customWidth="1"/>
    <col min="13067" max="13068" width="19" style="175" customWidth="1"/>
    <col min="13069" max="13070" width="16.1640625" style="175" customWidth="1"/>
    <col min="13071" max="13071" width="15.1640625" style="175" customWidth="1"/>
    <col min="13072" max="13072" width="15.83203125" style="175" customWidth="1"/>
    <col min="13073" max="13073" width="15" style="175" customWidth="1"/>
    <col min="13074" max="13074" width="16.5" style="175" customWidth="1"/>
    <col min="13075" max="13075" width="14" style="175" customWidth="1"/>
    <col min="13076" max="13076" width="15.1640625" style="175" bestFit="1" customWidth="1"/>
    <col min="13077" max="13077" width="13.83203125" style="175" bestFit="1" customWidth="1"/>
    <col min="13078" max="13078" width="15.5" style="175" bestFit="1" customWidth="1"/>
    <col min="13079" max="13079" width="14.33203125" style="175" bestFit="1" customWidth="1"/>
    <col min="13080" max="13081" width="12.33203125" style="175" bestFit="1" customWidth="1"/>
    <col min="13082" max="13314" width="9.33203125" style="175"/>
    <col min="13315" max="13315" width="7.33203125" style="175" bestFit="1" customWidth="1"/>
    <col min="13316" max="13316" width="48.33203125" style="175" customWidth="1"/>
    <col min="13317" max="13317" width="9.1640625" style="175" customWidth="1"/>
    <col min="13318" max="13318" width="19" style="175" customWidth="1"/>
    <col min="13319" max="13319" width="15" style="175" customWidth="1"/>
    <col min="13320" max="13321" width="19" style="175" customWidth="1"/>
    <col min="13322" max="13322" width="15.5" style="175" customWidth="1"/>
    <col min="13323" max="13324" width="19" style="175" customWidth="1"/>
    <col min="13325" max="13326" width="16.1640625" style="175" customWidth="1"/>
    <col min="13327" max="13327" width="15.1640625" style="175" customWidth="1"/>
    <col min="13328" max="13328" width="15.83203125" style="175" customWidth="1"/>
    <col min="13329" max="13329" width="15" style="175" customWidth="1"/>
    <col min="13330" max="13330" width="16.5" style="175" customWidth="1"/>
    <col min="13331" max="13331" width="14" style="175" customWidth="1"/>
    <col min="13332" max="13332" width="15.1640625" style="175" bestFit="1" customWidth="1"/>
    <col min="13333" max="13333" width="13.83203125" style="175" bestFit="1" customWidth="1"/>
    <col min="13334" max="13334" width="15.5" style="175" bestFit="1" customWidth="1"/>
    <col min="13335" max="13335" width="14.33203125" style="175" bestFit="1" customWidth="1"/>
    <col min="13336" max="13337" width="12.33203125" style="175" bestFit="1" customWidth="1"/>
    <col min="13338" max="13570" width="9.33203125" style="175"/>
    <col min="13571" max="13571" width="7.33203125" style="175" bestFit="1" customWidth="1"/>
    <col min="13572" max="13572" width="48.33203125" style="175" customWidth="1"/>
    <col min="13573" max="13573" width="9.1640625" style="175" customWidth="1"/>
    <col min="13574" max="13574" width="19" style="175" customWidth="1"/>
    <col min="13575" max="13575" width="15" style="175" customWidth="1"/>
    <col min="13576" max="13577" width="19" style="175" customWidth="1"/>
    <col min="13578" max="13578" width="15.5" style="175" customWidth="1"/>
    <col min="13579" max="13580" width="19" style="175" customWidth="1"/>
    <col min="13581" max="13582" width="16.1640625" style="175" customWidth="1"/>
    <col min="13583" max="13583" width="15.1640625" style="175" customWidth="1"/>
    <col min="13584" max="13584" width="15.83203125" style="175" customWidth="1"/>
    <col min="13585" max="13585" width="15" style="175" customWidth="1"/>
    <col min="13586" max="13586" width="16.5" style="175" customWidth="1"/>
    <col min="13587" max="13587" width="14" style="175" customWidth="1"/>
    <col min="13588" max="13588" width="15.1640625" style="175" bestFit="1" customWidth="1"/>
    <col min="13589" max="13589" width="13.83203125" style="175" bestFit="1" customWidth="1"/>
    <col min="13590" max="13590" width="15.5" style="175" bestFit="1" customWidth="1"/>
    <col min="13591" max="13591" width="14.33203125" style="175" bestFit="1" customWidth="1"/>
    <col min="13592" max="13593" width="12.33203125" style="175" bestFit="1" customWidth="1"/>
    <col min="13594" max="13826" width="9.33203125" style="175"/>
    <col min="13827" max="13827" width="7.33203125" style="175" bestFit="1" customWidth="1"/>
    <col min="13828" max="13828" width="48.33203125" style="175" customWidth="1"/>
    <col min="13829" max="13829" width="9.1640625" style="175" customWidth="1"/>
    <col min="13830" max="13830" width="19" style="175" customWidth="1"/>
    <col min="13831" max="13831" width="15" style="175" customWidth="1"/>
    <col min="13832" max="13833" width="19" style="175" customWidth="1"/>
    <col min="13834" max="13834" width="15.5" style="175" customWidth="1"/>
    <col min="13835" max="13836" width="19" style="175" customWidth="1"/>
    <col min="13837" max="13838" width="16.1640625" style="175" customWidth="1"/>
    <col min="13839" max="13839" width="15.1640625" style="175" customWidth="1"/>
    <col min="13840" max="13840" width="15.83203125" style="175" customWidth="1"/>
    <col min="13841" max="13841" width="15" style="175" customWidth="1"/>
    <col min="13842" max="13842" width="16.5" style="175" customWidth="1"/>
    <col min="13843" max="13843" width="14" style="175" customWidth="1"/>
    <col min="13844" max="13844" width="15.1640625" style="175" bestFit="1" customWidth="1"/>
    <col min="13845" max="13845" width="13.83203125" style="175" bestFit="1" customWidth="1"/>
    <col min="13846" max="13846" width="15.5" style="175" bestFit="1" customWidth="1"/>
    <col min="13847" max="13847" width="14.33203125" style="175" bestFit="1" customWidth="1"/>
    <col min="13848" max="13849" width="12.33203125" style="175" bestFit="1" customWidth="1"/>
    <col min="13850" max="14082" width="9.33203125" style="175"/>
    <col min="14083" max="14083" width="7.33203125" style="175" bestFit="1" customWidth="1"/>
    <col min="14084" max="14084" width="48.33203125" style="175" customWidth="1"/>
    <col min="14085" max="14085" width="9.1640625" style="175" customWidth="1"/>
    <col min="14086" max="14086" width="19" style="175" customWidth="1"/>
    <col min="14087" max="14087" width="15" style="175" customWidth="1"/>
    <col min="14088" max="14089" width="19" style="175" customWidth="1"/>
    <col min="14090" max="14090" width="15.5" style="175" customWidth="1"/>
    <col min="14091" max="14092" width="19" style="175" customWidth="1"/>
    <col min="14093" max="14094" width="16.1640625" style="175" customWidth="1"/>
    <col min="14095" max="14095" width="15.1640625" style="175" customWidth="1"/>
    <col min="14096" max="14096" width="15.83203125" style="175" customWidth="1"/>
    <col min="14097" max="14097" width="15" style="175" customWidth="1"/>
    <col min="14098" max="14098" width="16.5" style="175" customWidth="1"/>
    <col min="14099" max="14099" width="14" style="175" customWidth="1"/>
    <col min="14100" max="14100" width="15.1640625" style="175" bestFit="1" customWidth="1"/>
    <col min="14101" max="14101" width="13.83203125" style="175" bestFit="1" customWidth="1"/>
    <col min="14102" max="14102" width="15.5" style="175" bestFit="1" customWidth="1"/>
    <col min="14103" max="14103" width="14.33203125" style="175" bestFit="1" customWidth="1"/>
    <col min="14104" max="14105" width="12.33203125" style="175" bestFit="1" customWidth="1"/>
    <col min="14106" max="14338" width="9.33203125" style="175"/>
    <col min="14339" max="14339" width="7.33203125" style="175" bestFit="1" customWidth="1"/>
    <col min="14340" max="14340" width="48.33203125" style="175" customWidth="1"/>
    <col min="14341" max="14341" width="9.1640625" style="175" customWidth="1"/>
    <col min="14342" max="14342" width="19" style="175" customWidth="1"/>
    <col min="14343" max="14343" width="15" style="175" customWidth="1"/>
    <col min="14344" max="14345" width="19" style="175" customWidth="1"/>
    <col min="14346" max="14346" width="15.5" style="175" customWidth="1"/>
    <col min="14347" max="14348" width="19" style="175" customWidth="1"/>
    <col min="14349" max="14350" width="16.1640625" style="175" customWidth="1"/>
    <col min="14351" max="14351" width="15.1640625" style="175" customWidth="1"/>
    <col min="14352" max="14352" width="15.83203125" style="175" customWidth="1"/>
    <col min="14353" max="14353" width="15" style="175" customWidth="1"/>
    <col min="14354" max="14354" width="16.5" style="175" customWidth="1"/>
    <col min="14355" max="14355" width="14" style="175" customWidth="1"/>
    <col min="14356" max="14356" width="15.1640625" style="175" bestFit="1" customWidth="1"/>
    <col min="14357" max="14357" width="13.83203125" style="175" bestFit="1" customWidth="1"/>
    <col min="14358" max="14358" width="15.5" style="175" bestFit="1" customWidth="1"/>
    <col min="14359" max="14359" width="14.33203125" style="175" bestFit="1" customWidth="1"/>
    <col min="14360" max="14361" width="12.33203125" style="175" bestFit="1" customWidth="1"/>
    <col min="14362" max="14594" width="9.33203125" style="175"/>
    <col min="14595" max="14595" width="7.33203125" style="175" bestFit="1" customWidth="1"/>
    <col min="14596" max="14596" width="48.33203125" style="175" customWidth="1"/>
    <col min="14597" max="14597" width="9.1640625" style="175" customWidth="1"/>
    <col min="14598" max="14598" width="19" style="175" customWidth="1"/>
    <col min="14599" max="14599" width="15" style="175" customWidth="1"/>
    <col min="14600" max="14601" width="19" style="175" customWidth="1"/>
    <col min="14602" max="14602" width="15.5" style="175" customWidth="1"/>
    <col min="14603" max="14604" width="19" style="175" customWidth="1"/>
    <col min="14605" max="14606" width="16.1640625" style="175" customWidth="1"/>
    <col min="14607" max="14607" width="15.1640625" style="175" customWidth="1"/>
    <col min="14608" max="14608" width="15.83203125" style="175" customWidth="1"/>
    <col min="14609" max="14609" width="15" style="175" customWidth="1"/>
    <col min="14610" max="14610" width="16.5" style="175" customWidth="1"/>
    <col min="14611" max="14611" width="14" style="175" customWidth="1"/>
    <col min="14612" max="14612" width="15.1640625" style="175" bestFit="1" customWidth="1"/>
    <col min="14613" max="14613" width="13.83203125" style="175" bestFit="1" customWidth="1"/>
    <col min="14614" max="14614" width="15.5" style="175" bestFit="1" customWidth="1"/>
    <col min="14615" max="14615" width="14.33203125" style="175" bestFit="1" customWidth="1"/>
    <col min="14616" max="14617" width="12.33203125" style="175" bestFit="1" customWidth="1"/>
    <col min="14618" max="14850" width="9.33203125" style="175"/>
    <col min="14851" max="14851" width="7.33203125" style="175" bestFit="1" customWidth="1"/>
    <col min="14852" max="14852" width="48.33203125" style="175" customWidth="1"/>
    <col min="14853" max="14853" width="9.1640625" style="175" customWidth="1"/>
    <col min="14854" max="14854" width="19" style="175" customWidth="1"/>
    <col min="14855" max="14855" width="15" style="175" customWidth="1"/>
    <col min="14856" max="14857" width="19" style="175" customWidth="1"/>
    <col min="14858" max="14858" width="15.5" style="175" customWidth="1"/>
    <col min="14859" max="14860" width="19" style="175" customWidth="1"/>
    <col min="14861" max="14862" width="16.1640625" style="175" customWidth="1"/>
    <col min="14863" max="14863" width="15.1640625" style="175" customWidth="1"/>
    <col min="14864" max="14864" width="15.83203125" style="175" customWidth="1"/>
    <col min="14865" max="14865" width="15" style="175" customWidth="1"/>
    <col min="14866" max="14866" width="16.5" style="175" customWidth="1"/>
    <col min="14867" max="14867" width="14" style="175" customWidth="1"/>
    <col min="14868" max="14868" width="15.1640625" style="175" bestFit="1" customWidth="1"/>
    <col min="14869" max="14869" width="13.83203125" style="175" bestFit="1" customWidth="1"/>
    <col min="14870" max="14870" width="15.5" style="175" bestFit="1" customWidth="1"/>
    <col min="14871" max="14871" width="14.33203125" style="175" bestFit="1" customWidth="1"/>
    <col min="14872" max="14873" width="12.33203125" style="175" bestFit="1" customWidth="1"/>
    <col min="14874" max="15106" width="9.33203125" style="175"/>
    <col min="15107" max="15107" width="7.33203125" style="175" bestFit="1" customWidth="1"/>
    <col min="15108" max="15108" width="48.33203125" style="175" customWidth="1"/>
    <col min="15109" max="15109" width="9.1640625" style="175" customWidth="1"/>
    <col min="15110" max="15110" width="19" style="175" customWidth="1"/>
    <col min="15111" max="15111" width="15" style="175" customWidth="1"/>
    <col min="15112" max="15113" width="19" style="175" customWidth="1"/>
    <col min="15114" max="15114" width="15.5" style="175" customWidth="1"/>
    <col min="15115" max="15116" width="19" style="175" customWidth="1"/>
    <col min="15117" max="15118" width="16.1640625" style="175" customWidth="1"/>
    <col min="15119" max="15119" width="15.1640625" style="175" customWidth="1"/>
    <col min="15120" max="15120" width="15.83203125" style="175" customWidth="1"/>
    <col min="15121" max="15121" width="15" style="175" customWidth="1"/>
    <col min="15122" max="15122" width="16.5" style="175" customWidth="1"/>
    <col min="15123" max="15123" width="14" style="175" customWidth="1"/>
    <col min="15124" max="15124" width="15.1640625" style="175" bestFit="1" customWidth="1"/>
    <col min="15125" max="15125" width="13.83203125" style="175" bestFit="1" customWidth="1"/>
    <col min="15126" max="15126" width="15.5" style="175" bestFit="1" customWidth="1"/>
    <col min="15127" max="15127" width="14.33203125" style="175" bestFit="1" customWidth="1"/>
    <col min="15128" max="15129" width="12.33203125" style="175" bestFit="1" customWidth="1"/>
    <col min="15130" max="15362" width="9.33203125" style="175"/>
    <col min="15363" max="15363" width="7.33203125" style="175" bestFit="1" customWidth="1"/>
    <col min="15364" max="15364" width="48.33203125" style="175" customWidth="1"/>
    <col min="15365" max="15365" width="9.1640625" style="175" customWidth="1"/>
    <col min="15366" max="15366" width="19" style="175" customWidth="1"/>
    <col min="15367" max="15367" width="15" style="175" customWidth="1"/>
    <col min="15368" max="15369" width="19" style="175" customWidth="1"/>
    <col min="15370" max="15370" width="15.5" style="175" customWidth="1"/>
    <col min="15371" max="15372" width="19" style="175" customWidth="1"/>
    <col min="15373" max="15374" width="16.1640625" style="175" customWidth="1"/>
    <col min="15375" max="15375" width="15.1640625" style="175" customWidth="1"/>
    <col min="15376" max="15376" width="15.83203125" style="175" customWidth="1"/>
    <col min="15377" max="15377" width="15" style="175" customWidth="1"/>
    <col min="15378" max="15378" width="16.5" style="175" customWidth="1"/>
    <col min="15379" max="15379" width="14" style="175" customWidth="1"/>
    <col min="15380" max="15380" width="15.1640625" style="175" bestFit="1" customWidth="1"/>
    <col min="15381" max="15381" width="13.83203125" style="175" bestFit="1" customWidth="1"/>
    <col min="15382" max="15382" width="15.5" style="175" bestFit="1" customWidth="1"/>
    <col min="15383" max="15383" width="14.33203125" style="175" bestFit="1" customWidth="1"/>
    <col min="15384" max="15385" width="12.33203125" style="175" bestFit="1" customWidth="1"/>
    <col min="15386" max="15618" width="9.33203125" style="175"/>
    <col min="15619" max="15619" width="7.33203125" style="175" bestFit="1" customWidth="1"/>
    <col min="15620" max="15620" width="48.33203125" style="175" customWidth="1"/>
    <col min="15621" max="15621" width="9.1640625" style="175" customWidth="1"/>
    <col min="15622" max="15622" width="19" style="175" customWidth="1"/>
    <col min="15623" max="15623" width="15" style="175" customWidth="1"/>
    <col min="15624" max="15625" width="19" style="175" customWidth="1"/>
    <col min="15626" max="15626" width="15.5" style="175" customWidth="1"/>
    <col min="15627" max="15628" width="19" style="175" customWidth="1"/>
    <col min="15629" max="15630" width="16.1640625" style="175" customWidth="1"/>
    <col min="15631" max="15631" width="15.1640625" style="175" customWidth="1"/>
    <col min="15632" max="15632" width="15.83203125" style="175" customWidth="1"/>
    <col min="15633" max="15633" width="15" style="175" customWidth="1"/>
    <col min="15634" max="15634" width="16.5" style="175" customWidth="1"/>
    <col min="15635" max="15635" width="14" style="175" customWidth="1"/>
    <col min="15636" max="15636" width="15.1640625" style="175" bestFit="1" customWidth="1"/>
    <col min="15637" max="15637" width="13.83203125" style="175" bestFit="1" customWidth="1"/>
    <col min="15638" max="15638" width="15.5" style="175" bestFit="1" customWidth="1"/>
    <col min="15639" max="15639" width="14.33203125" style="175" bestFit="1" customWidth="1"/>
    <col min="15640" max="15641" width="12.33203125" style="175" bestFit="1" customWidth="1"/>
    <col min="15642" max="15874" width="9.33203125" style="175"/>
    <col min="15875" max="15875" width="7.33203125" style="175" bestFit="1" customWidth="1"/>
    <col min="15876" max="15876" width="48.33203125" style="175" customWidth="1"/>
    <col min="15877" max="15877" width="9.1640625" style="175" customWidth="1"/>
    <col min="15878" max="15878" width="19" style="175" customWidth="1"/>
    <col min="15879" max="15879" width="15" style="175" customWidth="1"/>
    <col min="15880" max="15881" width="19" style="175" customWidth="1"/>
    <col min="15882" max="15882" width="15.5" style="175" customWidth="1"/>
    <col min="15883" max="15884" width="19" style="175" customWidth="1"/>
    <col min="15885" max="15886" width="16.1640625" style="175" customWidth="1"/>
    <col min="15887" max="15887" width="15.1640625" style="175" customWidth="1"/>
    <col min="15888" max="15888" width="15.83203125" style="175" customWidth="1"/>
    <col min="15889" max="15889" width="15" style="175" customWidth="1"/>
    <col min="15890" max="15890" width="16.5" style="175" customWidth="1"/>
    <col min="15891" max="15891" width="14" style="175" customWidth="1"/>
    <col min="15892" max="15892" width="15.1640625" style="175" bestFit="1" customWidth="1"/>
    <col min="15893" max="15893" width="13.83203125" style="175" bestFit="1" customWidth="1"/>
    <col min="15894" max="15894" width="15.5" style="175" bestFit="1" customWidth="1"/>
    <col min="15895" max="15895" width="14.33203125" style="175" bestFit="1" customWidth="1"/>
    <col min="15896" max="15897" width="12.33203125" style="175" bestFit="1" customWidth="1"/>
    <col min="15898" max="16130" width="9.33203125" style="175"/>
    <col min="16131" max="16131" width="7.33203125" style="175" bestFit="1" customWidth="1"/>
    <col min="16132" max="16132" width="48.33203125" style="175" customWidth="1"/>
    <col min="16133" max="16133" width="9.1640625" style="175" customWidth="1"/>
    <col min="16134" max="16134" width="19" style="175" customWidth="1"/>
    <col min="16135" max="16135" width="15" style="175" customWidth="1"/>
    <col min="16136" max="16137" width="19" style="175" customWidth="1"/>
    <col min="16138" max="16138" width="15.5" style="175" customWidth="1"/>
    <col min="16139" max="16140" width="19" style="175" customWidth="1"/>
    <col min="16141" max="16142" width="16.1640625" style="175" customWidth="1"/>
    <col min="16143" max="16143" width="15.1640625" style="175" customWidth="1"/>
    <col min="16144" max="16144" width="15.83203125" style="175" customWidth="1"/>
    <col min="16145" max="16145" width="15" style="175" customWidth="1"/>
    <col min="16146" max="16146" width="16.5" style="175" customWidth="1"/>
    <col min="16147" max="16147" width="14" style="175" customWidth="1"/>
    <col min="16148" max="16148" width="15.1640625" style="175" bestFit="1" customWidth="1"/>
    <col min="16149" max="16149" width="13.83203125" style="175" bestFit="1" customWidth="1"/>
    <col min="16150" max="16150" width="15.5" style="175" bestFit="1" customWidth="1"/>
    <col min="16151" max="16151" width="14.33203125" style="175" bestFit="1" customWidth="1"/>
    <col min="16152" max="16153" width="12.33203125" style="175" bestFit="1" customWidth="1"/>
    <col min="16154" max="16384" width="9.33203125" style="175"/>
  </cols>
  <sheetData>
    <row r="1" spans="1:25" x14ac:dyDescent="0.25">
      <c r="A1" s="393"/>
      <c r="B1" s="298" t="s">
        <v>0</v>
      </c>
      <c r="C1" s="394"/>
      <c r="D1" s="394"/>
      <c r="E1" s="394"/>
      <c r="F1" s="394"/>
      <c r="G1" s="395"/>
      <c r="H1" s="394"/>
      <c r="I1" s="396"/>
      <c r="J1" s="396"/>
      <c r="K1" s="396"/>
    </row>
    <row r="2" spans="1:25" x14ac:dyDescent="0.25">
      <c r="A2" s="399"/>
      <c r="B2" s="300" t="s">
        <v>210</v>
      </c>
      <c r="C2" s="400"/>
      <c r="D2" s="400"/>
      <c r="E2" s="400"/>
      <c r="F2" s="400"/>
      <c r="G2" s="400"/>
      <c r="H2" s="400"/>
    </row>
    <row r="3" spans="1:25" x14ac:dyDescent="0.25">
      <c r="A3" s="399"/>
      <c r="B3" s="300" t="s">
        <v>1</v>
      </c>
      <c r="C3" s="400"/>
      <c r="D3" s="400"/>
      <c r="E3" s="400"/>
      <c r="F3" s="400"/>
      <c r="G3" s="400"/>
      <c r="H3" s="400"/>
    </row>
    <row r="4" spans="1:25" s="403" customFormat="1" ht="23.25" customHeight="1" x14ac:dyDescent="0.2">
      <c r="A4" s="665" t="s">
        <v>326</v>
      </c>
      <c r="B4" s="665"/>
      <c r="C4" s="665"/>
      <c r="D4" s="665"/>
      <c r="E4" s="665"/>
      <c r="F4" s="665"/>
      <c r="G4" s="665"/>
      <c r="H4" s="665"/>
      <c r="I4" s="665"/>
      <c r="J4" s="665"/>
      <c r="K4" s="665"/>
      <c r="L4" s="665"/>
      <c r="M4" s="665"/>
      <c r="N4" s="665"/>
      <c r="O4" s="665"/>
      <c r="P4" s="665"/>
      <c r="Q4" s="665"/>
      <c r="R4" s="665"/>
      <c r="S4" s="665"/>
      <c r="T4" s="665"/>
      <c r="U4" s="665"/>
      <c r="V4" s="665"/>
      <c r="W4" s="665"/>
      <c r="X4" s="402"/>
      <c r="Y4" s="402"/>
    </row>
    <row r="5" spans="1:25" s="403" customFormat="1" ht="18.75" customHeight="1" x14ac:dyDescent="0.2">
      <c r="A5" s="665" t="s">
        <v>327</v>
      </c>
      <c r="B5" s="665"/>
      <c r="C5" s="665"/>
      <c r="D5" s="665"/>
      <c r="E5" s="665"/>
      <c r="F5" s="665"/>
      <c r="G5" s="665"/>
      <c r="H5" s="665"/>
      <c r="I5" s="665"/>
      <c r="J5" s="665"/>
      <c r="K5" s="665"/>
      <c r="L5" s="665"/>
      <c r="M5" s="665"/>
      <c r="N5" s="665"/>
      <c r="O5" s="665"/>
      <c r="P5" s="665"/>
      <c r="Q5" s="665"/>
      <c r="R5" s="665"/>
      <c r="S5" s="665"/>
      <c r="T5" s="665"/>
      <c r="U5" s="665"/>
      <c r="V5" s="665"/>
      <c r="W5" s="665"/>
      <c r="X5" s="402"/>
      <c r="Y5" s="402"/>
    </row>
    <row r="6" spans="1:25" s="403" customFormat="1" ht="9.75" customHeight="1" x14ac:dyDescent="0.2">
      <c r="A6" s="401"/>
      <c r="B6" s="401"/>
      <c r="C6" s="401"/>
      <c r="D6" s="401"/>
      <c r="E6" s="401"/>
      <c r="F6" s="401"/>
      <c r="G6" s="401"/>
      <c r="H6" s="401"/>
      <c r="I6" s="401"/>
      <c r="J6" s="401"/>
      <c r="K6" s="401"/>
      <c r="L6" s="401"/>
      <c r="M6" s="401"/>
      <c r="N6" s="401"/>
      <c r="O6" s="401"/>
      <c r="P6" s="401"/>
      <c r="Q6" s="404"/>
      <c r="T6" s="402"/>
      <c r="U6" s="402"/>
      <c r="V6" s="402"/>
      <c r="W6" s="402"/>
      <c r="X6" s="402"/>
      <c r="Y6" s="402"/>
    </row>
    <row r="7" spans="1:25" s="403" customFormat="1" ht="30.75" hidden="1" customHeight="1" x14ac:dyDescent="0.2">
      <c r="A7" s="666" t="s">
        <v>328</v>
      </c>
      <c r="B7" s="666"/>
      <c r="C7" s="666"/>
      <c r="D7" s="667" t="s">
        <v>329</v>
      </c>
      <c r="E7" s="667"/>
      <c r="F7" s="406"/>
      <c r="G7" s="406"/>
      <c r="H7" s="406"/>
      <c r="I7" s="406"/>
      <c r="J7" s="406"/>
      <c r="K7" s="401"/>
      <c r="L7" s="401"/>
      <c r="M7" s="401"/>
      <c r="N7" s="401"/>
      <c r="O7" s="401"/>
      <c r="P7" s="401"/>
      <c r="Q7" s="404"/>
      <c r="T7" s="402"/>
      <c r="U7" s="402"/>
      <c r="V7" s="402"/>
      <c r="W7" s="402"/>
      <c r="X7" s="402"/>
      <c r="Y7" s="402"/>
    </row>
    <row r="8" spans="1:25" s="403" customFormat="1" ht="30.75" hidden="1" customHeight="1" x14ac:dyDescent="0.2">
      <c r="A8" s="666" t="s">
        <v>330</v>
      </c>
      <c r="B8" s="666"/>
      <c r="C8" s="666"/>
      <c r="D8" s="405" t="s">
        <v>331</v>
      </c>
      <c r="E8" s="407">
        <f>VLOOKUP(D8,B33:C36,2,FALSE)</f>
        <v>30</v>
      </c>
      <c r="F8" s="406" t="str">
        <f>VLOOKUP(D8,B34:D36,3,FALSE)</f>
        <v>Obs: Desconto atualmente aplicado (30 dias corridos).</v>
      </c>
      <c r="G8" s="406"/>
      <c r="H8" s="406"/>
      <c r="I8" s="406"/>
      <c r="J8" s="406"/>
      <c r="K8" s="401"/>
      <c r="L8" s="401"/>
      <c r="M8" s="401"/>
      <c r="N8" s="401"/>
      <c r="O8" s="401"/>
      <c r="P8" s="401"/>
      <c r="Q8" s="404"/>
      <c r="T8" s="402"/>
      <c r="U8" s="402"/>
      <c r="V8" s="402"/>
      <c r="W8" s="402"/>
      <c r="X8" s="402"/>
      <c r="Y8" s="402"/>
    </row>
    <row r="9" spans="1:25" s="403" customFormat="1" ht="9" hidden="1" customHeight="1" thickBot="1" x14ac:dyDescent="0.25">
      <c r="A9" s="401"/>
      <c r="B9" s="401"/>
      <c r="C9" s="401"/>
      <c r="D9" s="401"/>
      <c r="E9" s="401"/>
      <c r="F9" s="401"/>
      <c r="G9" s="401"/>
      <c r="H9" s="401"/>
      <c r="I9" s="401"/>
      <c r="J9" s="401"/>
      <c r="K9" s="401"/>
      <c r="L9" s="401"/>
      <c r="M9" s="401"/>
      <c r="N9" s="401"/>
      <c r="O9" s="401"/>
      <c r="P9" s="401"/>
      <c r="Q9" s="404"/>
      <c r="T9" s="402"/>
      <c r="U9" s="402"/>
      <c r="V9" s="402"/>
      <c r="W9" s="402"/>
      <c r="X9" s="402"/>
      <c r="Y9" s="402"/>
    </row>
    <row r="10" spans="1:25" s="403" customFormat="1" ht="45" hidden="1" customHeight="1" x14ac:dyDescent="0.2">
      <c r="A10" s="661" t="s">
        <v>378</v>
      </c>
      <c r="B10" s="662"/>
      <c r="C10" s="662"/>
      <c r="D10" s="642" t="s">
        <v>332</v>
      </c>
      <c r="E10" s="642" t="s">
        <v>333</v>
      </c>
      <c r="F10" s="642" t="s">
        <v>334</v>
      </c>
      <c r="G10" s="642" t="s">
        <v>441</v>
      </c>
      <c r="H10" s="642" t="s">
        <v>435</v>
      </c>
      <c r="I10" s="642" t="s">
        <v>442</v>
      </c>
      <c r="J10" s="642" t="s">
        <v>436</v>
      </c>
      <c r="K10" s="642" t="s">
        <v>437</v>
      </c>
      <c r="L10" s="642" t="s">
        <v>438</v>
      </c>
      <c r="M10" s="644" t="s">
        <v>457</v>
      </c>
      <c r="N10" s="639" t="s">
        <v>465</v>
      </c>
      <c r="O10" s="639" t="s">
        <v>466</v>
      </c>
      <c r="P10" s="639" t="s">
        <v>467</v>
      </c>
      <c r="Q10" s="639" t="s">
        <v>468</v>
      </c>
      <c r="R10" s="645" t="s">
        <v>469</v>
      </c>
      <c r="S10" s="648" t="s">
        <v>470</v>
      </c>
      <c r="T10" s="651" t="s">
        <v>335</v>
      </c>
      <c r="U10" s="651"/>
      <c r="V10" s="651"/>
      <c r="W10" s="652"/>
    </row>
    <row r="11" spans="1:25" s="403" customFormat="1" ht="45" hidden="1" customHeight="1" x14ac:dyDescent="0.2">
      <c r="A11" s="663"/>
      <c r="B11" s="664"/>
      <c r="C11" s="664"/>
      <c r="D11" s="643"/>
      <c r="E11" s="643"/>
      <c r="F11" s="643"/>
      <c r="G11" s="643"/>
      <c r="H11" s="643"/>
      <c r="I11" s="643"/>
      <c r="J11" s="643"/>
      <c r="K11" s="643"/>
      <c r="L11" s="643"/>
      <c r="M11" s="640"/>
      <c r="N11" s="640"/>
      <c r="O11" s="640"/>
      <c r="P11" s="640"/>
      <c r="Q11" s="640"/>
      <c r="R11" s="646"/>
      <c r="S11" s="649"/>
      <c r="T11" s="653"/>
      <c r="U11" s="653"/>
      <c r="V11" s="653"/>
      <c r="W11" s="654"/>
    </row>
    <row r="12" spans="1:25" s="403" customFormat="1" ht="47.25" hidden="1" customHeight="1" thickBot="1" x14ac:dyDescent="0.25">
      <c r="A12" s="663"/>
      <c r="B12" s="664"/>
      <c r="C12" s="664"/>
      <c r="D12" s="643"/>
      <c r="E12" s="643"/>
      <c r="F12" s="643"/>
      <c r="G12" s="643"/>
      <c r="H12" s="643"/>
      <c r="I12" s="643"/>
      <c r="J12" s="643"/>
      <c r="K12" s="643"/>
      <c r="L12" s="643"/>
      <c r="M12" s="641"/>
      <c r="N12" s="641"/>
      <c r="O12" s="641"/>
      <c r="P12" s="641"/>
      <c r="Q12" s="641"/>
      <c r="R12" s="647"/>
      <c r="S12" s="650"/>
      <c r="T12" s="655"/>
      <c r="U12" s="655"/>
      <c r="V12" s="655"/>
      <c r="W12" s="656"/>
    </row>
    <row r="13" spans="1:25" s="403" customFormat="1" ht="69" hidden="1" customHeight="1" x14ac:dyDescent="0.2">
      <c r="A13" s="408" t="s">
        <v>128</v>
      </c>
      <c r="B13" s="409" t="s">
        <v>90</v>
      </c>
      <c r="C13" s="409" t="s">
        <v>91</v>
      </c>
      <c r="D13" s="409" t="s">
        <v>336</v>
      </c>
      <c r="E13" s="409" t="s">
        <v>337</v>
      </c>
      <c r="F13" s="409" t="s">
        <v>338</v>
      </c>
      <c r="G13" s="409" t="s">
        <v>440</v>
      </c>
      <c r="H13" s="409" t="s">
        <v>339</v>
      </c>
      <c r="I13" s="409" t="s">
        <v>340</v>
      </c>
      <c r="J13" s="409" t="s">
        <v>134</v>
      </c>
      <c r="K13" s="409" t="s">
        <v>134</v>
      </c>
      <c r="L13" s="409" t="s">
        <v>137</v>
      </c>
      <c r="M13" s="586" t="s">
        <v>458</v>
      </c>
      <c r="N13" s="409" t="s">
        <v>341</v>
      </c>
      <c r="O13" s="409" t="s">
        <v>342</v>
      </c>
      <c r="P13" s="409" t="s">
        <v>343</v>
      </c>
      <c r="Q13" s="409" t="s">
        <v>344</v>
      </c>
      <c r="R13" s="410" t="s">
        <v>345</v>
      </c>
      <c r="S13" s="411" t="s">
        <v>346</v>
      </c>
      <c r="T13" s="412" t="s">
        <v>347</v>
      </c>
      <c r="U13" s="411" t="s">
        <v>348</v>
      </c>
      <c r="V13" s="413" t="s">
        <v>117</v>
      </c>
      <c r="W13" s="412" t="s">
        <v>377</v>
      </c>
    </row>
    <row r="14" spans="1:25" s="403" customFormat="1" ht="18" hidden="1" customHeight="1" x14ac:dyDescent="0.2">
      <c r="A14" s="414">
        <f>Dados!D8</f>
        <v>2</v>
      </c>
      <c r="B14" s="415" t="str">
        <f>Resumo!B11</f>
        <v>Ascensorista</v>
      </c>
      <c r="C14" s="416">
        <f>Resumo!C11</f>
        <v>150</v>
      </c>
      <c r="D14" s="417">
        <v>0</v>
      </c>
      <c r="E14" s="416" t="s">
        <v>434</v>
      </c>
      <c r="F14" s="416">
        <f>IF(E14="NÃO",0,D14*Dados!$G$44)</f>
        <v>0</v>
      </c>
      <c r="G14" s="417">
        <v>0</v>
      </c>
      <c r="H14" s="417">
        <v>0</v>
      </c>
      <c r="I14" s="418">
        <v>0</v>
      </c>
      <c r="J14" s="417">
        <v>0</v>
      </c>
      <c r="K14" s="419">
        <f>I14+J14</f>
        <v>0</v>
      </c>
      <c r="L14" s="417">
        <v>0</v>
      </c>
      <c r="M14" s="417">
        <v>0</v>
      </c>
      <c r="N14" s="151"/>
      <c r="O14" s="420">
        <f>Resumo!S11</f>
        <v>0</v>
      </c>
      <c r="P14" s="151"/>
      <c r="Q14" s="420">
        <f>Resumo!T11</f>
        <v>7976.24</v>
      </c>
      <c r="R14" s="151"/>
      <c r="S14" s="421">
        <v>1</v>
      </c>
      <c r="T14" s="422">
        <f>ROUND((Encargos!$H$58*Dados!H8*A14),2)</f>
        <v>940.04</v>
      </c>
      <c r="U14" s="423" t="s">
        <v>350</v>
      </c>
      <c r="V14" s="424">
        <f>SUMIF($S$14:$S$24,1,$Q$14:$Q$24)</f>
        <v>1123903.3800000001</v>
      </c>
      <c r="W14" s="425">
        <f>SUMIF($S$14:$S$24,1,$T$14:$T$24)</f>
        <v>136305.65</v>
      </c>
    </row>
    <row r="15" spans="1:25" s="403" customFormat="1" ht="18" hidden="1" customHeight="1" x14ac:dyDescent="0.2">
      <c r="A15" s="414">
        <f>Dados!D9</f>
        <v>15</v>
      </c>
      <c r="B15" s="415" t="str">
        <f>Resumo!B12</f>
        <v>Atendente</v>
      </c>
      <c r="C15" s="416">
        <f>Resumo!C12</f>
        <v>200</v>
      </c>
      <c r="D15" s="417">
        <v>0</v>
      </c>
      <c r="E15" s="416" t="s">
        <v>434</v>
      </c>
      <c r="F15" s="416">
        <f>IF(E15="NÃO",0,D15*Dados!$G$44)</f>
        <v>0</v>
      </c>
      <c r="G15" s="417">
        <v>0</v>
      </c>
      <c r="H15" s="417">
        <v>0</v>
      </c>
      <c r="I15" s="418">
        <v>0</v>
      </c>
      <c r="J15" s="417">
        <v>0</v>
      </c>
      <c r="K15" s="419">
        <f t="shared" ref="K15:K24" si="0">I15+J15</f>
        <v>0</v>
      </c>
      <c r="L15" s="417">
        <v>0</v>
      </c>
      <c r="M15" s="417">
        <v>0</v>
      </c>
      <c r="N15" s="151"/>
      <c r="O15" s="420">
        <f>Resumo!S12</f>
        <v>0</v>
      </c>
      <c r="P15" s="151"/>
      <c r="Q15" s="420">
        <f>Resumo!T12</f>
        <v>97424.25</v>
      </c>
      <c r="R15" s="151"/>
      <c r="S15" s="421">
        <v>1</v>
      </c>
      <c r="T15" s="422">
        <f>ROUND((Encargos!$H$58*Dados!H9*A15),2)</f>
        <v>11434.19</v>
      </c>
      <c r="U15" s="423" t="s">
        <v>351</v>
      </c>
      <c r="V15" s="424">
        <f>SUMIF($S$14:$S$24,2,$Q$14:$Q$24)</f>
        <v>0</v>
      </c>
      <c r="W15" s="425">
        <f>SUMIF($S$14:$S$24,2,$T$14:$T$24)</f>
        <v>0</v>
      </c>
    </row>
    <row r="16" spans="1:25" s="403" customFormat="1" ht="18" hidden="1" customHeight="1" x14ac:dyDescent="0.2">
      <c r="A16" s="414">
        <f>Dados!D10</f>
        <v>3</v>
      </c>
      <c r="B16" s="415" t="str">
        <f>Resumo!B13</f>
        <v>Auxiliar de Almoxarifado</v>
      </c>
      <c r="C16" s="416">
        <f>Resumo!C13</f>
        <v>200</v>
      </c>
      <c r="D16" s="426">
        <v>0</v>
      </c>
      <c r="E16" s="416" t="s">
        <v>434</v>
      </c>
      <c r="F16" s="416">
        <f>IF(E16="NÃO",0,D16*Dados!$G$44)</f>
        <v>0</v>
      </c>
      <c r="G16" s="417">
        <v>0</v>
      </c>
      <c r="H16" s="417">
        <v>0</v>
      </c>
      <c r="I16" s="418">
        <v>0</v>
      </c>
      <c r="J16" s="417">
        <v>0</v>
      </c>
      <c r="K16" s="419">
        <f t="shared" si="0"/>
        <v>0</v>
      </c>
      <c r="L16" s="417">
        <v>0</v>
      </c>
      <c r="M16" s="417">
        <v>0</v>
      </c>
      <c r="N16" s="151"/>
      <c r="O16" s="420">
        <f>Resumo!S13</f>
        <v>0</v>
      </c>
      <c r="P16" s="151"/>
      <c r="Q16" s="420">
        <f>Resumo!T13</f>
        <v>18696</v>
      </c>
      <c r="R16" s="151"/>
      <c r="S16" s="421">
        <v>1</v>
      </c>
      <c r="T16" s="422">
        <f>ROUND((Encargos!$H$58*Dados!H10*A16),2)</f>
        <v>2187.41</v>
      </c>
      <c r="U16" s="423" t="s">
        <v>352</v>
      </c>
      <c r="V16" s="424">
        <f>SUMIF($S$14:$S$24,3,$Q$14:$Q$24)</f>
        <v>0</v>
      </c>
      <c r="W16" s="425">
        <f>SUMIF($S$14:$S$24,3,$T$14:$T$24)</f>
        <v>0</v>
      </c>
    </row>
    <row r="17" spans="1:25" s="403" customFormat="1" ht="18" hidden="1" customHeight="1" x14ac:dyDescent="0.2">
      <c r="A17" s="414">
        <f>Dados!D11</f>
        <v>27</v>
      </c>
      <c r="B17" s="415" t="str">
        <f>Resumo!B14</f>
        <v>Auxiliar Administrativo - Classe I</v>
      </c>
      <c r="C17" s="416">
        <f>Resumo!C14</f>
        <v>150</v>
      </c>
      <c r="D17" s="426">
        <v>0</v>
      </c>
      <c r="E17" s="416" t="s">
        <v>434</v>
      </c>
      <c r="F17" s="416">
        <f>IF(E17="NÃO",0,D17*Dados!$G$44)</f>
        <v>0</v>
      </c>
      <c r="G17" s="417">
        <v>0</v>
      </c>
      <c r="H17" s="417">
        <v>0</v>
      </c>
      <c r="I17" s="418">
        <v>0</v>
      </c>
      <c r="J17" s="417">
        <v>0</v>
      </c>
      <c r="K17" s="419">
        <f t="shared" si="0"/>
        <v>0</v>
      </c>
      <c r="L17" s="417">
        <v>0</v>
      </c>
      <c r="M17" s="417">
        <v>0</v>
      </c>
      <c r="N17" s="151"/>
      <c r="O17" s="420">
        <f>Resumo!S14</f>
        <v>0</v>
      </c>
      <c r="P17" s="151"/>
      <c r="Q17" s="420">
        <f>Resumo!T14</f>
        <v>125943.39</v>
      </c>
      <c r="R17" s="151"/>
      <c r="S17" s="421">
        <v>1</v>
      </c>
      <c r="T17" s="422">
        <f>ROUND((Encargos!$H$58*Dados!H11*A17),2)</f>
        <v>15436.16</v>
      </c>
      <c r="U17" s="423" t="s">
        <v>353</v>
      </c>
      <c r="V17" s="424">
        <f>SUMIF($S$14:$S$24,4,$Q$14:$Q$24)</f>
        <v>0</v>
      </c>
      <c r="W17" s="425">
        <f>SUMIF($S$14:$S$24,4,$T$14:$T$24)</f>
        <v>0</v>
      </c>
    </row>
    <row r="18" spans="1:25" s="403" customFormat="1" ht="18" hidden="1" customHeight="1" x14ac:dyDescent="0.2">
      <c r="A18" s="414">
        <f>Dados!D12</f>
        <v>71</v>
      </c>
      <c r="B18" s="415" t="str">
        <f>Resumo!B15</f>
        <v>Auxiliar Administrativo - Classe II</v>
      </c>
      <c r="C18" s="416">
        <f>Resumo!C15</f>
        <v>200</v>
      </c>
      <c r="D18" s="426">
        <v>0</v>
      </c>
      <c r="E18" s="416" t="s">
        <v>434</v>
      </c>
      <c r="F18" s="416">
        <f>IF(E18="NÃO",0,D18*Dados!$G$44)</f>
        <v>0</v>
      </c>
      <c r="G18" s="417">
        <v>0</v>
      </c>
      <c r="H18" s="417">
        <v>0</v>
      </c>
      <c r="I18" s="418">
        <v>0</v>
      </c>
      <c r="J18" s="417">
        <v>0</v>
      </c>
      <c r="K18" s="419">
        <f t="shared" si="0"/>
        <v>0</v>
      </c>
      <c r="L18" s="417">
        <v>0</v>
      </c>
      <c r="M18" s="417">
        <v>0</v>
      </c>
      <c r="N18" s="151"/>
      <c r="O18" s="420">
        <f>Resumo!S15</f>
        <v>0</v>
      </c>
      <c r="P18" s="151"/>
      <c r="Q18" s="420">
        <f>Resumo!T15</f>
        <v>461141.45</v>
      </c>
      <c r="R18" s="151"/>
      <c r="S18" s="421">
        <v>1</v>
      </c>
      <c r="T18" s="422">
        <f>ROUND((Encargos!$H$58*Dados!H12*A18),2)</f>
        <v>54121.83</v>
      </c>
      <c r="U18" s="423" t="s">
        <v>354</v>
      </c>
      <c r="V18" s="424">
        <f>SUMIF($S$14:$S$24,5,$Q$14:$Q$24)</f>
        <v>0</v>
      </c>
      <c r="W18" s="425">
        <f>SUMIF($S$14:$S$24,5,$T$14:$T$24)</f>
        <v>0</v>
      </c>
    </row>
    <row r="19" spans="1:25" s="403" customFormat="1" ht="18" hidden="1" customHeight="1" thickBot="1" x14ac:dyDescent="0.25">
      <c r="A19" s="414">
        <f>Dados!D13</f>
        <v>3</v>
      </c>
      <c r="B19" s="415" t="str">
        <f>Resumo!B16</f>
        <v>Auxiliar Administrativo - Classe III (Nível Superior)</v>
      </c>
      <c r="C19" s="416">
        <f>Resumo!C16</f>
        <v>150</v>
      </c>
      <c r="D19" s="417">
        <v>0</v>
      </c>
      <c r="E19" s="416" t="s">
        <v>434</v>
      </c>
      <c r="F19" s="416">
        <f>IF(E19="NÃO",0,D19*Dados!$G$44)</f>
        <v>0</v>
      </c>
      <c r="G19" s="417">
        <v>0</v>
      </c>
      <c r="H19" s="417">
        <v>0</v>
      </c>
      <c r="I19" s="418">
        <v>0</v>
      </c>
      <c r="J19" s="417">
        <v>0</v>
      </c>
      <c r="K19" s="419">
        <f t="shared" si="0"/>
        <v>0</v>
      </c>
      <c r="L19" s="417">
        <v>0</v>
      </c>
      <c r="M19" s="417">
        <v>0</v>
      </c>
      <c r="N19" s="151"/>
      <c r="O19" s="420">
        <f>Resumo!S16</f>
        <v>0</v>
      </c>
      <c r="P19" s="151"/>
      <c r="Q19" s="420">
        <f>Resumo!T16</f>
        <v>17439.93</v>
      </c>
      <c r="R19" s="151"/>
      <c r="S19" s="421">
        <v>1</v>
      </c>
      <c r="T19" s="422">
        <f>ROUND((Encargos!$H$58*Dados!H13*A19),2)</f>
        <v>2229.67</v>
      </c>
      <c r="U19" s="427"/>
      <c r="V19" s="428">
        <f>SUM(V8:V18)</f>
        <v>1123903.3800000001</v>
      </c>
      <c r="W19" s="429">
        <f>SUM(W8:W18)</f>
        <v>136305.65</v>
      </c>
    </row>
    <row r="20" spans="1:25" s="403" customFormat="1" ht="18" hidden="1" customHeight="1" x14ac:dyDescent="0.2">
      <c r="A20" s="414">
        <f>Dados!D14</f>
        <v>21</v>
      </c>
      <c r="B20" s="415" t="str">
        <f>Resumo!B17</f>
        <v>Auxiliar Administrativo - Classe IV (Nível Superior)</v>
      </c>
      <c r="C20" s="416">
        <f>Resumo!C17</f>
        <v>200</v>
      </c>
      <c r="D20" s="417">
        <v>0</v>
      </c>
      <c r="E20" s="416" t="s">
        <v>434</v>
      </c>
      <c r="F20" s="416">
        <f>IF(E20="NÃO",0,D20*Dados!$G$44)</f>
        <v>0</v>
      </c>
      <c r="G20" s="417">
        <v>0</v>
      </c>
      <c r="H20" s="417">
        <v>0</v>
      </c>
      <c r="I20" s="418">
        <v>0</v>
      </c>
      <c r="J20" s="417">
        <v>0</v>
      </c>
      <c r="K20" s="419">
        <f t="shared" si="0"/>
        <v>0</v>
      </c>
      <c r="L20" s="417">
        <v>0</v>
      </c>
      <c r="M20" s="417">
        <v>0</v>
      </c>
      <c r="N20" s="151"/>
      <c r="O20" s="420">
        <f>Resumo!S17</f>
        <v>0</v>
      </c>
      <c r="P20" s="151"/>
      <c r="Q20" s="420">
        <f>Resumo!T17</f>
        <v>168558.39</v>
      </c>
      <c r="R20" s="151"/>
      <c r="S20" s="421">
        <v>1</v>
      </c>
      <c r="T20" s="422">
        <f>ROUND((Encargos!$H$58*Dados!H14*A20),2)</f>
        <v>20810.23</v>
      </c>
      <c r="V20" s="430"/>
    </row>
    <row r="21" spans="1:25" s="403" customFormat="1" ht="18" hidden="1" customHeight="1" x14ac:dyDescent="0.2">
      <c r="A21" s="414">
        <f>Dados!D15</f>
        <v>6</v>
      </c>
      <c r="B21" s="415" t="str">
        <f>Resumo!B18</f>
        <v>Assistente de Apoio Financeiro (Nível Superior)</v>
      </c>
      <c r="C21" s="416">
        <f>Resumo!C18</f>
        <v>200</v>
      </c>
      <c r="D21" s="426">
        <v>0</v>
      </c>
      <c r="E21" s="416" t="s">
        <v>434</v>
      </c>
      <c r="F21" s="416">
        <f>IF(E21="NÃO",0,D21*Dados!$G$44)</f>
        <v>0</v>
      </c>
      <c r="G21" s="417">
        <v>0</v>
      </c>
      <c r="H21" s="417">
        <v>0</v>
      </c>
      <c r="I21" s="418">
        <v>0</v>
      </c>
      <c r="J21" s="417">
        <v>0</v>
      </c>
      <c r="K21" s="419">
        <f t="shared" si="0"/>
        <v>0</v>
      </c>
      <c r="L21" s="417">
        <v>0</v>
      </c>
      <c r="M21" s="417">
        <v>0</v>
      </c>
      <c r="N21" s="151"/>
      <c r="O21" s="420">
        <f>Resumo!S18</f>
        <v>0</v>
      </c>
      <c r="P21" s="151"/>
      <c r="Q21" s="420">
        <f>Resumo!T18</f>
        <v>73277.100000000006</v>
      </c>
      <c r="R21" s="151"/>
      <c r="S21" s="421">
        <v>1</v>
      </c>
      <c r="T21" s="422">
        <f>ROUND((Encargos!$H$58*Dados!H15*A21),2)</f>
        <v>9694.2000000000007</v>
      </c>
    </row>
    <row r="22" spans="1:25" s="403" customFormat="1" ht="18" hidden="1" customHeight="1" x14ac:dyDescent="0.2">
      <c r="A22" s="414">
        <f>Dados!D16</f>
        <v>1</v>
      </c>
      <c r="B22" s="415" t="str">
        <f>Resumo!B19</f>
        <v>Encarregado Geral</v>
      </c>
      <c r="C22" s="416">
        <f>Resumo!C19</f>
        <v>220</v>
      </c>
      <c r="D22" s="426">
        <v>0</v>
      </c>
      <c r="E22" s="416" t="s">
        <v>434</v>
      </c>
      <c r="F22" s="416">
        <f>IF(E22="NÃO",0,D22*Dados!$G$44)</f>
        <v>0</v>
      </c>
      <c r="G22" s="417">
        <v>0</v>
      </c>
      <c r="H22" s="417">
        <v>0</v>
      </c>
      <c r="I22" s="418">
        <v>0</v>
      </c>
      <c r="J22" s="417">
        <v>0</v>
      </c>
      <c r="K22" s="419">
        <f t="shared" si="0"/>
        <v>0</v>
      </c>
      <c r="L22" s="417">
        <v>0</v>
      </c>
      <c r="M22" s="417">
        <v>0</v>
      </c>
      <c r="N22" s="151"/>
      <c r="O22" s="420">
        <f>Resumo!S19</f>
        <v>0</v>
      </c>
      <c r="P22" s="151"/>
      <c r="Q22" s="420">
        <f>Resumo!T19</f>
        <v>7502.57</v>
      </c>
      <c r="R22" s="151"/>
      <c r="S22" s="421">
        <v>1</v>
      </c>
      <c r="T22" s="422">
        <f>ROUND((Encargos!$H$58*Dados!H16*A22),2)</f>
        <v>912.72</v>
      </c>
    </row>
    <row r="23" spans="1:25" s="403" customFormat="1" ht="18" hidden="1" customHeight="1" x14ac:dyDescent="0.2">
      <c r="A23" s="414">
        <f>Dados!D17</f>
        <v>8</v>
      </c>
      <c r="B23" s="415" t="str">
        <f>Resumo!B20</f>
        <v>Operador e Editor de Áudio e Vídeo</v>
      </c>
      <c r="C23" s="416">
        <f>Resumo!C20</f>
        <v>150</v>
      </c>
      <c r="D23" s="426">
        <v>0</v>
      </c>
      <c r="E23" s="416" t="s">
        <v>434</v>
      </c>
      <c r="F23" s="416">
        <f>IF(E23="NÃO",0,D23*Dados!$G$44)</f>
        <v>0</v>
      </c>
      <c r="G23" s="417">
        <v>0</v>
      </c>
      <c r="H23" s="417">
        <v>0</v>
      </c>
      <c r="I23" s="418">
        <v>0</v>
      </c>
      <c r="J23" s="417">
        <v>0</v>
      </c>
      <c r="K23" s="419">
        <f t="shared" si="0"/>
        <v>0</v>
      </c>
      <c r="L23" s="417">
        <v>0</v>
      </c>
      <c r="M23" s="417">
        <v>0</v>
      </c>
      <c r="N23" s="151"/>
      <c r="O23" s="420">
        <f>Resumo!S20</f>
        <v>0</v>
      </c>
      <c r="P23" s="151"/>
      <c r="Q23" s="420">
        <f>Resumo!T20</f>
        <v>70283.199999999997</v>
      </c>
      <c r="R23" s="151"/>
      <c r="S23" s="421">
        <v>1</v>
      </c>
      <c r="T23" s="422">
        <f>ROUND((Encargos!$H$58*Dados!H17*A23),2)</f>
        <v>9524.59</v>
      </c>
    </row>
    <row r="24" spans="1:25" s="403" customFormat="1" ht="18" hidden="1" customHeight="1" x14ac:dyDescent="0.2">
      <c r="A24" s="414">
        <f>Dados!D18</f>
        <v>11</v>
      </c>
      <c r="B24" s="415" t="str">
        <f>Resumo!B21</f>
        <v xml:space="preserve">Recepcionista </v>
      </c>
      <c r="C24" s="416">
        <f>Resumo!C21</f>
        <v>220</v>
      </c>
      <c r="D24" s="426">
        <v>0</v>
      </c>
      <c r="E24" s="416" t="s">
        <v>434</v>
      </c>
      <c r="F24" s="416">
        <f>IF(E24="NÃO",0,D24*Dados!$G$44)</f>
        <v>0</v>
      </c>
      <c r="G24" s="417">
        <v>0</v>
      </c>
      <c r="H24" s="417">
        <v>0</v>
      </c>
      <c r="I24" s="418">
        <v>0</v>
      </c>
      <c r="J24" s="417">
        <v>0</v>
      </c>
      <c r="K24" s="419">
        <f t="shared" si="0"/>
        <v>0</v>
      </c>
      <c r="L24" s="417">
        <v>0</v>
      </c>
      <c r="M24" s="417">
        <v>0</v>
      </c>
      <c r="N24" s="151"/>
      <c r="O24" s="420">
        <f>Resumo!S21</f>
        <v>0</v>
      </c>
      <c r="P24" s="151"/>
      <c r="Q24" s="420">
        <f>Resumo!T21</f>
        <v>75660.86</v>
      </c>
      <c r="R24" s="151"/>
      <c r="S24" s="421">
        <v>1</v>
      </c>
      <c r="T24" s="422">
        <f>ROUND((Encargos!$H$58*Dados!H18*A24),2)</f>
        <v>9014.61</v>
      </c>
    </row>
    <row r="25" spans="1:25" s="436" customFormat="1" ht="13.5" hidden="1" thickBot="1" x14ac:dyDescent="0.25">
      <c r="A25" s="657" t="s">
        <v>355</v>
      </c>
      <c r="B25" s="658"/>
      <c r="C25" s="658"/>
      <c r="D25" s="658"/>
      <c r="E25" s="658"/>
      <c r="F25" s="658"/>
      <c r="G25" s="431"/>
      <c r="H25" s="432">
        <f>Resumo!I22</f>
        <v>0</v>
      </c>
      <c r="I25" s="659"/>
      <c r="J25" s="660"/>
      <c r="K25" s="432">
        <f>Resumo!L22</f>
        <v>0</v>
      </c>
      <c r="L25" s="432">
        <f>Resumo!O22</f>
        <v>0</v>
      </c>
      <c r="M25" s="428">
        <f>Resumo!R22</f>
        <v>0</v>
      </c>
      <c r="N25" s="432"/>
      <c r="O25" s="432">
        <f>(H25+K25+L25)</f>
        <v>0</v>
      </c>
      <c r="P25" s="434"/>
      <c r="Q25" s="432">
        <f>SUM(Q14:Q24)</f>
        <v>1123903.3800000001</v>
      </c>
      <c r="R25" s="433">
        <f>SUM(R14:R24)</f>
        <v>0</v>
      </c>
      <c r="S25" s="435"/>
      <c r="T25" s="429">
        <f>SUM(T14:T24)</f>
        <v>136305.65</v>
      </c>
    </row>
    <row r="26" spans="1:25" hidden="1" x14ac:dyDescent="0.25">
      <c r="A26" s="437" t="s">
        <v>356</v>
      </c>
      <c r="B26" s="391"/>
      <c r="C26" s="391"/>
      <c r="D26" s="391"/>
      <c r="E26" s="391"/>
      <c r="F26" s="391"/>
      <c r="G26" s="391"/>
      <c r="H26" s="391"/>
      <c r="I26" s="391"/>
      <c r="J26" s="391"/>
      <c r="K26" s="391"/>
    </row>
    <row r="27" spans="1:25" ht="14.25" hidden="1" customHeight="1" x14ac:dyDescent="0.25">
      <c r="A27" s="438" t="s">
        <v>439</v>
      </c>
      <c r="B27" s="439"/>
      <c r="C27" s="439"/>
      <c r="D27" s="439"/>
      <c r="E27" s="439"/>
      <c r="F27" s="439"/>
      <c r="G27" s="439"/>
      <c r="H27" s="439"/>
      <c r="I27" s="439"/>
      <c r="J27" s="439"/>
      <c r="K27" s="439"/>
    </row>
    <row r="28" spans="1:25" s="436" customFormat="1" ht="22.5" hidden="1" customHeight="1" x14ac:dyDescent="0.2">
      <c r="A28" s="633" t="s">
        <v>357</v>
      </c>
      <c r="B28" s="634"/>
      <c r="C28" s="409" t="s">
        <v>358</v>
      </c>
      <c r="D28" s="409" t="s">
        <v>359</v>
      </c>
      <c r="E28" s="409" t="s">
        <v>360</v>
      </c>
      <c r="F28" s="409" t="s">
        <v>361</v>
      </c>
      <c r="K28" s="438"/>
      <c r="L28" s="440"/>
      <c r="M28" s="440"/>
      <c r="N28" s="440"/>
      <c r="O28" s="440"/>
      <c r="T28" s="398"/>
      <c r="U28" s="440"/>
      <c r="V28" s="440"/>
      <c r="W28" s="440"/>
      <c r="X28" s="440"/>
      <c r="Y28" s="440"/>
    </row>
    <row r="29" spans="1:25" s="436" customFormat="1" ht="18" hidden="1" customHeight="1" x14ac:dyDescent="0.2">
      <c r="A29" s="635"/>
      <c r="B29" s="636"/>
      <c r="C29" s="449">
        <v>220</v>
      </c>
      <c r="D29" s="449">
        <v>10</v>
      </c>
      <c r="E29" s="449">
        <v>25</v>
      </c>
      <c r="F29" s="450">
        <f>ROUND((D29/VLOOKUP(C29,$B$39:$C$45,2,FALSE)+E29/60/VLOOKUP(C29,$B$39:$C$45,2,FALSE)),2)</f>
        <v>1.18</v>
      </c>
      <c r="G29" s="441"/>
      <c r="K29" s="438"/>
      <c r="L29" s="440"/>
      <c r="M29" s="440"/>
      <c r="N29" s="440"/>
      <c r="O29" s="440"/>
      <c r="T29" s="398"/>
      <c r="U29" s="440"/>
      <c r="V29" s="440"/>
      <c r="W29" s="440"/>
      <c r="X29" s="440"/>
      <c r="Y29" s="440"/>
    </row>
    <row r="30" spans="1:25" s="436" customFormat="1" ht="22.5" hidden="1" customHeight="1" x14ac:dyDescent="0.2">
      <c r="A30" s="637" t="s">
        <v>362</v>
      </c>
      <c r="B30" s="637"/>
      <c r="C30" s="637"/>
      <c r="D30" s="637"/>
      <c r="E30" s="637"/>
      <c r="F30" s="637"/>
      <c r="G30" s="442"/>
      <c r="H30" s="406"/>
      <c r="I30" s="406"/>
      <c r="J30" s="406"/>
      <c r="K30" s="438"/>
      <c r="L30" s="440"/>
      <c r="M30" s="440"/>
      <c r="N30" s="440"/>
      <c r="O30" s="440"/>
      <c r="T30" s="398"/>
      <c r="U30" s="440"/>
      <c r="V30" s="440"/>
      <c r="W30" s="440"/>
      <c r="X30" s="440"/>
      <c r="Y30" s="440"/>
    </row>
    <row r="31" spans="1:25" s="436" customFormat="1" hidden="1" x14ac:dyDescent="0.2">
      <c r="A31" s="638"/>
      <c r="B31" s="638"/>
      <c r="C31" s="638"/>
      <c r="D31" s="638"/>
      <c r="E31" s="638"/>
      <c r="F31" s="638"/>
      <c r="G31" s="442"/>
      <c r="H31" s="406"/>
      <c r="I31" s="406"/>
      <c r="J31" s="406"/>
      <c r="K31" s="438"/>
      <c r="L31" s="440"/>
      <c r="M31" s="440"/>
      <c r="N31" s="440"/>
      <c r="O31" s="440"/>
      <c r="T31" s="398"/>
      <c r="U31" s="440"/>
      <c r="V31" s="440"/>
      <c r="W31" s="440"/>
      <c r="X31" s="440"/>
      <c r="Y31" s="440"/>
    </row>
    <row r="32" spans="1:25" hidden="1" x14ac:dyDescent="0.25"/>
    <row r="33" spans="2:4" hidden="1" x14ac:dyDescent="0.25">
      <c r="B33" s="632" t="s">
        <v>369</v>
      </c>
      <c r="C33" s="632"/>
    </row>
    <row r="34" spans="2:4" hidden="1" x14ac:dyDescent="0.25">
      <c r="B34" s="443" t="s">
        <v>370</v>
      </c>
      <c r="C34" s="444">
        <f>Dados!G38</f>
        <v>22</v>
      </c>
      <c r="D34" s="175" t="s">
        <v>371</v>
      </c>
    </row>
    <row r="35" spans="2:4" hidden="1" x14ac:dyDescent="0.25">
      <c r="B35" s="443" t="s">
        <v>331</v>
      </c>
      <c r="C35" s="445">
        <v>30</v>
      </c>
      <c r="D35" s="175" t="s">
        <v>372</v>
      </c>
    </row>
    <row r="36" spans="2:4" hidden="1" x14ac:dyDescent="0.25">
      <c r="B36" s="443" t="s">
        <v>373</v>
      </c>
      <c r="C36" s="445" t="s">
        <v>374</v>
      </c>
      <c r="D36" s="175" t="s">
        <v>375</v>
      </c>
    </row>
    <row r="37" spans="2:4" hidden="1" x14ac:dyDescent="0.25"/>
    <row r="38" spans="2:4" ht="39.75" hidden="1" customHeight="1" x14ac:dyDescent="0.25">
      <c r="B38" s="446" t="s">
        <v>432</v>
      </c>
      <c r="C38" s="447" t="s">
        <v>376</v>
      </c>
    </row>
    <row r="39" spans="2:4" hidden="1" x14ac:dyDescent="0.25">
      <c r="B39" s="443">
        <v>220</v>
      </c>
      <c r="C39" s="443">
        <f>B39/5/5</f>
        <v>8.8000000000000007</v>
      </c>
    </row>
    <row r="40" spans="2:4" hidden="1" x14ac:dyDescent="0.25">
      <c r="B40" s="443">
        <v>200</v>
      </c>
      <c r="C40" s="443">
        <f t="shared" ref="C40:C45" si="1">B40/5/5</f>
        <v>8</v>
      </c>
    </row>
    <row r="41" spans="2:4" hidden="1" x14ac:dyDescent="0.25">
      <c r="B41" s="443">
        <v>180</v>
      </c>
      <c r="C41" s="443">
        <f t="shared" si="1"/>
        <v>7.2</v>
      </c>
    </row>
    <row r="42" spans="2:4" hidden="1" x14ac:dyDescent="0.25">
      <c r="B42" s="443">
        <v>150</v>
      </c>
      <c r="C42" s="443">
        <f t="shared" si="1"/>
        <v>6</v>
      </c>
    </row>
    <row r="43" spans="2:4" hidden="1" x14ac:dyDescent="0.25">
      <c r="B43" s="443">
        <v>120</v>
      </c>
      <c r="C43" s="443">
        <f>B43/5/5</f>
        <v>4.8</v>
      </c>
    </row>
    <row r="44" spans="2:4" hidden="1" x14ac:dyDescent="0.25">
      <c r="B44" s="443">
        <v>100</v>
      </c>
      <c r="C44" s="443">
        <f t="shared" si="1"/>
        <v>4</v>
      </c>
    </row>
    <row r="45" spans="2:4" hidden="1" x14ac:dyDescent="0.25">
      <c r="B45" s="443">
        <v>75</v>
      </c>
      <c r="C45" s="443">
        <f t="shared" si="1"/>
        <v>3</v>
      </c>
    </row>
    <row r="46" spans="2:4" hidden="1" x14ac:dyDescent="0.25"/>
    <row r="47" spans="2:4" hidden="1" x14ac:dyDescent="0.25">
      <c r="B47" s="443" t="s">
        <v>433</v>
      </c>
    </row>
    <row r="48" spans="2:4" hidden="1" x14ac:dyDescent="0.25">
      <c r="B48" s="448">
        <v>0</v>
      </c>
    </row>
    <row r="49" spans="2:2" hidden="1" x14ac:dyDescent="0.25">
      <c r="B49" s="448">
        <v>1</v>
      </c>
    </row>
    <row r="50" spans="2:2" hidden="1" x14ac:dyDescent="0.25">
      <c r="B50" s="448">
        <v>2</v>
      </c>
    </row>
    <row r="51" spans="2:2" hidden="1" x14ac:dyDescent="0.25">
      <c r="B51" s="448">
        <v>3</v>
      </c>
    </row>
    <row r="52" spans="2:2" hidden="1" x14ac:dyDescent="0.25">
      <c r="B52" s="448">
        <v>4</v>
      </c>
    </row>
    <row r="53" spans="2:2" hidden="1" x14ac:dyDescent="0.25">
      <c r="B53" s="448">
        <v>5</v>
      </c>
    </row>
    <row r="54" spans="2:2" hidden="1" x14ac:dyDescent="0.25">
      <c r="B54" s="448">
        <v>6</v>
      </c>
    </row>
    <row r="55" spans="2:2" hidden="1" x14ac:dyDescent="0.25">
      <c r="B55" s="448">
        <v>7</v>
      </c>
    </row>
    <row r="56" spans="2:2" hidden="1" x14ac:dyDescent="0.25">
      <c r="B56" s="448">
        <v>8</v>
      </c>
    </row>
    <row r="57" spans="2:2" hidden="1" x14ac:dyDescent="0.25">
      <c r="B57" s="448">
        <v>9</v>
      </c>
    </row>
    <row r="58" spans="2:2" hidden="1" x14ac:dyDescent="0.25">
      <c r="B58" s="448">
        <v>10</v>
      </c>
    </row>
    <row r="59" spans="2:2" hidden="1" x14ac:dyDescent="0.25">
      <c r="B59" s="448">
        <v>11</v>
      </c>
    </row>
    <row r="60" spans="2:2" hidden="1" x14ac:dyDescent="0.25">
      <c r="B60" s="448">
        <v>12</v>
      </c>
    </row>
    <row r="61" spans="2:2" hidden="1" x14ac:dyDescent="0.25">
      <c r="B61" s="448">
        <v>13</v>
      </c>
    </row>
    <row r="62" spans="2:2" hidden="1" x14ac:dyDescent="0.25">
      <c r="B62" s="448">
        <v>14</v>
      </c>
    </row>
    <row r="63" spans="2:2" hidden="1" x14ac:dyDescent="0.25">
      <c r="B63" s="448">
        <v>15</v>
      </c>
    </row>
    <row r="64" spans="2:2" hidden="1" x14ac:dyDescent="0.25">
      <c r="B64" s="448">
        <v>16</v>
      </c>
    </row>
    <row r="65" spans="2:2" hidden="1" x14ac:dyDescent="0.25">
      <c r="B65" s="448">
        <v>17</v>
      </c>
    </row>
    <row r="66" spans="2:2" hidden="1" x14ac:dyDescent="0.25">
      <c r="B66" s="448">
        <v>18</v>
      </c>
    </row>
    <row r="67" spans="2:2" hidden="1" x14ac:dyDescent="0.25">
      <c r="B67" s="448">
        <v>19</v>
      </c>
    </row>
    <row r="68" spans="2:2" hidden="1" x14ac:dyDescent="0.25">
      <c r="B68" s="448">
        <v>20</v>
      </c>
    </row>
    <row r="69" spans="2:2" hidden="1" x14ac:dyDescent="0.25">
      <c r="B69" s="448">
        <v>21</v>
      </c>
    </row>
    <row r="70" spans="2:2" hidden="1" x14ac:dyDescent="0.25">
      <c r="B70" s="448">
        <v>22</v>
      </c>
    </row>
    <row r="71" spans="2:2" hidden="1" x14ac:dyDescent="0.25">
      <c r="B71" s="448">
        <v>23</v>
      </c>
    </row>
    <row r="72" spans="2:2" hidden="1" x14ac:dyDescent="0.25">
      <c r="B72" s="448">
        <v>24</v>
      </c>
    </row>
    <row r="73" spans="2:2" hidden="1" x14ac:dyDescent="0.25">
      <c r="B73" s="448">
        <v>25</v>
      </c>
    </row>
    <row r="74" spans="2:2" hidden="1" x14ac:dyDescent="0.25">
      <c r="B74" s="448">
        <v>26</v>
      </c>
    </row>
    <row r="75" spans="2:2" hidden="1" x14ac:dyDescent="0.25">
      <c r="B75" s="448">
        <v>27</v>
      </c>
    </row>
    <row r="76" spans="2:2" hidden="1" x14ac:dyDescent="0.25">
      <c r="B76" s="448">
        <v>28</v>
      </c>
    </row>
    <row r="77" spans="2:2" hidden="1" x14ac:dyDescent="0.25">
      <c r="B77" s="448">
        <v>29</v>
      </c>
    </row>
    <row r="78" spans="2:2" hidden="1" x14ac:dyDescent="0.25">
      <c r="B78" s="448">
        <v>30</v>
      </c>
    </row>
    <row r="79" spans="2:2" hidden="1" x14ac:dyDescent="0.25">
      <c r="B79" s="448">
        <v>31</v>
      </c>
    </row>
    <row r="80" spans="2:2" hidden="1" x14ac:dyDescent="0.25">
      <c r="B80" s="448">
        <v>32</v>
      </c>
    </row>
    <row r="81" spans="2:2" hidden="1" x14ac:dyDescent="0.25">
      <c r="B81" s="448">
        <v>33</v>
      </c>
    </row>
    <row r="82" spans="2:2" hidden="1" x14ac:dyDescent="0.25">
      <c r="B82" s="448">
        <v>34</v>
      </c>
    </row>
    <row r="83" spans="2:2" hidden="1" x14ac:dyDescent="0.25">
      <c r="B83" s="448">
        <v>35</v>
      </c>
    </row>
    <row r="84" spans="2:2" hidden="1" x14ac:dyDescent="0.25">
      <c r="B84" s="448">
        <v>36</v>
      </c>
    </row>
    <row r="85" spans="2:2" hidden="1" x14ac:dyDescent="0.25">
      <c r="B85" s="448">
        <v>37</v>
      </c>
    </row>
    <row r="86" spans="2:2" hidden="1" x14ac:dyDescent="0.25">
      <c r="B86" s="448">
        <v>38</v>
      </c>
    </row>
    <row r="87" spans="2:2" hidden="1" x14ac:dyDescent="0.25">
      <c r="B87" s="448">
        <v>39</v>
      </c>
    </row>
    <row r="88" spans="2:2" hidden="1" x14ac:dyDescent="0.25">
      <c r="B88" s="448">
        <v>40</v>
      </c>
    </row>
    <row r="89" spans="2:2" hidden="1" x14ac:dyDescent="0.25">
      <c r="B89" s="448">
        <v>41</v>
      </c>
    </row>
    <row r="90" spans="2:2" hidden="1" x14ac:dyDescent="0.25">
      <c r="B90" s="448">
        <v>42</v>
      </c>
    </row>
    <row r="91" spans="2:2" hidden="1" x14ac:dyDescent="0.25">
      <c r="B91" s="448">
        <v>43</v>
      </c>
    </row>
    <row r="92" spans="2:2" hidden="1" x14ac:dyDescent="0.25">
      <c r="B92" s="448">
        <v>44</v>
      </c>
    </row>
    <row r="93" spans="2:2" hidden="1" x14ac:dyDescent="0.25">
      <c r="B93" s="448">
        <v>45</v>
      </c>
    </row>
    <row r="94" spans="2:2" hidden="1" x14ac:dyDescent="0.25">
      <c r="B94" s="448">
        <v>46</v>
      </c>
    </row>
    <row r="95" spans="2:2" hidden="1" x14ac:dyDescent="0.25">
      <c r="B95" s="448">
        <v>47</v>
      </c>
    </row>
    <row r="96" spans="2:2" hidden="1" x14ac:dyDescent="0.25">
      <c r="B96" s="448">
        <v>48</v>
      </c>
    </row>
    <row r="97" spans="2:2" hidden="1" x14ac:dyDescent="0.25">
      <c r="B97" s="448">
        <v>49</v>
      </c>
    </row>
    <row r="98" spans="2:2" hidden="1" x14ac:dyDescent="0.25">
      <c r="B98" s="448">
        <v>50</v>
      </c>
    </row>
    <row r="99" spans="2:2" hidden="1" x14ac:dyDescent="0.25">
      <c r="B99" s="448">
        <v>51</v>
      </c>
    </row>
    <row r="100" spans="2:2" hidden="1" x14ac:dyDescent="0.25">
      <c r="B100" s="448">
        <v>52</v>
      </c>
    </row>
    <row r="101" spans="2:2" hidden="1" x14ac:dyDescent="0.25">
      <c r="B101" s="448">
        <v>53</v>
      </c>
    </row>
    <row r="102" spans="2:2" hidden="1" x14ac:dyDescent="0.25">
      <c r="B102" s="448">
        <v>54</v>
      </c>
    </row>
    <row r="103" spans="2:2" hidden="1" x14ac:dyDescent="0.25">
      <c r="B103" s="448">
        <v>55</v>
      </c>
    </row>
    <row r="104" spans="2:2" hidden="1" x14ac:dyDescent="0.25">
      <c r="B104" s="448">
        <v>56</v>
      </c>
    </row>
    <row r="105" spans="2:2" hidden="1" x14ac:dyDescent="0.25">
      <c r="B105" s="448">
        <v>57</v>
      </c>
    </row>
    <row r="106" spans="2:2" hidden="1" x14ac:dyDescent="0.25">
      <c r="B106" s="448">
        <v>58</v>
      </c>
    </row>
    <row r="107" spans="2:2" hidden="1" x14ac:dyDescent="0.25">
      <c r="B107" s="448">
        <v>59</v>
      </c>
    </row>
    <row r="108" spans="2:2" hidden="1" x14ac:dyDescent="0.25">
      <c r="B108" s="448">
        <v>60</v>
      </c>
    </row>
    <row r="109" spans="2:2" hidden="1" x14ac:dyDescent="0.25">
      <c r="B109" s="448">
        <v>61</v>
      </c>
    </row>
    <row r="110" spans="2:2" hidden="1" x14ac:dyDescent="0.25">
      <c r="B110" s="448">
        <v>62</v>
      </c>
    </row>
    <row r="111" spans="2:2" hidden="1" x14ac:dyDescent="0.25">
      <c r="B111" s="448">
        <v>63</v>
      </c>
    </row>
    <row r="112" spans="2:2" hidden="1" x14ac:dyDescent="0.25">
      <c r="B112" s="448">
        <v>64</v>
      </c>
    </row>
    <row r="113" spans="2:2" hidden="1" x14ac:dyDescent="0.25">
      <c r="B113" s="448">
        <v>65</v>
      </c>
    </row>
    <row r="114" spans="2:2" hidden="1" x14ac:dyDescent="0.25">
      <c r="B114" s="448">
        <v>66</v>
      </c>
    </row>
    <row r="115" spans="2:2" hidden="1" x14ac:dyDescent="0.25">
      <c r="B115" s="448">
        <v>67</v>
      </c>
    </row>
    <row r="116" spans="2:2" hidden="1" x14ac:dyDescent="0.25">
      <c r="B116" s="448">
        <v>68</v>
      </c>
    </row>
    <row r="117" spans="2:2" hidden="1" x14ac:dyDescent="0.25">
      <c r="B117" s="448">
        <v>69</v>
      </c>
    </row>
    <row r="118" spans="2:2" hidden="1" x14ac:dyDescent="0.25">
      <c r="B118" s="448">
        <v>70</v>
      </c>
    </row>
    <row r="119" spans="2:2" hidden="1" x14ac:dyDescent="0.25">
      <c r="B119" s="448">
        <v>71</v>
      </c>
    </row>
  </sheetData>
  <sheetProtection selectLockedCells="1" selectUnlockedCells="1"/>
  <mergeCells count="28">
    <mergeCell ref="A4:W4"/>
    <mergeCell ref="A5:W5"/>
    <mergeCell ref="A7:C7"/>
    <mergeCell ref="D7:E7"/>
    <mergeCell ref="A8:C8"/>
    <mergeCell ref="R10:R12"/>
    <mergeCell ref="S10:S12"/>
    <mergeCell ref="T10:W12"/>
    <mergeCell ref="A25:F25"/>
    <mergeCell ref="I25:J25"/>
    <mergeCell ref="I10:I12"/>
    <mergeCell ref="J10:J12"/>
    <mergeCell ref="K10:K12"/>
    <mergeCell ref="L10:L12"/>
    <mergeCell ref="N10:N12"/>
    <mergeCell ref="O10:O12"/>
    <mergeCell ref="A10:C12"/>
    <mergeCell ref="D10:D12"/>
    <mergeCell ref="E10:E12"/>
    <mergeCell ref="F10:F12"/>
    <mergeCell ref="H10:H12"/>
    <mergeCell ref="B33:C33"/>
    <mergeCell ref="A28:B29"/>
    <mergeCell ref="A30:F31"/>
    <mergeCell ref="P10:P12"/>
    <mergeCell ref="Q10:Q12"/>
    <mergeCell ref="G10:G12"/>
    <mergeCell ref="M10:M12"/>
  </mergeCells>
  <dataValidations count="16">
    <dataValidation type="list" allowBlank="1" showInputMessage="1" showErrorMessage="1" sqref="C29 WVM982964 WLQ982964 WBU982964 VRY982964 VIC982964 UYG982964 UOK982964 UEO982964 TUS982964 TKW982964 TBA982964 SRE982964 SHI982964 RXM982964 RNQ982964 RDU982964 QTY982964 QKC982964 QAG982964 PQK982964 PGO982964 OWS982964 OMW982964 ODA982964 NTE982964 NJI982964 MZM982964 MPQ982964 MFU982964 LVY982964 LMC982964 LCG982964 KSK982964 KIO982964 JYS982964 JOW982964 JFA982964 IVE982964 ILI982964 IBM982964 HRQ982964 HHU982964 GXY982964 GOC982964 GEG982964 FUK982964 FKO982964 FAS982964 EQW982964 EHA982964 DXE982964 DNI982964 DDM982964 CTQ982964 CJU982964 BZY982964 BQC982964 BGG982964 AWK982964 AMO982964 ACS982964 SW982964 JA982964 C982964 WVM917428 WLQ917428 WBU917428 VRY917428 VIC917428 UYG917428 UOK917428 UEO917428 TUS917428 TKW917428 TBA917428 SRE917428 SHI917428 RXM917428 RNQ917428 RDU917428 QTY917428 QKC917428 QAG917428 PQK917428 PGO917428 OWS917428 OMW917428 ODA917428 NTE917428 NJI917428 MZM917428 MPQ917428 MFU917428 LVY917428 LMC917428 LCG917428 KSK917428 KIO917428 JYS917428 JOW917428 JFA917428 IVE917428 ILI917428 IBM917428 HRQ917428 HHU917428 GXY917428 GOC917428 GEG917428 FUK917428 FKO917428 FAS917428 EQW917428 EHA917428 DXE917428 DNI917428 DDM917428 CTQ917428 CJU917428 BZY917428 BQC917428 BGG917428 AWK917428 AMO917428 ACS917428 SW917428 JA917428 C917428 WVM851892 WLQ851892 WBU851892 VRY851892 VIC851892 UYG851892 UOK851892 UEO851892 TUS851892 TKW851892 TBA851892 SRE851892 SHI851892 RXM851892 RNQ851892 RDU851892 QTY851892 QKC851892 QAG851892 PQK851892 PGO851892 OWS851892 OMW851892 ODA851892 NTE851892 NJI851892 MZM851892 MPQ851892 MFU851892 LVY851892 LMC851892 LCG851892 KSK851892 KIO851892 JYS851892 JOW851892 JFA851892 IVE851892 ILI851892 IBM851892 HRQ851892 HHU851892 GXY851892 GOC851892 GEG851892 FUK851892 FKO851892 FAS851892 EQW851892 EHA851892 DXE851892 DNI851892 DDM851892 CTQ851892 CJU851892 BZY851892 BQC851892 BGG851892 AWK851892 AMO851892 ACS851892 SW851892 JA851892 C851892 WVM786356 WLQ786356 WBU786356 VRY786356 VIC786356 UYG786356 UOK786356 UEO786356 TUS786356 TKW786356 TBA786356 SRE786356 SHI786356 RXM786356 RNQ786356 RDU786356 QTY786356 QKC786356 QAG786356 PQK786356 PGO786356 OWS786356 OMW786356 ODA786356 NTE786356 NJI786356 MZM786356 MPQ786356 MFU786356 LVY786356 LMC786356 LCG786356 KSK786356 KIO786356 JYS786356 JOW786356 JFA786356 IVE786356 ILI786356 IBM786356 HRQ786356 HHU786356 GXY786356 GOC786356 GEG786356 FUK786356 FKO786356 FAS786356 EQW786356 EHA786356 DXE786356 DNI786356 DDM786356 CTQ786356 CJU786356 BZY786356 BQC786356 BGG786356 AWK786356 AMO786356 ACS786356 SW786356 JA786356 C786356 WVM720820 WLQ720820 WBU720820 VRY720820 VIC720820 UYG720820 UOK720820 UEO720820 TUS720820 TKW720820 TBA720820 SRE720820 SHI720820 RXM720820 RNQ720820 RDU720820 QTY720820 QKC720820 QAG720820 PQK720820 PGO720820 OWS720820 OMW720820 ODA720820 NTE720820 NJI720820 MZM720820 MPQ720820 MFU720820 LVY720820 LMC720820 LCG720820 KSK720820 KIO720820 JYS720820 JOW720820 JFA720820 IVE720820 ILI720820 IBM720820 HRQ720820 HHU720820 GXY720820 GOC720820 GEG720820 FUK720820 FKO720820 FAS720820 EQW720820 EHA720820 DXE720820 DNI720820 DDM720820 CTQ720820 CJU720820 BZY720820 BQC720820 BGG720820 AWK720820 AMO720820 ACS720820 SW720820 JA720820 C720820 WVM655284 WLQ655284 WBU655284 VRY655284 VIC655284 UYG655284 UOK655284 UEO655284 TUS655284 TKW655284 TBA655284 SRE655284 SHI655284 RXM655284 RNQ655284 RDU655284 QTY655284 QKC655284 QAG655284 PQK655284 PGO655284 OWS655284 OMW655284 ODA655284 NTE655284 NJI655284 MZM655284 MPQ655284 MFU655284 LVY655284 LMC655284 LCG655284 KSK655284 KIO655284 JYS655284 JOW655284 JFA655284 IVE655284 ILI655284 IBM655284 HRQ655284 HHU655284 GXY655284 GOC655284 GEG655284 FUK655284 FKO655284 FAS655284 EQW655284 EHA655284 DXE655284 DNI655284 DDM655284 CTQ655284 CJU655284 BZY655284 BQC655284 BGG655284 AWK655284 AMO655284 ACS655284 SW655284 JA655284 C655284 WVM589748 WLQ589748 WBU589748 VRY589748 VIC589748 UYG589748 UOK589748 UEO589748 TUS589748 TKW589748 TBA589748 SRE589748 SHI589748 RXM589748 RNQ589748 RDU589748 QTY589748 QKC589748 QAG589748 PQK589748 PGO589748 OWS589748 OMW589748 ODA589748 NTE589748 NJI589748 MZM589748 MPQ589748 MFU589748 LVY589748 LMC589748 LCG589748 KSK589748 KIO589748 JYS589748 JOW589748 JFA589748 IVE589748 ILI589748 IBM589748 HRQ589748 HHU589748 GXY589748 GOC589748 GEG589748 FUK589748 FKO589748 FAS589748 EQW589748 EHA589748 DXE589748 DNI589748 DDM589748 CTQ589748 CJU589748 BZY589748 BQC589748 BGG589748 AWK589748 AMO589748 ACS589748 SW589748 JA589748 C589748 WVM524212 WLQ524212 WBU524212 VRY524212 VIC524212 UYG524212 UOK524212 UEO524212 TUS524212 TKW524212 TBA524212 SRE524212 SHI524212 RXM524212 RNQ524212 RDU524212 QTY524212 QKC524212 QAG524212 PQK524212 PGO524212 OWS524212 OMW524212 ODA524212 NTE524212 NJI524212 MZM524212 MPQ524212 MFU524212 LVY524212 LMC524212 LCG524212 KSK524212 KIO524212 JYS524212 JOW524212 JFA524212 IVE524212 ILI524212 IBM524212 HRQ524212 HHU524212 GXY524212 GOC524212 GEG524212 FUK524212 FKO524212 FAS524212 EQW524212 EHA524212 DXE524212 DNI524212 DDM524212 CTQ524212 CJU524212 BZY524212 BQC524212 BGG524212 AWK524212 AMO524212 ACS524212 SW524212 JA524212 C524212 WVM458676 WLQ458676 WBU458676 VRY458676 VIC458676 UYG458676 UOK458676 UEO458676 TUS458676 TKW458676 TBA458676 SRE458676 SHI458676 RXM458676 RNQ458676 RDU458676 QTY458676 QKC458676 QAG458676 PQK458676 PGO458676 OWS458676 OMW458676 ODA458676 NTE458676 NJI458676 MZM458676 MPQ458676 MFU458676 LVY458676 LMC458676 LCG458676 KSK458676 KIO458676 JYS458676 JOW458676 JFA458676 IVE458676 ILI458676 IBM458676 HRQ458676 HHU458676 GXY458676 GOC458676 GEG458676 FUK458676 FKO458676 FAS458676 EQW458676 EHA458676 DXE458676 DNI458676 DDM458676 CTQ458676 CJU458676 BZY458676 BQC458676 BGG458676 AWK458676 AMO458676 ACS458676 SW458676 JA458676 C458676 WVM393140 WLQ393140 WBU393140 VRY393140 VIC393140 UYG393140 UOK393140 UEO393140 TUS393140 TKW393140 TBA393140 SRE393140 SHI393140 RXM393140 RNQ393140 RDU393140 QTY393140 QKC393140 QAG393140 PQK393140 PGO393140 OWS393140 OMW393140 ODA393140 NTE393140 NJI393140 MZM393140 MPQ393140 MFU393140 LVY393140 LMC393140 LCG393140 KSK393140 KIO393140 JYS393140 JOW393140 JFA393140 IVE393140 ILI393140 IBM393140 HRQ393140 HHU393140 GXY393140 GOC393140 GEG393140 FUK393140 FKO393140 FAS393140 EQW393140 EHA393140 DXE393140 DNI393140 DDM393140 CTQ393140 CJU393140 BZY393140 BQC393140 BGG393140 AWK393140 AMO393140 ACS393140 SW393140 JA393140 C393140 WVM327604 WLQ327604 WBU327604 VRY327604 VIC327604 UYG327604 UOK327604 UEO327604 TUS327604 TKW327604 TBA327604 SRE327604 SHI327604 RXM327604 RNQ327604 RDU327604 QTY327604 QKC327604 QAG327604 PQK327604 PGO327604 OWS327604 OMW327604 ODA327604 NTE327604 NJI327604 MZM327604 MPQ327604 MFU327604 LVY327604 LMC327604 LCG327604 KSK327604 KIO327604 JYS327604 JOW327604 JFA327604 IVE327604 ILI327604 IBM327604 HRQ327604 HHU327604 GXY327604 GOC327604 GEG327604 FUK327604 FKO327604 FAS327604 EQW327604 EHA327604 DXE327604 DNI327604 DDM327604 CTQ327604 CJU327604 BZY327604 BQC327604 BGG327604 AWK327604 AMO327604 ACS327604 SW327604 JA327604 C327604 WVM262068 WLQ262068 WBU262068 VRY262068 VIC262068 UYG262068 UOK262068 UEO262068 TUS262068 TKW262068 TBA262068 SRE262068 SHI262068 RXM262068 RNQ262068 RDU262068 QTY262068 QKC262068 QAG262068 PQK262068 PGO262068 OWS262068 OMW262068 ODA262068 NTE262068 NJI262068 MZM262068 MPQ262068 MFU262068 LVY262068 LMC262068 LCG262068 KSK262068 KIO262068 JYS262068 JOW262068 JFA262068 IVE262068 ILI262068 IBM262068 HRQ262068 HHU262068 GXY262068 GOC262068 GEG262068 FUK262068 FKO262068 FAS262068 EQW262068 EHA262068 DXE262068 DNI262068 DDM262068 CTQ262068 CJU262068 BZY262068 BQC262068 BGG262068 AWK262068 AMO262068 ACS262068 SW262068 JA262068 C262068 WVM196532 WLQ196532 WBU196532 VRY196532 VIC196532 UYG196532 UOK196532 UEO196532 TUS196532 TKW196532 TBA196532 SRE196532 SHI196532 RXM196532 RNQ196532 RDU196532 QTY196532 QKC196532 QAG196532 PQK196532 PGO196532 OWS196532 OMW196532 ODA196532 NTE196532 NJI196532 MZM196532 MPQ196532 MFU196532 LVY196532 LMC196532 LCG196532 KSK196532 KIO196532 JYS196532 JOW196532 JFA196532 IVE196532 ILI196532 IBM196532 HRQ196532 HHU196532 GXY196532 GOC196532 GEG196532 FUK196532 FKO196532 FAS196532 EQW196532 EHA196532 DXE196532 DNI196532 DDM196532 CTQ196532 CJU196532 BZY196532 BQC196532 BGG196532 AWK196532 AMO196532 ACS196532 SW196532 JA196532 C196532 WVM130996 WLQ130996 WBU130996 VRY130996 VIC130996 UYG130996 UOK130996 UEO130996 TUS130996 TKW130996 TBA130996 SRE130996 SHI130996 RXM130996 RNQ130996 RDU130996 QTY130996 QKC130996 QAG130996 PQK130996 PGO130996 OWS130996 OMW130996 ODA130996 NTE130996 NJI130996 MZM130996 MPQ130996 MFU130996 LVY130996 LMC130996 LCG130996 KSK130996 KIO130996 JYS130996 JOW130996 JFA130996 IVE130996 ILI130996 IBM130996 HRQ130996 HHU130996 GXY130996 GOC130996 GEG130996 FUK130996 FKO130996 FAS130996 EQW130996 EHA130996 DXE130996 DNI130996 DDM130996 CTQ130996 CJU130996 BZY130996 BQC130996 BGG130996 AWK130996 AMO130996 ACS130996 SW130996 JA130996 C130996 WVM65460 WLQ65460 WBU65460 VRY65460 VIC65460 UYG65460 UOK65460 UEO65460 TUS65460 TKW65460 TBA65460 SRE65460 SHI65460 RXM65460 RNQ65460 RDU65460 QTY65460 QKC65460 QAG65460 PQK65460 PGO65460 OWS65460 OMW65460 ODA65460 NTE65460 NJI65460 MZM65460 MPQ65460 MFU65460 LVY65460 LMC65460 LCG65460 KSK65460 KIO65460 JYS65460 JOW65460 JFA65460 IVE65460 ILI65460 IBM65460 HRQ65460 HHU65460 GXY65460 GOC65460 GEG65460 FUK65460 FKO65460 FAS65460 EQW65460 EHA65460 DXE65460 DNI65460 DDM65460 CTQ65460 CJU65460 BZY65460 BQC65460 BGG65460 AWK65460 AMO65460 ACS65460 SW65460 JA65460 C65460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formula1>$B$39:$B$45</formula1>
    </dataValidation>
    <dataValidation type="list" allowBlank="1" showInputMessage="1" showErrorMessage="1" sqref="WVN982949 D8 WLR982949 WBV982949 VRZ982949 VID982949 UYH982949 UOL982949 UEP982949 TUT982949 TKX982949 TBB982949 SRF982949 SHJ982949 RXN982949 RNR982949 RDV982949 QTZ982949 QKD982949 QAH982949 PQL982949 PGP982949 OWT982949 OMX982949 ODB982949 NTF982949 NJJ982949 MZN982949 MPR982949 MFV982949 LVZ982949 LMD982949 LCH982949 KSL982949 KIP982949 JYT982949 JOX982949 JFB982949 IVF982949 ILJ982949 IBN982949 HRR982949 HHV982949 GXZ982949 GOD982949 GEH982949 FUL982949 FKP982949 FAT982949 EQX982949 EHB982949 DXF982949 DNJ982949 DDN982949 CTR982949 CJV982949 BZZ982949 BQD982949 BGH982949 AWL982949 AMP982949 ACT982949 SX982949 JB982949 D982949 WVN917413 WLR917413 WBV917413 VRZ917413 VID917413 UYH917413 UOL917413 UEP917413 TUT917413 TKX917413 TBB917413 SRF917413 SHJ917413 RXN917413 RNR917413 RDV917413 QTZ917413 QKD917413 QAH917413 PQL917413 PGP917413 OWT917413 OMX917413 ODB917413 NTF917413 NJJ917413 MZN917413 MPR917413 MFV917413 LVZ917413 LMD917413 LCH917413 KSL917413 KIP917413 JYT917413 JOX917413 JFB917413 IVF917413 ILJ917413 IBN917413 HRR917413 HHV917413 GXZ917413 GOD917413 GEH917413 FUL917413 FKP917413 FAT917413 EQX917413 EHB917413 DXF917413 DNJ917413 DDN917413 CTR917413 CJV917413 BZZ917413 BQD917413 BGH917413 AWL917413 AMP917413 ACT917413 SX917413 JB917413 D917413 WVN851877 WLR851877 WBV851877 VRZ851877 VID851877 UYH851877 UOL851877 UEP851877 TUT851877 TKX851877 TBB851877 SRF851877 SHJ851877 RXN851877 RNR851877 RDV851877 QTZ851877 QKD851877 QAH851877 PQL851877 PGP851877 OWT851877 OMX851877 ODB851877 NTF851877 NJJ851877 MZN851877 MPR851877 MFV851877 LVZ851877 LMD851877 LCH851877 KSL851877 KIP851877 JYT851877 JOX851877 JFB851877 IVF851877 ILJ851877 IBN851877 HRR851877 HHV851877 GXZ851877 GOD851877 GEH851877 FUL851877 FKP851877 FAT851877 EQX851877 EHB851877 DXF851877 DNJ851877 DDN851877 CTR851877 CJV851877 BZZ851877 BQD851877 BGH851877 AWL851877 AMP851877 ACT851877 SX851877 JB851877 D851877 WVN786341 WLR786341 WBV786341 VRZ786341 VID786341 UYH786341 UOL786341 UEP786341 TUT786341 TKX786341 TBB786341 SRF786341 SHJ786341 RXN786341 RNR786341 RDV786341 QTZ786341 QKD786341 QAH786341 PQL786341 PGP786341 OWT786341 OMX786341 ODB786341 NTF786341 NJJ786341 MZN786341 MPR786341 MFV786341 LVZ786341 LMD786341 LCH786341 KSL786341 KIP786341 JYT786341 JOX786341 JFB786341 IVF786341 ILJ786341 IBN786341 HRR786341 HHV786341 GXZ786341 GOD786341 GEH786341 FUL786341 FKP786341 FAT786341 EQX786341 EHB786341 DXF786341 DNJ786341 DDN786341 CTR786341 CJV786341 BZZ786341 BQD786341 BGH786341 AWL786341 AMP786341 ACT786341 SX786341 JB786341 D786341 WVN720805 WLR720805 WBV720805 VRZ720805 VID720805 UYH720805 UOL720805 UEP720805 TUT720805 TKX720805 TBB720805 SRF720805 SHJ720805 RXN720805 RNR720805 RDV720805 QTZ720805 QKD720805 QAH720805 PQL720805 PGP720805 OWT720805 OMX720805 ODB720805 NTF720805 NJJ720805 MZN720805 MPR720805 MFV720805 LVZ720805 LMD720805 LCH720805 KSL720805 KIP720805 JYT720805 JOX720805 JFB720805 IVF720805 ILJ720805 IBN720805 HRR720805 HHV720805 GXZ720805 GOD720805 GEH720805 FUL720805 FKP720805 FAT720805 EQX720805 EHB720805 DXF720805 DNJ720805 DDN720805 CTR720805 CJV720805 BZZ720805 BQD720805 BGH720805 AWL720805 AMP720805 ACT720805 SX720805 JB720805 D720805 WVN655269 WLR655269 WBV655269 VRZ655269 VID655269 UYH655269 UOL655269 UEP655269 TUT655269 TKX655269 TBB655269 SRF655269 SHJ655269 RXN655269 RNR655269 RDV655269 QTZ655269 QKD655269 QAH655269 PQL655269 PGP655269 OWT655269 OMX655269 ODB655269 NTF655269 NJJ655269 MZN655269 MPR655269 MFV655269 LVZ655269 LMD655269 LCH655269 KSL655269 KIP655269 JYT655269 JOX655269 JFB655269 IVF655269 ILJ655269 IBN655269 HRR655269 HHV655269 GXZ655269 GOD655269 GEH655269 FUL655269 FKP655269 FAT655269 EQX655269 EHB655269 DXF655269 DNJ655269 DDN655269 CTR655269 CJV655269 BZZ655269 BQD655269 BGH655269 AWL655269 AMP655269 ACT655269 SX655269 JB655269 D655269 WVN589733 WLR589733 WBV589733 VRZ589733 VID589733 UYH589733 UOL589733 UEP589733 TUT589733 TKX589733 TBB589733 SRF589733 SHJ589733 RXN589733 RNR589733 RDV589733 QTZ589733 QKD589733 QAH589733 PQL589733 PGP589733 OWT589733 OMX589733 ODB589733 NTF589733 NJJ589733 MZN589733 MPR589733 MFV589733 LVZ589733 LMD589733 LCH589733 KSL589733 KIP589733 JYT589733 JOX589733 JFB589733 IVF589733 ILJ589733 IBN589733 HRR589733 HHV589733 GXZ589733 GOD589733 GEH589733 FUL589733 FKP589733 FAT589733 EQX589733 EHB589733 DXF589733 DNJ589733 DDN589733 CTR589733 CJV589733 BZZ589733 BQD589733 BGH589733 AWL589733 AMP589733 ACT589733 SX589733 JB589733 D589733 WVN524197 WLR524197 WBV524197 VRZ524197 VID524197 UYH524197 UOL524197 UEP524197 TUT524197 TKX524197 TBB524197 SRF524197 SHJ524197 RXN524197 RNR524197 RDV524197 QTZ524197 QKD524197 QAH524197 PQL524197 PGP524197 OWT524197 OMX524197 ODB524197 NTF524197 NJJ524197 MZN524197 MPR524197 MFV524197 LVZ524197 LMD524197 LCH524197 KSL524197 KIP524197 JYT524197 JOX524197 JFB524197 IVF524197 ILJ524197 IBN524197 HRR524197 HHV524197 GXZ524197 GOD524197 GEH524197 FUL524197 FKP524197 FAT524197 EQX524197 EHB524197 DXF524197 DNJ524197 DDN524197 CTR524197 CJV524197 BZZ524197 BQD524197 BGH524197 AWL524197 AMP524197 ACT524197 SX524197 JB524197 D524197 WVN458661 WLR458661 WBV458661 VRZ458661 VID458661 UYH458661 UOL458661 UEP458661 TUT458661 TKX458661 TBB458661 SRF458661 SHJ458661 RXN458661 RNR458661 RDV458661 QTZ458661 QKD458661 QAH458661 PQL458661 PGP458661 OWT458661 OMX458661 ODB458661 NTF458661 NJJ458661 MZN458661 MPR458661 MFV458661 LVZ458661 LMD458661 LCH458661 KSL458661 KIP458661 JYT458661 JOX458661 JFB458661 IVF458661 ILJ458661 IBN458661 HRR458661 HHV458661 GXZ458661 GOD458661 GEH458661 FUL458661 FKP458661 FAT458661 EQX458661 EHB458661 DXF458661 DNJ458661 DDN458661 CTR458661 CJV458661 BZZ458661 BQD458661 BGH458661 AWL458661 AMP458661 ACT458661 SX458661 JB458661 D458661 WVN393125 WLR393125 WBV393125 VRZ393125 VID393125 UYH393125 UOL393125 UEP393125 TUT393125 TKX393125 TBB393125 SRF393125 SHJ393125 RXN393125 RNR393125 RDV393125 QTZ393125 QKD393125 QAH393125 PQL393125 PGP393125 OWT393125 OMX393125 ODB393125 NTF393125 NJJ393125 MZN393125 MPR393125 MFV393125 LVZ393125 LMD393125 LCH393125 KSL393125 KIP393125 JYT393125 JOX393125 JFB393125 IVF393125 ILJ393125 IBN393125 HRR393125 HHV393125 GXZ393125 GOD393125 GEH393125 FUL393125 FKP393125 FAT393125 EQX393125 EHB393125 DXF393125 DNJ393125 DDN393125 CTR393125 CJV393125 BZZ393125 BQD393125 BGH393125 AWL393125 AMP393125 ACT393125 SX393125 JB393125 D393125 WVN327589 WLR327589 WBV327589 VRZ327589 VID327589 UYH327589 UOL327589 UEP327589 TUT327589 TKX327589 TBB327589 SRF327589 SHJ327589 RXN327589 RNR327589 RDV327589 QTZ327589 QKD327589 QAH327589 PQL327589 PGP327589 OWT327589 OMX327589 ODB327589 NTF327589 NJJ327589 MZN327589 MPR327589 MFV327589 LVZ327589 LMD327589 LCH327589 KSL327589 KIP327589 JYT327589 JOX327589 JFB327589 IVF327589 ILJ327589 IBN327589 HRR327589 HHV327589 GXZ327589 GOD327589 GEH327589 FUL327589 FKP327589 FAT327589 EQX327589 EHB327589 DXF327589 DNJ327589 DDN327589 CTR327589 CJV327589 BZZ327589 BQD327589 BGH327589 AWL327589 AMP327589 ACT327589 SX327589 JB327589 D327589 WVN262053 WLR262053 WBV262053 VRZ262053 VID262053 UYH262053 UOL262053 UEP262053 TUT262053 TKX262053 TBB262053 SRF262053 SHJ262053 RXN262053 RNR262053 RDV262053 QTZ262053 QKD262053 QAH262053 PQL262053 PGP262053 OWT262053 OMX262053 ODB262053 NTF262053 NJJ262053 MZN262053 MPR262053 MFV262053 LVZ262053 LMD262053 LCH262053 KSL262053 KIP262053 JYT262053 JOX262053 JFB262053 IVF262053 ILJ262053 IBN262053 HRR262053 HHV262053 GXZ262053 GOD262053 GEH262053 FUL262053 FKP262053 FAT262053 EQX262053 EHB262053 DXF262053 DNJ262053 DDN262053 CTR262053 CJV262053 BZZ262053 BQD262053 BGH262053 AWL262053 AMP262053 ACT262053 SX262053 JB262053 D262053 WVN196517 WLR196517 WBV196517 VRZ196517 VID196517 UYH196517 UOL196517 UEP196517 TUT196517 TKX196517 TBB196517 SRF196517 SHJ196517 RXN196517 RNR196517 RDV196517 QTZ196517 QKD196517 QAH196517 PQL196517 PGP196517 OWT196517 OMX196517 ODB196517 NTF196517 NJJ196517 MZN196517 MPR196517 MFV196517 LVZ196517 LMD196517 LCH196517 KSL196517 KIP196517 JYT196517 JOX196517 JFB196517 IVF196517 ILJ196517 IBN196517 HRR196517 HHV196517 GXZ196517 GOD196517 GEH196517 FUL196517 FKP196517 FAT196517 EQX196517 EHB196517 DXF196517 DNJ196517 DDN196517 CTR196517 CJV196517 BZZ196517 BQD196517 BGH196517 AWL196517 AMP196517 ACT196517 SX196517 JB196517 D196517 WVN130981 WLR130981 WBV130981 VRZ130981 VID130981 UYH130981 UOL130981 UEP130981 TUT130981 TKX130981 TBB130981 SRF130981 SHJ130981 RXN130981 RNR130981 RDV130981 QTZ130981 QKD130981 QAH130981 PQL130981 PGP130981 OWT130981 OMX130981 ODB130981 NTF130981 NJJ130981 MZN130981 MPR130981 MFV130981 LVZ130981 LMD130981 LCH130981 KSL130981 KIP130981 JYT130981 JOX130981 JFB130981 IVF130981 ILJ130981 IBN130981 HRR130981 HHV130981 GXZ130981 GOD130981 GEH130981 FUL130981 FKP130981 FAT130981 EQX130981 EHB130981 DXF130981 DNJ130981 DDN130981 CTR130981 CJV130981 BZZ130981 BQD130981 BGH130981 AWL130981 AMP130981 ACT130981 SX130981 JB130981 D130981 WVN65445 WLR65445 WBV65445 VRZ65445 VID65445 UYH65445 UOL65445 UEP65445 TUT65445 TKX65445 TBB65445 SRF65445 SHJ65445 RXN65445 RNR65445 RDV65445 QTZ65445 QKD65445 QAH65445 PQL65445 PGP65445 OWT65445 OMX65445 ODB65445 NTF65445 NJJ65445 MZN65445 MPR65445 MFV65445 LVZ65445 LMD65445 LCH65445 KSL65445 KIP65445 JYT65445 JOX65445 JFB65445 IVF65445 ILJ65445 IBN65445 HRR65445 HHV65445 GXZ65445 GOD65445 GEH65445 FUL65445 FKP65445 FAT65445 EQX65445 EHB65445 DXF65445 DNJ65445 DDN65445 CTR65445 CJV65445 BZZ65445 BQD65445 BGH65445 AWL65445 AMP65445 ACT65445 SX65445 JB65445 D65445 WVN8 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formula1>$B$34:$B$36</formula1>
    </dataValidation>
    <dataValidation type="list" allowBlank="1" showInputMessage="1" showErrorMessage="1" sqref="D7:E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D65444:E65444 JB65444:JC65444 SX65444:SY65444 ACT65444:ACU65444 AMP65444:AMQ65444 AWL65444:AWM65444 BGH65444:BGI65444 BQD65444:BQE65444 BZZ65444:CAA65444 CJV65444:CJW65444 CTR65444:CTS65444 DDN65444:DDO65444 DNJ65444:DNK65444 DXF65444:DXG65444 EHB65444:EHC65444 EQX65444:EQY65444 FAT65444:FAU65444 FKP65444:FKQ65444 FUL65444:FUM65444 GEH65444:GEI65444 GOD65444:GOE65444 GXZ65444:GYA65444 HHV65444:HHW65444 HRR65444:HRS65444 IBN65444:IBO65444 ILJ65444:ILK65444 IVF65444:IVG65444 JFB65444:JFC65444 JOX65444:JOY65444 JYT65444:JYU65444 KIP65444:KIQ65444 KSL65444:KSM65444 LCH65444:LCI65444 LMD65444:LME65444 LVZ65444:LWA65444 MFV65444:MFW65444 MPR65444:MPS65444 MZN65444:MZO65444 NJJ65444:NJK65444 NTF65444:NTG65444 ODB65444:ODC65444 OMX65444:OMY65444 OWT65444:OWU65444 PGP65444:PGQ65444 PQL65444:PQM65444 QAH65444:QAI65444 QKD65444:QKE65444 QTZ65444:QUA65444 RDV65444:RDW65444 RNR65444:RNS65444 RXN65444:RXO65444 SHJ65444:SHK65444 SRF65444:SRG65444 TBB65444:TBC65444 TKX65444:TKY65444 TUT65444:TUU65444 UEP65444:UEQ65444 UOL65444:UOM65444 UYH65444:UYI65444 VID65444:VIE65444 VRZ65444:VSA65444 WBV65444:WBW65444 WLR65444:WLS65444 WVN65444:WVO65444 D130980:E130980 JB130980:JC130980 SX130980:SY130980 ACT130980:ACU130980 AMP130980:AMQ130980 AWL130980:AWM130980 BGH130980:BGI130980 BQD130980:BQE130980 BZZ130980:CAA130980 CJV130980:CJW130980 CTR130980:CTS130980 DDN130980:DDO130980 DNJ130980:DNK130980 DXF130980:DXG130980 EHB130980:EHC130980 EQX130980:EQY130980 FAT130980:FAU130980 FKP130980:FKQ130980 FUL130980:FUM130980 GEH130980:GEI130980 GOD130980:GOE130980 GXZ130980:GYA130980 HHV130980:HHW130980 HRR130980:HRS130980 IBN130980:IBO130980 ILJ130980:ILK130980 IVF130980:IVG130980 JFB130980:JFC130980 JOX130980:JOY130980 JYT130980:JYU130980 KIP130980:KIQ130980 KSL130980:KSM130980 LCH130980:LCI130980 LMD130980:LME130980 LVZ130980:LWA130980 MFV130980:MFW130980 MPR130980:MPS130980 MZN130980:MZO130980 NJJ130980:NJK130980 NTF130980:NTG130980 ODB130980:ODC130980 OMX130980:OMY130980 OWT130980:OWU130980 PGP130980:PGQ130980 PQL130980:PQM130980 QAH130980:QAI130980 QKD130980:QKE130980 QTZ130980:QUA130980 RDV130980:RDW130980 RNR130980:RNS130980 RXN130980:RXO130980 SHJ130980:SHK130980 SRF130980:SRG130980 TBB130980:TBC130980 TKX130980:TKY130980 TUT130980:TUU130980 UEP130980:UEQ130980 UOL130980:UOM130980 UYH130980:UYI130980 VID130980:VIE130980 VRZ130980:VSA130980 WBV130980:WBW130980 WLR130980:WLS130980 WVN130980:WVO130980 D196516:E196516 JB196516:JC196516 SX196516:SY196516 ACT196516:ACU196516 AMP196516:AMQ196516 AWL196516:AWM196516 BGH196516:BGI196516 BQD196516:BQE196516 BZZ196516:CAA196516 CJV196516:CJW196516 CTR196516:CTS196516 DDN196516:DDO196516 DNJ196516:DNK196516 DXF196516:DXG196516 EHB196516:EHC196516 EQX196516:EQY196516 FAT196516:FAU196516 FKP196516:FKQ196516 FUL196516:FUM196516 GEH196516:GEI196516 GOD196516:GOE196516 GXZ196516:GYA196516 HHV196516:HHW196516 HRR196516:HRS196516 IBN196516:IBO196516 ILJ196516:ILK196516 IVF196516:IVG196516 JFB196516:JFC196516 JOX196516:JOY196516 JYT196516:JYU196516 KIP196516:KIQ196516 KSL196516:KSM196516 LCH196516:LCI196516 LMD196516:LME196516 LVZ196516:LWA196516 MFV196516:MFW196516 MPR196516:MPS196516 MZN196516:MZO196516 NJJ196516:NJK196516 NTF196516:NTG196516 ODB196516:ODC196516 OMX196516:OMY196516 OWT196516:OWU196516 PGP196516:PGQ196516 PQL196516:PQM196516 QAH196516:QAI196516 QKD196516:QKE196516 QTZ196516:QUA196516 RDV196516:RDW196516 RNR196516:RNS196516 RXN196516:RXO196516 SHJ196516:SHK196516 SRF196516:SRG196516 TBB196516:TBC196516 TKX196516:TKY196516 TUT196516:TUU196516 UEP196516:UEQ196516 UOL196516:UOM196516 UYH196516:UYI196516 VID196516:VIE196516 VRZ196516:VSA196516 WBV196516:WBW196516 WLR196516:WLS196516 WVN196516:WVO196516 D262052:E262052 JB262052:JC262052 SX262052:SY262052 ACT262052:ACU262052 AMP262052:AMQ262052 AWL262052:AWM262052 BGH262052:BGI262052 BQD262052:BQE262052 BZZ262052:CAA262052 CJV262052:CJW262052 CTR262052:CTS262052 DDN262052:DDO262052 DNJ262052:DNK262052 DXF262052:DXG262052 EHB262052:EHC262052 EQX262052:EQY262052 FAT262052:FAU262052 FKP262052:FKQ262052 FUL262052:FUM262052 GEH262052:GEI262052 GOD262052:GOE262052 GXZ262052:GYA262052 HHV262052:HHW262052 HRR262052:HRS262052 IBN262052:IBO262052 ILJ262052:ILK262052 IVF262052:IVG262052 JFB262052:JFC262052 JOX262052:JOY262052 JYT262052:JYU262052 KIP262052:KIQ262052 KSL262052:KSM262052 LCH262052:LCI262052 LMD262052:LME262052 LVZ262052:LWA262052 MFV262052:MFW262052 MPR262052:MPS262052 MZN262052:MZO262052 NJJ262052:NJK262052 NTF262052:NTG262052 ODB262052:ODC262052 OMX262052:OMY262052 OWT262052:OWU262052 PGP262052:PGQ262052 PQL262052:PQM262052 QAH262052:QAI262052 QKD262052:QKE262052 QTZ262052:QUA262052 RDV262052:RDW262052 RNR262052:RNS262052 RXN262052:RXO262052 SHJ262052:SHK262052 SRF262052:SRG262052 TBB262052:TBC262052 TKX262052:TKY262052 TUT262052:TUU262052 UEP262052:UEQ262052 UOL262052:UOM262052 UYH262052:UYI262052 VID262052:VIE262052 VRZ262052:VSA262052 WBV262052:WBW262052 WLR262052:WLS262052 WVN262052:WVO262052 D327588:E327588 JB327588:JC327588 SX327588:SY327588 ACT327588:ACU327588 AMP327588:AMQ327588 AWL327588:AWM327588 BGH327588:BGI327588 BQD327588:BQE327588 BZZ327588:CAA327588 CJV327588:CJW327588 CTR327588:CTS327588 DDN327588:DDO327588 DNJ327588:DNK327588 DXF327588:DXG327588 EHB327588:EHC327588 EQX327588:EQY327588 FAT327588:FAU327588 FKP327588:FKQ327588 FUL327588:FUM327588 GEH327588:GEI327588 GOD327588:GOE327588 GXZ327588:GYA327588 HHV327588:HHW327588 HRR327588:HRS327588 IBN327588:IBO327588 ILJ327588:ILK327588 IVF327588:IVG327588 JFB327588:JFC327588 JOX327588:JOY327588 JYT327588:JYU327588 KIP327588:KIQ327588 KSL327588:KSM327588 LCH327588:LCI327588 LMD327588:LME327588 LVZ327588:LWA327588 MFV327588:MFW327588 MPR327588:MPS327588 MZN327588:MZO327588 NJJ327588:NJK327588 NTF327588:NTG327588 ODB327588:ODC327588 OMX327588:OMY327588 OWT327588:OWU327588 PGP327588:PGQ327588 PQL327588:PQM327588 QAH327588:QAI327588 QKD327588:QKE327588 QTZ327588:QUA327588 RDV327588:RDW327588 RNR327588:RNS327588 RXN327588:RXO327588 SHJ327588:SHK327588 SRF327588:SRG327588 TBB327588:TBC327588 TKX327588:TKY327588 TUT327588:TUU327588 UEP327588:UEQ327588 UOL327588:UOM327588 UYH327588:UYI327588 VID327588:VIE327588 VRZ327588:VSA327588 WBV327588:WBW327588 WLR327588:WLS327588 WVN327588:WVO327588 D393124:E393124 JB393124:JC393124 SX393124:SY393124 ACT393124:ACU393124 AMP393124:AMQ393124 AWL393124:AWM393124 BGH393124:BGI393124 BQD393124:BQE393124 BZZ393124:CAA393124 CJV393124:CJW393124 CTR393124:CTS393124 DDN393124:DDO393124 DNJ393124:DNK393124 DXF393124:DXG393124 EHB393124:EHC393124 EQX393124:EQY393124 FAT393124:FAU393124 FKP393124:FKQ393124 FUL393124:FUM393124 GEH393124:GEI393124 GOD393124:GOE393124 GXZ393124:GYA393124 HHV393124:HHW393124 HRR393124:HRS393124 IBN393124:IBO393124 ILJ393124:ILK393124 IVF393124:IVG393124 JFB393124:JFC393124 JOX393124:JOY393124 JYT393124:JYU393124 KIP393124:KIQ393124 KSL393124:KSM393124 LCH393124:LCI393124 LMD393124:LME393124 LVZ393124:LWA393124 MFV393124:MFW393124 MPR393124:MPS393124 MZN393124:MZO393124 NJJ393124:NJK393124 NTF393124:NTG393124 ODB393124:ODC393124 OMX393124:OMY393124 OWT393124:OWU393124 PGP393124:PGQ393124 PQL393124:PQM393124 QAH393124:QAI393124 QKD393124:QKE393124 QTZ393124:QUA393124 RDV393124:RDW393124 RNR393124:RNS393124 RXN393124:RXO393124 SHJ393124:SHK393124 SRF393124:SRG393124 TBB393124:TBC393124 TKX393124:TKY393124 TUT393124:TUU393124 UEP393124:UEQ393124 UOL393124:UOM393124 UYH393124:UYI393124 VID393124:VIE393124 VRZ393124:VSA393124 WBV393124:WBW393124 WLR393124:WLS393124 WVN393124:WVO393124 D458660:E458660 JB458660:JC458660 SX458660:SY458660 ACT458660:ACU458660 AMP458660:AMQ458660 AWL458660:AWM458660 BGH458660:BGI458660 BQD458660:BQE458660 BZZ458660:CAA458660 CJV458660:CJW458660 CTR458660:CTS458660 DDN458660:DDO458660 DNJ458660:DNK458660 DXF458660:DXG458660 EHB458660:EHC458660 EQX458660:EQY458660 FAT458660:FAU458660 FKP458660:FKQ458660 FUL458660:FUM458660 GEH458660:GEI458660 GOD458660:GOE458660 GXZ458660:GYA458660 HHV458660:HHW458660 HRR458660:HRS458660 IBN458660:IBO458660 ILJ458660:ILK458660 IVF458660:IVG458660 JFB458660:JFC458660 JOX458660:JOY458660 JYT458660:JYU458660 KIP458660:KIQ458660 KSL458660:KSM458660 LCH458660:LCI458660 LMD458660:LME458660 LVZ458660:LWA458660 MFV458660:MFW458660 MPR458660:MPS458660 MZN458660:MZO458660 NJJ458660:NJK458660 NTF458660:NTG458660 ODB458660:ODC458660 OMX458660:OMY458660 OWT458660:OWU458660 PGP458660:PGQ458660 PQL458660:PQM458660 QAH458660:QAI458660 QKD458660:QKE458660 QTZ458660:QUA458660 RDV458660:RDW458660 RNR458660:RNS458660 RXN458660:RXO458660 SHJ458660:SHK458660 SRF458660:SRG458660 TBB458660:TBC458660 TKX458660:TKY458660 TUT458660:TUU458660 UEP458660:UEQ458660 UOL458660:UOM458660 UYH458660:UYI458660 VID458660:VIE458660 VRZ458660:VSA458660 WBV458660:WBW458660 WLR458660:WLS458660 WVN458660:WVO458660 D524196:E524196 JB524196:JC524196 SX524196:SY524196 ACT524196:ACU524196 AMP524196:AMQ524196 AWL524196:AWM524196 BGH524196:BGI524196 BQD524196:BQE524196 BZZ524196:CAA524196 CJV524196:CJW524196 CTR524196:CTS524196 DDN524196:DDO524196 DNJ524196:DNK524196 DXF524196:DXG524196 EHB524196:EHC524196 EQX524196:EQY524196 FAT524196:FAU524196 FKP524196:FKQ524196 FUL524196:FUM524196 GEH524196:GEI524196 GOD524196:GOE524196 GXZ524196:GYA524196 HHV524196:HHW524196 HRR524196:HRS524196 IBN524196:IBO524196 ILJ524196:ILK524196 IVF524196:IVG524196 JFB524196:JFC524196 JOX524196:JOY524196 JYT524196:JYU524196 KIP524196:KIQ524196 KSL524196:KSM524196 LCH524196:LCI524196 LMD524196:LME524196 LVZ524196:LWA524196 MFV524196:MFW524196 MPR524196:MPS524196 MZN524196:MZO524196 NJJ524196:NJK524196 NTF524196:NTG524196 ODB524196:ODC524196 OMX524196:OMY524196 OWT524196:OWU524196 PGP524196:PGQ524196 PQL524196:PQM524196 QAH524196:QAI524196 QKD524196:QKE524196 QTZ524196:QUA524196 RDV524196:RDW524196 RNR524196:RNS524196 RXN524196:RXO524196 SHJ524196:SHK524196 SRF524196:SRG524196 TBB524196:TBC524196 TKX524196:TKY524196 TUT524196:TUU524196 UEP524196:UEQ524196 UOL524196:UOM524196 UYH524196:UYI524196 VID524196:VIE524196 VRZ524196:VSA524196 WBV524196:WBW524196 WLR524196:WLS524196 WVN524196:WVO524196 D589732:E589732 JB589732:JC589732 SX589732:SY589732 ACT589732:ACU589732 AMP589732:AMQ589732 AWL589732:AWM589732 BGH589732:BGI589732 BQD589732:BQE589732 BZZ589732:CAA589732 CJV589732:CJW589732 CTR589732:CTS589732 DDN589732:DDO589732 DNJ589732:DNK589732 DXF589732:DXG589732 EHB589732:EHC589732 EQX589732:EQY589732 FAT589732:FAU589732 FKP589732:FKQ589732 FUL589732:FUM589732 GEH589732:GEI589732 GOD589732:GOE589732 GXZ589732:GYA589732 HHV589732:HHW589732 HRR589732:HRS589732 IBN589732:IBO589732 ILJ589732:ILK589732 IVF589732:IVG589732 JFB589732:JFC589732 JOX589732:JOY589732 JYT589732:JYU589732 KIP589732:KIQ589732 KSL589732:KSM589732 LCH589732:LCI589732 LMD589732:LME589732 LVZ589732:LWA589732 MFV589732:MFW589732 MPR589732:MPS589732 MZN589732:MZO589732 NJJ589732:NJK589732 NTF589732:NTG589732 ODB589732:ODC589732 OMX589732:OMY589732 OWT589732:OWU589732 PGP589732:PGQ589732 PQL589732:PQM589732 QAH589732:QAI589732 QKD589732:QKE589732 QTZ589732:QUA589732 RDV589732:RDW589732 RNR589732:RNS589732 RXN589732:RXO589732 SHJ589732:SHK589732 SRF589732:SRG589732 TBB589732:TBC589732 TKX589732:TKY589732 TUT589732:TUU589732 UEP589732:UEQ589732 UOL589732:UOM589732 UYH589732:UYI589732 VID589732:VIE589732 VRZ589732:VSA589732 WBV589732:WBW589732 WLR589732:WLS589732 WVN589732:WVO589732 D655268:E655268 JB655268:JC655268 SX655268:SY655268 ACT655268:ACU655268 AMP655268:AMQ655268 AWL655268:AWM655268 BGH655268:BGI655268 BQD655268:BQE655268 BZZ655268:CAA655268 CJV655268:CJW655268 CTR655268:CTS655268 DDN655268:DDO655268 DNJ655268:DNK655268 DXF655268:DXG655268 EHB655268:EHC655268 EQX655268:EQY655268 FAT655268:FAU655268 FKP655268:FKQ655268 FUL655268:FUM655268 GEH655268:GEI655268 GOD655268:GOE655268 GXZ655268:GYA655268 HHV655268:HHW655268 HRR655268:HRS655268 IBN655268:IBO655268 ILJ655268:ILK655268 IVF655268:IVG655268 JFB655268:JFC655268 JOX655268:JOY655268 JYT655268:JYU655268 KIP655268:KIQ655268 KSL655268:KSM655268 LCH655268:LCI655268 LMD655268:LME655268 LVZ655268:LWA655268 MFV655268:MFW655268 MPR655268:MPS655268 MZN655268:MZO655268 NJJ655268:NJK655268 NTF655268:NTG655268 ODB655268:ODC655268 OMX655268:OMY655268 OWT655268:OWU655268 PGP655268:PGQ655268 PQL655268:PQM655268 QAH655268:QAI655268 QKD655268:QKE655268 QTZ655268:QUA655268 RDV655268:RDW655268 RNR655268:RNS655268 RXN655268:RXO655268 SHJ655268:SHK655268 SRF655268:SRG655268 TBB655268:TBC655268 TKX655268:TKY655268 TUT655268:TUU655268 UEP655268:UEQ655268 UOL655268:UOM655268 UYH655268:UYI655268 VID655268:VIE655268 VRZ655268:VSA655268 WBV655268:WBW655268 WLR655268:WLS655268 WVN655268:WVO655268 D720804:E720804 JB720804:JC720804 SX720804:SY720804 ACT720804:ACU720804 AMP720804:AMQ720804 AWL720804:AWM720804 BGH720804:BGI720804 BQD720804:BQE720804 BZZ720804:CAA720804 CJV720804:CJW720804 CTR720804:CTS720804 DDN720804:DDO720804 DNJ720804:DNK720804 DXF720804:DXG720804 EHB720804:EHC720804 EQX720804:EQY720804 FAT720804:FAU720804 FKP720804:FKQ720804 FUL720804:FUM720804 GEH720804:GEI720804 GOD720804:GOE720804 GXZ720804:GYA720804 HHV720804:HHW720804 HRR720804:HRS720804 IBN720804:IBO720804 ILJ720804:ILK720804 IVF720804:IVG720804 JFB720804:JFC720804 JOX720804:JOY720804 JYT720804:JYU720804 KIP720804:KIQ720804 KSL720804:KSM720804 LCH720804:LCI720804 LMD720804:LME720804 LVZ720804:LWA720804 MFV720804:MFW720804 MPR720804:MPS720804 MZN720804:MZO720804 NJJ720804:NJK720804 NTF720804:NTG720804 ODB720804:ODC720804 OMX720804:OMY720804 OWT720804:OWU720804 PGP720804:PGQ720804 PQL720804:PQM720804 QAH720804:QAI720804 QKD720804:QKE720804 QTZ720804:QUA720804 RDV720804:RDW720804 RNR720804:RNS720804 RXN720804:RXO720804 SHJ720804:SHK720804 SRF720804:SRG720804 TBB720804:TBC720804 TKX720804:TKY720804 TUT720804:TUU720804 UEP720804:UEQ720804 UOL720804:UOM720804 UYH720804:UYI720804 VID720804:VIE720804 VRZ720804:VSA720804 WBV720804:WBW720804 WLR720804:WLS720804 WVN720804:WVO720804 D786340:E786340 JB786340:JC786340 SX786340:SY786340 ACT786340:ACU786340 AMP786340:AMQ786340 AWL786340:AWM786340 BGH786340:BGI786340 BQD786340:BQE786340 BZZ786340:CAA786340 CJV786340:CJW786340 CTR786340:CTS786340 DDN786340:DDO786340 DNJ786340:DNK786340 DXF786340:DXG786340 EHB786340:EHC786340 EQX786340:EQY786340 FAT786340:FAU786340 FKP786340:FKQ786340 FUL786340:FUM786340 GEH786340:GEI786340 GOD786340:GOE786340 GXZ786340:GYA786340 HHV786340:HHW786340 HRR786340:HRS786340 IBN786340:IBO786340 ILJ786340:ILK786340 IVF786340:IVG786340 JFB786340:JFC786340 JOX786340:JOY786340 JYT786340:JYU786340 KIP786340:KIQ786340 KSL786340:KSM786340 LCH786340:LCI786340 LMD786340:LME786340 LVZ786340:LWA786340 MFV786340:MFW786340 MPR786340:MPS786340 MZN786340:MZO786340 NJJ786340:NJK786340 NTF786340:NTG786340 ODB786340:ODC786340 OMX786340:OMY786340 OWT786340:OWU786340 PGP786340:PGQ786340 PQL786340:PQM786340 QAH786340:QAI786340 QKD786340:QKE786340 QTZ786340:QUA786340 RDV786340:RDW786340 RNR786340:RNS786340 RXN786340:RXO786340 SHJ786340:SHK786340 SRF786340:SRG786340 TBB786340:TBC786340 TKX786340:TKY786340 TUT786340:TUU786340 UEP786340:UEQ786340 UOL786340:UOM786340 UYH786340:UYI786340 VID786340:VIE786340 VRZ786340:VSA786340 WBV786340:WBW786340 WLR786340:WLS786340 WVN786340:WVO786340 D851876:E851876 JB851876:JC851876 SX851876:SY851876 ACT851876:ACU851876 AMP851876:AMQ851876 AWL851876:AWM851876 BGH851876:BGI851876 BQD851876:BQE851876 BZZ851876:CAA851876 CJV851876:CJW851876 CTR851876:CTS851876 DDN851876:DDO851876 DNJ851876:DNK851876 DXF851876:DXG851876 EHB851876:EHC851876 EQX851876:EQY851876 FAT851876:FAU851876 FKP851876:FKQ851876 FUL851876:FUM851876 GEH851876:GEI851876 GOD851876:GOE851876 GXZ851876:GYA851876 HHV851876:HHW851876 HRR851876:HRS851876 IBN851876:IBO851876 ILJ851876:ILK851876 IVF851876:IVG851876 JFB851876:JFC851876 JOX851876:JOY851876 JYT851876:JYU851876 KIP851876:KIQ851876 KSL851876:KSM851876 LCH851876:LCI851876 LMD851876:LME851876 LVZ851876:LWA851876 MFV851876:MFW851876 MPR851876:MPS851876 MZN851876:MZO851876 NJJ851876:NJK851876 NTF851876:NTG851876 ODB851876:ODC851876 OMX851876:OMY851876 OWT851876:OWU851876 PGP851876:PGQ851876 PQL851876:PQM851876 QAH851876:QAI851876 QKD851876:QKE851876 QTZ851876:QUA851876 RDV851876:RDW851876 RNR851876:RNS851876 RXN851876:RXO851876 SHJ851876:SHK851876 SRF851876:SRG851876 TBB851876:TBC851876 TKX851876:TKY851876 TUT851876:TUU851876 UEP851876:UEQ851876 UOL851876:UOM851876 UYH851876:UYI851876 VID851876:VIE851876 VRZ851876:VSA851876 WBV851876:WBW851876 WLR851876:WLS851876 WVN851876:WVO851876 D917412:E917412 JB917412:JC917412 SX917412:SY917412 ACT917412:ACU917412 AMP917412:AMQ917412 AWL917412:AWM917412 BGH917412:BGI917412 BQD917412:BQE917412 BZZ917412:CAA917412 CJV917412:CJW917412 CTR917412:CTS917412 DDN917412:DDO917412 DNJ917412:DNK917412 DXF917412:DXG917412 EHB917412:EHC917412 EQX917412:EQY917412 FAT917412:FAU917412 FKP917412:FKQ917412 FUL917412:FUM917412 GEH917412:GEI917412 GOD917412:GOE917412 GXZ917412:GYA917412 HHV917412:HHW917412 HRR917412:HRS917412 IBN917412:IBO917412 ILJ917412:ILK917412 IVF917412:IVG917412 JFB917412:JFC917412 JOX917412:JOY917412 JYT917412:JYU917412 KIP917412:KIQ917412 KSL917412:KSM917412 LCH917412:LCI917412 LMD917412:LME917412 LVZ917412:LWA917412 MFV917412:MFW917412 MPR917412:MPS917412 MZN917412:MZO917412 NJJ917412:NJK917412 NTF917412:NTG917412 ODB917412:ODC917412 OMX917412:OMY917412 OWT917412:OWU917412 PGP917412:PGQ917412 PQL917412:PQM917412 QAH917412:QAI917412 QKD917412:QKE917412 QTZ917412:QUA917412 RDV917412:RDW917412 RNR917412:RNS917412 RXN917412:RXO917412 SHJ917412:SHK917412 SRF917412:SRG917412 TBB917412:TBC917412 TKX917412:TKY917412 TUT917412:TUU917412 UEP917412:UEQ917412 UOL917412:UOM917412 UYH917412:UYI917412 VID917412:VIE917412 VRZ917412:VSA917412 WBV917412:WBW917412 WLR917412:WLS917412 WVN917412:WVO917412 D982948:E982948 JB982948:JC982948 SX982948:SY982948 ACT982948:ACU982948 AMP982948:AMQ982948 AWL982948:AWM982948 BGH982948:BGI982948 BQD982948:BQE982948 BZZ982948:CAA982948 CJV982948:CJW982948 CTR982948:CTS982948 DDN982948:DDO982948 DNJ982948:DNK982948 DXF982948:DXG982948 EHB982948:EHC982948 EQX982948:EQY982948 FAT982948:FAU982948 FKP982948:FKQ982948 FUL982948:FUM982948 GEH982948:GEI982948 GOD982948:GOE982948 GXZ982948:GYA982948 HHV982948:HHW982948 HRR982948:HRS982948 IBN982948:IBO982948 ILJ982948:ILK982948 IVF982948:IVG982948 JFB982948:JFC982948 JOX982948:JOY982948 JYT982948:JYU982948 KIP982948:KIQ982948 KSL982948:KSM982948 LCH982948:LCI982948 LMD982948:LME982948 LVZ982948:LWA982948 MFV982948:MFW982948 MPR982948:MPS982948 MZN982948:MZO982948 NJJ982948:NJK982948 NTF982948:NTG982948 ODB982948:ODC982948 OMX982948:OMY982948 OWT982948:OWU982948 PGP982948:PGQ982948 PQL982948:PQM982948 QAH982948:QAI982948 QKD982948:QKE982948 QTZ982948:QUA982948 RDV982948:RDW982948 RNR982948:RNS982948 RXN982948:RXO982948 SHJ982948:SHK982948 SRF982948:SRG982948 TBB982948:TBC982948 TKX982948:TKY982948 TUT982948:TUU982948 UEP982948:UEQ982948 UOL982948:UOM982948 UYH982948:UYI982948 VID982948:VIE982948 VRZ982948:VSA982948 WBV982948:WBW982948 WLR982948:WLS982948 WVN982948:WVO982948">
      <formula1>"PLANILHA PARA LICITAÇÃO (PRECIFICAÇÃO),PLANILHA PARA FATURAMENTO"</formula1>
    </dataValidation>
    <dataValidation type="list" allowBlank="1" showInputMessage="1" showErrorMessage="1" sqref="WWA982955:WWA982959 S65451:S65455 JO65451:JO65455 TK65451:TK65455 ADG65451:ADG65455 ANC65451:ANC65455 AWY65451:AWY65455 BGU65451:BGU65455 BQQ65451:BQQ65455 CAM65451:CAM65455 CKI65451:CKI65455 CUE65451:CUE65455 DEA65451:DEA65455 DNW65451:DNW65455 DXS65451:DXS65455 EHO65451:EHO65455 ERK65451:ERK65455 FBG65451:FBG65455 FLC65451:FLC65455 FUY65451:FUY65455 GEU65451:GEU65455 GOQ65451:GOQ65455 GYM65451:GYM65455 HII65451:HII65455 HSE65451:HSE65455 ICA65451:ICA65455 ILW65451:ILW65455 IVS65451:IVS65455 JFO65451:JFO65455 JPK65451:JPK65455 JZG65451:JZG65455 KJC65451:KJC65455 KSY65451:KSY65455 LCU65451:LCU65455 LMQ65451:LMQ65455 LWM65451:LWM65455 MGI65451:MGI65455 MQE65451:MQE65455 NAA65451:NAA65455 NJW65451:NJW65455 NTS65451:NTS65455 ODO65451:ODO65455 ONK65451:ONK65455 OXG65451:OXG65455 PHC65451:PHC65455 PQY65451:PQY65455 QAU65451:QAU65455 QKQ65451:QKQ65455 QUM65451:QUM65455 REI65451:REI65455 ROE65451:ROE65455 RYA65451:RYA65455 SHW65451:SHW65455 SRS65451:SRS65455 TBO65451:TBO65455 TLK65451:TLK65455 TVG65451:TVG65455 UFC65451:UFC65455 UOY65451:UOY65455 UYU65451:UYU65455 VIQ65451:VIQ65455 VSM65451:VSM65455 WCI65451:WCI65455 WME65451:WME65455 WWA65451:WWA65455 S130987:S130991 JO130987:JO130991 TK130987:TK130991 ADG130987:ADG130991 ANC130987:ANC130991 AWY130987:AWY130991 BGU130987:BGU130991 BQQ130987:BQQ130991 CAM130987:CAM130991 CKI130987:CKI130991 CUE130987:CUE130991 DEA130987:DEA130991 DNW130987:DNW130991 DXS130987:DXS130991 EHO130987:EHO130991 ERK130987:ERK130991 FBG130987:FBG130991 FLC130987:FLC130991 FUY130987:FUY130991 GEU130987:GEU130991 GOQ130987:GOQ130991 GYM130987:GYM130991 HII130987:HII130991 HSE130987:HSE130991 ICA130987:ICA130991 ILW130987:ILW130991 IVS130987:IVS130991 JFO130987:JFO130991 JPK130987:JPK130991 JZG130987:JZG130991 KJC130987:KJC130991 KSY130987:KSY130991 LCU130987:LCU130991 LMQ130987:LMQ130991 LWM130987:LWM130991 MGI130987:MGI130991 MQE130987:MQE130991 NAA130987:NAA130991 NJW130987:NJW130991 NTS130987:NTS130991 ODO130987:ODO130991 ONK130987:ONK130991 OXG130987:OXG130991 PHC130987:PHC130991 PQY130987:PQY130991 QAU130987:QAU130991 QKQ130987:QKQ130991 QUM130987:QUM130991 REI130987:REI130991 ROE130987:ROE130991 RYA130987:RYA130991 SHW130987:SHW130991 SRS130987:SRS130991 TBO130987:TBO130991 TLK130987:TLK130991 TVG130987:TVG130991 UFC130987:UFC130991 UOY130987:UOY130991 UYU130987:UYU130991 VIQ130987:VIQ130991 VSM130987:VSM130991 WCI130987:WCI130991 WME130987:WME130991 WWA130987:WWA130991 S196523:S196527 JO196523:JO196527 TK196523:TK196527 ADG196523:ADG196527 ANC196523:ANC196527 AWY196523:AWY196527 BGU196523:BGU196527 BQQ196523:BQQ196527 CAM196523:CAM196527 CKI196523:CKI196527 CUE196523:CUE196527 DEA196523:DEA196527 DNW196523:DNW196527 DXS196523:DXS196527 EHO196523:EHO196527 ERK196523:ERK196527 FBG196523:FBG196527 FLC196523:FLC196527 FUY196523:FUY196527 GEU196523:GEU196527 GOQ196523:GOQ196527 GYM196523:GYM196527 HII196523:HII196527 HSE196523:HSE196527 ICA196523:ICA196527 ILW196523:ILW196527 IVS196523:IVS196527 JFO196523:JFO196527 JPK196523:JPK196527 JZG196523:JZG196527 KJC196523:KJC196527 KSY196523:KSY196527 LCU196523:LCU196527 LMQ196523:LMQ196527 LWM196523:LWM196527 MGI196523:MGI196527 MQE196523:MQE196527 NAA196523:NAA196527 NJW196523:NJW196527 NTS196523:NTS196527 ODO196523:ODO196527 ONK196523:ONK196527 OXG196523:OXG196527 PHC196523:PHC196527 PQY196523:PQY196527 QAU196523:QAU196527 QKQ196523:QKQ196527 QUM196523:QUM196527 REI196523:REI196527 ROE196523:ROE196527 RYA196523:RYA196527 SHW196523:SHW196527 SRS196523:SRS196527 TBO196523:TBO196527 TLK196523:TLK196527 TVG196523:TVG196527 UFC196523:UFC196527 UOY196523:UOY196527 UYU196523:UYU196527 VIQ196523:VIQ196527 VSM196523:VSM196527 WCI196523:WCI196527 WME196523:WME196527 WWA196523:WWA196527 S262059:S262063 JO262059:JO262063 TK262059:TK262063 ADG262059:ADG262063 ANC262059:ANC262063 AWY262059:AWY262063 BGU262059:BGU262063 BQQ262059:BQQ262063 CAM262059:CAM262063 CKI262059:CKI262063 CUE262059:CUE262063 DEA262059:DEA262063 DNW262059:DNW262063 DXS262059:DXS262063 EHO262059:EHO262063 ERK262059:ERK262063 FBG262059:FBG262063 FLC262059:FLC262063 FUY262059:FUY262063 GEU262059:GEU262063 GOQ262059:GOQ262063 GYM262059:GYM262063 HII262059:HII262063 HSE262059:HSE262063 ICA262059:ICA262063 ILW262059:ILW262063 IVS262059:IVS262063 JFO262059:JFO262063 JPK262059:JPK262063 JZG262059:JZG262063 KJC262059:KJC262063 KSY262059:KSY262063 LCU262059:LCU262063 LMQ262059:LMQ262063 LWM262059:LWM262063 MGI262059:MGI262063 MQE262059:MQE262063 NAA262059:NAA262063 NJW262059:NJW262063 NTS262059:NTS262063 ODO262059:ODO262063 ONK262059:ONK262063 OXG262059:OXG262063 PHC262059:PHC262063 PQY262059:PQY262063 QAU262059:QAU262063 QKQ262059:QKQ262063 QUM262059:QUM262063 REI262059:REI262063 ROE262059:ROE262063 RYA262059:RYA262063 SHW262059:SHW262063 SRS262059:SRS262063 TBO262059:TBO262063 TLK262059:TLK262063 TVG262059:TVG262063 UFC262059:UFC262063 UOY262059:UOY262063 UYU262059:UYU262063 VIQ262059:VIQ262063 VSM262059:VSM262063 WCI262059:WCI262063 WME262059:WME262063 WWA262059:WWA262063 S327595:S327599 JO327595:JO327599 TK327595:TK327599 ADG327595:ADG327599 ANC327595:ANC327599 AWY327595:AWY327599 BGU327595:BGU327599 BQQ327595:BQQ327599 CAM327595:CAM327599 CKI327595:CKI327599 CUE327595:CUE327599 DEA327595:DEA327599 DNW327595:DNW327599 DXS327595:DXS327599 EHO327595:EHO327599 ERK327595:ERK327599 FBG327595:FBG327599 FLC327595:FLC327599 FUY327595:FUY327599 GEU327595:GEU327599 GOQ327595:GOQ327599 GYM327595:GYM327599 HII327595:HII327599 HSE327595:HSE327599 ICA327595:ICA327599 ILW327595:ILW327599 IVS327595:IVS327599 JFO327595:JFO327599 JPK327595:JPK327599 JZG327595:JZG327599 KJC327595:KJC327599 KSY327595:KSY327599 LCU327595:LCU327599 LMQ327595:LMQ327599 LWM327595:LWM327599 MGI327595:MGI327599 MQE327595:MQE327599 NAA327595:NAA327599 NJW327595:NJW327599 NTS327595:NTS327599 ODO327595:ODO327599 ONK327595:ONK327599 OXG327595:OXG327599 PHC327595:PHC327599 PQY327595:PQY327599 QAU327595:QAU327599 QKQ327595:QKQ327599 QUM327595:QUM327599 REI327595:REI327599 ROE327595:ROE327599 RYA327595:RYA327599 SHW327595:SHW327599 SRS327595:SRS327599 TBO327595:TBO327599 TLK327595:TLK327599 TVG327595:TVG327599 UFC327595:UFC327599 UOY327595:UOY327599 UYU327595:UYU327599 VIQ327595:VIQ327599 VSM327595:VSM327599 WCI327595:WCI327599 WME327595:WME327599 WWA327595:WWA327599 S393131:S393135 JO393131:JO393135 TK393131:TK393135 ADG393131:ADG393135 ANC393131:ANC393135 AWY393131:AWY393135 BGU393131:BGU393135 BQQ393131:BQQ393135 CAM393131:CAM393135 CKI393131:CKI393135 CUE393131:CUE393135 DEA393131:DEA393135 DNW393131:DNW393135 DXS393131:DXS393135 EHO393131:EHO393135 ERK393131:ERK393135 FBG393131:FBG393135 FLC393131:FLC393135 FUY393131:FUY393135 GEU393131:GEU393135 GOQ393131:GOQ393135 GYM393131:GYM393135 HII393131:HII393135 HSE393131:HSE393135 ICA393131:ICA393135 ILW393131:ILW393135 IVS393131:IVS393135 JFO393131:JFO393135 JPK393131:JPK393135 JZG393131:JZG393135 KJC393131:KJC393135 KSY393131:KSY393135 LCU393131:LCU393135 LMQ393131:LMQ393135 LWM393131:LWM393135 MGI393131:MGI393135 MQE393131:MQE393135 NAA393131:NAA393135 NJW393131:NJW393135 NTS393131:NTS393135 ODO393131:ODO393135 ONK393131:ONK393135 OXG393131:OXG393135 PHC393131:PHC393135 PQY393131:PQY393135 QAU393131:QAU393135 QKQ393131:QKQ393135 QUM393131:QUM393135 REI393131:REI393135 ROE393131:ROE393135 RYA393131:RYA393135 SHW393131:SHW393135 SRS393131:SRS393135 TBO393131:TBO393135 TLK393131:TLK393135 TVG393131:TVG393135 UFC393131:UFC393135 UOY393131:UOY393135 UYU393131:UYU393135 VIQ393131:VIQ393135 VSM393131:VSM393135 WCI393131:WCI393135 WME393131:WME393135 WWA393131:WWA393135 S458667:S458671 JO458667:JO458671 TK458667:TK458671 ADG458667:ADG458671 ANC458667:ANC458671 AWY458667:AWY458671 BGU458667:BGU458671 BQQ458667:BQQ458671 CAM458667:CAM458671 CKI458667:CKI458671 CUE458667:CUE458671 DEA458667:DEA458671 DNW458667:DNW458671 DXS458667:DXS458671 EHO458667:EHO458671 ERK458667:ERK458671 FBG458667:FBG458671 FLC458667:FLC458671 FUY458667:FUY458671 GEU458667:GEU458671 GOQ458667:GOQ458671 GYM458667:GYM458671 HII458667:HII458671 HSE458667:HSE458671 ICA458667:ICA458671 ILW458667:ILW458671 IVS458667:IVS458671 JFO458667:JFO458671 JPK458667:JPK458671 JZG458667:JZG458671 KJC458667:KJC458671 KSY458667:KSY458671 LCU458667:LCU458671 LMQ458667:LMQ458671 LWM458667:LWM458671 MGI458667:MGI458671 MQE458667:MQE458671 NAA458667:NAA458671 NJW458667:NJW458671 NTS458667:NTS458671 ODO458667:ODO458671 ONK458667:ONK458671 OXG458667:OXG458671 PHC458667:PHC458671 PQY458667:PQY458671 QAU458667:QAU458671 QKQ458667:QKQ458671 QUM458667:QUM458671 REI458667:REI458671 ROE458667:ROE458671 RYA458667:RYA458671 SHW458667:SHW458671 SRS458667:SRS458671 TBO458667:TBO458671 TLK458667:TLK458671 TVG458667:TVG458671 UFC458667:UFC458671 UOY458667:UOY458671 UYU458667:UYU458671 VIQ458667:VIQ458671 VSM458667:VSM458671 WCI458667:WCI458671 WME458667:WME458671 WWA458667:WWA458671 S524203:S524207 JO524203:JO524207 TK524203:TK524207 ADG524203:ADG524207 ANC524203:ANC524207 AWY524203:AWY524207 BGU524203:BGU524207 BQQ524203:BQQ524207 CAM524203:CAM524207 CKI524203:CKI524207 CUE524203:CUE524207 DEA524203:DEA524207 DNW524203:DNW524207 DXS524203:DXS524207 EHO524203:EHO524207 ERK524203:ERK524207 FBG524203:FBG524207 FLC524203:FLC524207 FUY524203:FUY524207 GEU524203:GEU524207 GOQ524203:GOQ524207 GYM524203:GYM524207 HII524203:HII524207 HSE524203:HSE524207 ICA524203:ICA524207 ILW524203:ILW524207 IVS524203:IVS524207 JFO524203:JFO524207 JPK524203:JPK524207 JZG524203:JZG524207 KJC524203:KJC524207 KSY524203:KSY524207 LCU524203:LCU524207 LMQ524203:LMQ524207 LWM524203:LWM524207 MGI524203:MGI524207 MQE524203:MQE524207 NAA524203:NAA524207 NJW524203:NJW524207 NTS524203:NTS524207 ODO524203:ODO524207 ONK524203:ONK524207 OXG524203:OXG524207 PHC524203:PHC524207 PQY524203:PQY524207 QAU524203:QAU524207 QKQ524203:QKQ524207 QUM524203:QUM524207 REI524203:REI524207 ROE524203:ROE524207 RYA524203:RYA524207 SHW524203:SHW524207 SRS524203:SRS524207 TBO524203:TBO524207 TLK524203:TLK524207 TVG524203:TVG524207 UFC524203:UFC524207 UOY524203:UOY524207 UYU524203:UYU524207 VIQ524203:VIQ524207 VSM524203:VSM524207 WCI524203:WCI524207 WME524203:WME524207 WWA524203:WWA524207 S589739:S589743 JO589739:JO589743 TK589739:TK589743 ADG589739:ADG589743 ANC589739:ANC589743 AWY589739:AWY589743 BGU589739:BGU589743 BQQ589739:BQQ589743 CAM589739:CAM589743 CKI589739:CKI589743 CUE589739:CUE589743 DEA589739:DEA589743 DNW589739:DNW589743 DXS589739:DXS589743 EHO589739:EHO589743 ERK589739:ERK589743 FBG589739:FBG589743 FLC589739:FLC589743 FUY589739:FUY589743 GEU589739:GEU589743 GOQ589739:GOQ589743 GYM589739:GYM589743 HII589739:HII589743 HSE589739:HSE589743 ICA589739:ICA589743 ILW589739:ILW589743 IVS589739:IVS589743 JFO589739:JFO589743 JPK589739:JPK589743 JZG589739:JZG589743 KJC589739:KJC589743 KSY589739:KSY589743 LCU589739:LCU589743 LMQ589739:LMQ589743 LWM589739:LWM589743 MGI589739:MGI589743 MQE589739:MQE589743 NAA589739:NAA589743 NJW589739:NJW589743 NTS589739:NTS589743 ODO589739:ODO589743 ONK589739:ONK589743 OXG589739:OXG589743 PHC589739:PHC589743 PQY589739:PQY589743 QAU589739:QAU589743 QKQ589739:QKQ589743 QUM589739:QUM589743 REI589739:REI589743 ROE589739:ROE589743 RYA589739:RYA589743 SHW589739:SHW589743 SRS589739:SRS589743 TBO589739:TBO589743 TLK589739:TLK589743 TVG589739:TVG589743 UFC589739:UFC589743 UOY589739:UOY589743 UYU589739:UYU589743 VIQ589739:VIQ589743 VSM589739:VSM589743 WCI589739:WCI589743 WME589739:WME589743 WWA589739:WWA589743 S655275:S655279 JO655275:JO655279 TK655275:TK655279 ADG655275:ADG655279 ANC655275:ANC655279 AWY655275:AWY655279 BGU655275:BGU655279 BQQ655275:BQQ655279 CAM655275:CAM655279 CKI655275:CKI655279 CUE655275:CUE655279 DEA655275:DEA655279 DNW655275:DNW655279 DXS655275:DXS655279 EHO655275:EHO655279 ERK655275:ERK655279 FBG655275:FBG655279 FLC655275:FLC655279 FUY655275:FUY655279 GEU655275:GEU655279 GOQ655275:GOQ655279 GYM655275:GYM655279 HII655275:HII655279 HSE655275:HSE655279 ICA655275:ICA655279 ILW655275:ILW655279 IVS655275:IVS655279 JFO655275:JFO655279 JPK655275:JPK655279 JZG655275:JZG655279 KJC655275:KJC655279 KSY655275:KSY655279 LCU655275:LCU655279 LMQ655275:LMQ655279 LWM655275:LWM655279 MGI655275:MGI655279 MQE655275:MQE655279 NAA655275:NAA655279 NJW655275:NJW655279 NTS655275:NTS655279 ODO655275:ODO655279 ONK655275:ONK655279 OXG655275:OXG655279 PHC655275:PHC655279 PQY655275:PQY655279 QAU655275:QAU655279 QKQ655275:QKQ655279 QUM655275:QUM655279 REI655275:REI655279 ROE655275:ROE655279 RYA655275:RYA655279 SHW655275:SHW655279 SRS655275:SRS655279 TBO655275:TBO655279 TLK655275:TLK655279 TVG655275:TVG655279 UFC655275:UFC655279 UOY655275:UOY655279 UYU655275:UYU655279 VIQ655275:VIQ655279 VSM655275:VSM655279 WCI655275:WCI655279 WME655275:WME655279 WWA655275:WWA655279 S720811:S720815 JO720811:JO720815 TK720811:TK720815 ADG720811:ADG720815 ANC720811:ANC720815 AWY720811:AWY720815 BGU720811:BGU720815 BQQ720811:BQQ720815 CAM720811:CAM720815 CKI720811:CKI720815 CUE720811:CUE720815 DEA720811:DEA720815 DNW720811:DNW720815 DXS720811:DXS720815 EHO720811:EHO720815 ERK720811:ERK720815 FBG720811:FBG720815 FLC720811:FLC720815 FUY720811:FUY720815 GEU720811:GEU720815 GOQ720811:GOQ720815 GYM720811:GYM720815 HII720811:HII720815 HSE720811:HSE720815 ICA720811:ICA720815 ILW720811:ILW720815 IVS720811:IVS720815 JFO720811:JFO720815 JPK720811:JPK720815 JZG720811:JZG720815 KJC720811:KJC720815 KSY720811:KSY720815 LCU720811:LCU720815 LMQ720811:LMQ720815 LWM720811:LWM720815 MGI720811:MGI720815 MQE720811:MQE720815 NAA720811:NAA720815 NJW720811:NJW720815 NTS720811:NTS720815 ODO720811:ODO720815 ONK720811:ONK720815 OXG720811:OXG720815 PHC720811:PHC720815 PQY720811:PQY720815 QAU720811:QAU720815 QKQ720811:QKQ720815 QUM720811:QUM720815 REI720811:REI720815 ROE720811:ROE720815 RYA720811:RYA720815 SHW720811:SHW720815 SRS720811:SRS720815 TBO720811:TBO720815 TLK720811:TLK720815 TVG720811:TVG720815 UFC720811:UFC720815 UOY720811:UOY720815 UYU720811:UYU720815 VIQ720811:VIQ720815 VSM720811:VSM720815 WCI720811:WCI720815 WME720811:WME720815 WWA720811:WWA720815 S786347:S786351 JO786347:JO786351 TK786347:TK786351 ADG786347:ADG786351 ANC786347:ANC786351 AWY786347:AWY786351 BGU786347:BGU786351 BQQ786347:BQQ786351 CAM786347:CAM786351 CKI786347:CKI786351 CUE786347:CUE786351 DEA786347:DEA786351 DNW786347:DNW786351 DXS786347:DXS786351 EHO786347:EHO786351 ERK786347:ERK786351 FBG786347:FBG786351 FLC786347:FLC786351 FUY786347:FUY786351 GEU786347:GEU786351 GOQ786347:GOQ786351 GYM786347:GYM786351 HII786347:HII786351 HSE786347:HSE786351 ICA786347:ICA786351 ILW786347:ILW786351 IVS786347:IVS786351 JFO786347:JFO786351 JPK786347:JPK786351 JZG786347:JZG786351 KJC786347:KJC786351 KSY786347:KSY786351 LCU786347:LCU786351 LMQ786347:LMQ786351 LWM786347:LWM786351 MGI786347:MGI786351 MQE786347:MQE786351 NAA786347:NAA786351 NJW786347:NJW786351 NTS786347:NTS786351 ODO786347:ODO786351 ONK786347:ONK786351 OXG786347:OXG786351 PHC786347:PHC786351 PQY786347:PQY786351 QAU786347:QAU786351 QKQ786347:QKQ786351 QUM786347:QUM786351 REI786347:REI786351 ROE786347:ROE786351 RYA786347:RYA786351 SHW786347:SHW786351 SRS786347:SRS786351 TBO786347:TBO786351 TLK786347:TLK786351 TVG786347:TVG786351 UFC786347:UFC786351 UOY786347:UOY786351 UYU786347:UYU786351 VIQ786347:VIQ786351 VSM786347:VSM786351 WCI786347:WCI786351 WME786347:WME786351 WWA786347:WWA786351 S851883:S851887 JO851883:JO851887 TK851883:TK851887 ADG851883:ADG851887 ANC851883:ANC851887 AWY851883:AWY851887 BGU851883:BGU851887 BQQ851883:BQQ851887 CAM851883:CAM851887 CKI851883:CKI851887 CUE851883:CUE851887 DEA851883:DEA851887 DNW851883:DNW851887 DXS851883:DXS851887 EHO851883:EHO851887 ERK851883:ERK851887 FBG851883:FBG851887 FLC851883:FLC851887 FUY851883:FUY851887 GEU851883:GEU851887 GOQ851883:GOQ851887 GYM851883:GYM851887 HII851883:HII851887 HSE851883:HSE851887 ICA851883:ICA851887 ILW851883:ILW851887 IVS851883:IVS851887 JFO851883:JFO851887 JPK851883:JPK851887 JZG851883:JZG851887 KJC851883:KJC851887 KSY851883:KSY851887 LCU851883:LCU851887 LMQ851883:LMQ851887 LWM851883:LWM851887 MGI851883:MGI851887 MQE851883:MQE851887 NAA851883:NAA851887 NJW851883:NJW851887 NTS851883:NTS851887 ODO851883:ODO851887 ONK851883:ONK851887 OXG851883:OXG851887 PHC851883:PHC851887 PQY851883:PQY851887 QAU851883:QAU851887 QKQ851883:QKQ851887 QUM851883:QUM851887 REI851883:REI851887 ROE851883:ROE851887 RYA851883:RYA851887 SHW851883:SHW851887 SRS851883:SRS851887 TBO851883:TBO851887 TLK851883:TLK851887 TVG851883:TVG851887 UFC851883:UFC851887 UOY851883:UOY851887 UYU851883:UYU851887 VIQ851883:VIQ851887 VSM851883:VSM851887 WCI851883:WCI851887 WME851883:WME851887 WWA851883:WWA851887 S917419:S917423 JO917419:JO917423 TK917419:TK917423 ADG917419:ADG917423 ANC917419:ANC917423 AWY917419:AWY917423 BGU917419:BGU917423 BQQ917419:BQQ917423 CAM917419:CAM917423 CKI917419:CKI917423 CUE917419:CUE917423 DEA917419:DEA917423 DNW917419:DNW917423 DXS917419:DXS917423 EHO917419:EHO917423 ERK917419:ERK917423 FBG917419:FBG917423 FLC917419:FLC917423 FUY917419:FUY917423 GEU917419:GEU917423 GOQ917419:GOQ917423 GYM917419:GYM917423 HII917419:HII917423 HSE917419:HSE917423 ICA917419:ICA917423 ILW917419:ILW917423 IVS917419:IVS917423 JFO917419:JFO917423 JPK917419:JPK917423 JZG917419:JZG917423 KJC917419:KJC917423 KSY917419:KSY917423 LCU917419:LCU917423 LMQ917419:LMQ917423 LWM917419:LWM917423 MGI917419:MGI917423 MQE917419:MQE917423 NAA917419:NAA917423 NJW917419:NJW917423 NTS917419:NTS917423 ODO917419:ODO917423 ONK917419:ONK917423 OXG917419:OXG917423 PHC917419:PHC917423 PQY917419:PQY917423 QAU917419:QAU917423 QKQ917419:QKQ917423 QUM917419:QUM917423 REI917419:REI917423 ROE917419:ROE917423 RYA917419:RYA917423 SHW917419:SHW917423 SRS917419:SRS917423 TBO917419:TBO917423 TLK917419:TLK917423 TVG917419:TVG917423 UFC917419:UFC917423 UOY917419:UOY917423 UYU917419:UYU917423 VIQ917419:VIQ917423 VSM917419:VSM917423 WCI917419:WCI917423 WME917419:WME917423 WWA917419:WWA917423 S982955:S982959 JO982955:JO982959 TK982955:TK982959 ADG982955:ADG982959 ANC982955:ANC982959 AWY982955:AWY982959 BGU982955:BGU982959 BQQ982955:BQQ982959 CAM982955:CAM982959 CKI982955:CKI982959 CUE982955:CUE982959 DEA982955:DEA982959 DNW982955:DNW982959 DXS982955:DXS982959 EHO982955:EHO982959 ERK982955:ERK982959 FBG982955:FBG982959 FLC982955:FLC982959 FUY982955:FUY982959 GEU982955:GEU982959 GOQ982955:GOQ982959 GYM982955:GYM982959 HII982955:HII982959 HSE982955:HSE982959 ICA982955:ICA982959 ILW982955:ILW982959 IVS982955:IVS982959 JFO982955:JFO982959 JPK982955:JPK982959 JZG982955:JZG982959 KJC982955:KJC982959 KSY982955:KSY982959 LCU982955:LCU982959 LMQ982955:LMQ982959 LWM982955:LWM982959 MGI982955:MGI982959 MQE982955:MQE982959 NAA982955:NAA982959 NJW982955:NJW982959 NTS982955:NTS982959 ODO982955:ODO982959 ONK982955:ONK982959 OXG982955:OXG982959 PHC982955:PHC982959 PQY982955:PQY982959 QAU982955:QAU982959 QKQ982955:QKQ982959 QUM982955:QUM982959 REI982955:REI982959 ROE982955:ROE982959 RYA982955:RYA982959 SHW982955:SHW982959 SRS982955:SRS982959 TBO982955:TBO982959 TLK982955:TLK982959 TVG982955:TVG982959 UFC982955:UFC982959 UOY982955:UOY982959 UYU982955:UYU982959 VIQ982955:VIQ982959 VSM982955:VSM982959 WCI982955:WCI982959 WME982955:WME982959 S14:S24 WVX20:WVX24 WWA14:WWA19 WMB20:WMB24 WME14:WME19 WCF20:WCF24 WCI14:WCI19 VSJ20:VSJ24 VSM14:VSM19 VIN20:VIN24 VIQ14:VIQ19 UYR20:UYR24 UYU14:UYU19 UOV20:UOV24 UOY14:UOY19 UEZ20:UEZ24 UFC14:UFC19 TVD20:TVD24 TVG14:TVG19 TLH20:TLH24 TLK14:TLK19 TBL20:TBL24 TBO14:TBO19 SRP20:SRP24 SRS14:SRS19 SHT20:SHT24 SHW14:SHW19 RXX20:RXX24 RYA14:RYA19 ROB20:ROB24 ROE14:ROE19 REF20:REF24 REI14:REI19 QUJ20:QUJ24 QUM14:QUM19 QKN20:QKN24 QKQ14:QKQ19 QAR20:QAR24 QAU14:QAU19 PQV20:PQV24 PQY14:PQY19 PGZ20:PGZ24 PHC14:PHC19 OXD20:OXD24 OXG14:OXG19 ONH20:ONH24 ONK14:ONK19 ODL20:ODL24 ODO14:ODO19 NTP20:NTP24 NTS14:NTS19 NJT20:NJT24 NJW14:NJW19 MZX20:MZX24 NAA14:NAA19 MQB20:MQB24 MQE14:MQE19 MGF20:MGF24 MGI14:MGI19 LWJ20:LWJ24 LWM14:LWM19 LMN20:LMN24 LMQ14:LMQ19 LCR20:LCR24 LCU14:LCU19 KSV20:KSV24 KSY14:KSY19 KIZ20:KIZ24 KJC14:KJC19 JZD20:JZD24 JZG14:JZG19 JPH20:JPH24 JPK14:JPK19 JFL20:JFL24 JFO14:JFO19 IVP20:IVP24 IVS14:IVS19 ILT20:ILT24 ILW14:ILW19 IBX20:IBX24 ICA14:ICA19 HSB20:HSB24 HSE14:HSE19 HIF20:HIF24 HII14:HII19 GYJ20:GYJ24 GYM14:GYM19 GON20:GON24 GOQ14:GOQ19 GER20:GER24 GEU14:GEU19 FUV20:FUV24 FUY14:FUY19 FKZ20:FKZ24 FLC14:FLC19 FBD20:FBD24 FBG14:FBG19 ERH20:ERH24 ERK14:ERK19 EHL20:EHL24 EHO14:EHO19 DXP20:DXP24 DXS14:DXS19 DNT20:DNT24 DNW14:DNW19 DDX20:DDX24 DEA14:DEA19 CUB20:CUB24 CUE14:CUE19 CKF20:CKF24 CKI14:CKI19 CAJ20:CAJ24 CAM14:CAM19 BQN20:BQN24 BQQ14:BQQ19 BGR20:BGR24 BGU14:BGU19 AWV20:AWV24 AWY14:AWY19 AMZ20:AMZ24 ANC14:ANC19 ADD20:ADD24 ADG14:ADG19 TH20:TH24 TK14:TK19 JL20:JL24 JO14:JO19">
      <formula1>"1,2,3,4,5"</formula1>
    </dataValidation>
    <dataValidation type="list" allowBlank="1" showInputMessage="1" showErrorMessage="1" sqref="WVO982955:WVO982959 E65451:E65455 JC65451:JC65455 SY65451:SY65455 ACU65451:ACU65455 AMQ65451:AMQ65455 AWM65451:AWM65455 BGI65451:BGI65455 BQE65451:BQE65455 CAA65451:CAA65455 CJW65451:CJW65455 CTS65451:CTS65455 DDO65451:DDO65455 DNK65451:DNK65455 DXG65451:DXG65455 EHC65451:EHC65455 EQY65451:EQY65455 FAU65451:FAU65455 FKQ65451:FKQ65455 FUM65451:FUM65455 GEI65451:GEI65455 GOE65451:GOE65455 GYA65451:GYA65455 HHW65451:HHW65455 HRS65451:HRS65455 IBO65451:IBO65455 ILK65451:ILK65455 IVG65451:IVG65455 JFC65451:JFC65455 JOY65451:JOY65455 JYU65451:JYU65455 KIQ65451:KIQ65455 KSM65451:KSM65455 LCI65451:LCI65455 LME65451:LME65455 LWA65451:LWA65455 MFW65451:MFW65455 MPS65451:MPS65455 MZO65451:MZO65455 NJK65451:NJK65455 NTG65451:NTG65455 ODC65451:ODC65455 OMY65451:OMY65455 OWU65451:OWU65455 PGQ65451:PGQ65455 PQM65451:PQM65455 QAI65451:QAI65455 QKE65451:QKE65455 QUA65451:QUA65455 RDW65451:RDW65455 RNS65451:RNS65455 RXO65451:RXO65455 SHK65451:SHK65455 SRG65451:SRG65455 TBC65451:TBC65455 TKY65451:TKY65455 TUU65451:TUU65455 UEQ65451:UEQ65455 UOM65451:UOM65455 UYI65451:UYI65455 VIE65451:VIE65455 VSA65451:VSA65455 WBW65451:WBW65455 WLS65451:WLS65455 WVO65451:WVO65455 E130987:E130991 JC130987:JC130991 SY130987:SY130991 ACU130987:ACU130991 AMQ130987:AMQ130991 AWM130987:AWM130991 BGI130987:BGI130991 BQE130987:BQE130991 CAA130987:CAA130991 CJW130987:CJW130991 CTS130987:CTS130991 DDO130987:DDO130991 DNK130987:DNK130991 DXG130987:DXG130991 EHC130987:EHC130991 EQY130987:EQY130991 FAU130987:FAU130991 FKQ130987:FKQ130991 FUM130987:FUM130991 GEI130987:GEI130991 GOE130987:GOE130991 GYA130987:GYA130991 HHW130987:HHW130991 HRS130987:HRS130991 IBO130987:IBO130991 ILK130987:ILK130991 IVG130987:IVG130991 JFC130987:JFC130991 JOY130987:JOY130991 JYU130987:JYU130991 KIQ130987:KIQ130991 KSM130987:KSM130991 LCI130987:LCI130991 LME130987:LME130991 LWA130987:LWA130991 MFW130987:MFW130991 MPS130987:MPS130991 MZO130987:MZO130991 NJK130987:NJK130991 NTG130987:NTG130991 ODC130987:ODC130991 OMY130987:OMY130991 OWU130987:OWU130991 PGQ130987:PGQ130991 PQM130987:PQM130991 QAI130987:QAI130991 QKE130987:QKE130991 QUA130987:QUA130991 RDW130987:RDW130991 RNS130987:RNS130991 RXO130987:RXO130991 SHK130987:SHK130991 SRG130987:SRG130991 TBC130987:TBC130991 TKY130987:TKY130991 TUU130987:TUU130991 UEQ130987:UEQ130991 UOM130987:UOM130991 UYI130987:UYI130991 VIE130987:VIE130991 VSA130987:VSA130991 WBW130987:WBW130991 WLS130987:WLS130991 WVO130987:WVO130991 E196523:E196527 JC196523:JC196527 SY196523:SY196527 ACU196523:ACU196527 AMQ196523:AMQ196527 AWM196523:AWM196527 BGI196523:BGI196527 BQE196523:BQE196527 CAA196523:CAA196527 CJW196523:CJW196527 CTS196523:CTS196527 DDO196523:DDO196527 DNK196523:DNK196527 DXG196523:DXG196527 EHC196523:EHC196527 EQY196523:EQY196527 FAU196523:FAU196527 FKQ196523:FKQ196527 FUM196523:FUM196527 GEI196523:GEI196527 GOE196523:GOE196527 GYA196523:GYA196527 HHW196523:HHW196527 HRS196523:HRS196527 IBO196523:IBO196527 ILK196523:ILK196527 IVG196523:IVG196527 JFC196523:JFC196527 JOY196523:JOY196527 JYU196523:JYU196527 KIQ196523:KIQ196527 KSM196523:KSM196527 LCI196523:LCI196527 LME196523:LME196527 LWA196523:LWA196527 MFW196523:MFW196527 MPS196523:MPS196527 MZO196523:MZO196527 NJK196523:NJK196527 NTG196523:NTG196527 ODC196523:ODC196527 OMY196523:OMY196527 OWU196523:OWU196527 PGQ196523:PGQ196527 PQM196523:PQM196527 QAI196523:QAI196527 QKE196523:QKE196527 QUA196523:QUA196527 RDW196523:RDW196527 RNS196523:RNS196527 RXO196523:RXO196527 SHK196523:SHK196527 SRG196523:SRG196527 TBC196523:TBC196527 TKY196523:TKY196527 TUU196523:TUU196527 UEQ196523:UEQ196527 UOM196523:UOM196527 UYI196523:UYI196527 VIE196523:VIE196527 VSA196523:VSA196527 WBW196523:WBW196527 WLS196523:WLS196527 WVO196523:WVO196527 E262059:E262063 JC262059:JC262063 SY262059:SY262063 ACU262059:ACU262063 AMQ262059:AMQ262063 AWM262059:AWM262063 BGI262059:BGI262063 BQE262059:BQE262063 CAA262059:CAA262063 CJW262059:CJW262063 CTS262059:CTS262063 DDO262059:DDO262063 DNK262059:DNK262063 DXG262059:DXG262063 EHC262059:EHC262063 EQY262059:EQY262063 FAU262059:FAU262063 FKQ262059:FKQ262063 FUM262059:FUM262063 GEI262059:GEI262063 GOE262059:GOE262063 GYA262059:GYA262063 HHW262059:HHW262063 HRS262059:HRS262063 IBO262059:IBO262063 ILK262059:ILK262063 IVG262059:IVG262063 JFC262059:JFC262063 JOY262059:JOY262063 JYU262059:JYU262063 KIQ262059:KIQ262063 KSM262059:KSM262063 LCI262059:LCI262063 LME262059:LME262063 LWA262059:LWA262063 MFW262059:MFW262063 MPS262059:MPS262063 MZO262059:MZO262063 NJK262059:NJK262063 NTG262059:NTG262063 ODC262059:ODC262063 OMY262059:OMY262063 OWU262059:OWU262063 PGQ262059:PGQ262063 PQM262059:PQM262063 QAI262059:QAI262063 QKE262059:QKE262063 QUA262059:QUA262063 RDW262059:RDW262063 RNS262059:RNS262063 RXO262059:RXO262063 SHK262059:SHK262063 SRG262059:SRG262063 TBC262059:TBC262063 TKY262059:TKY262063 TUU262059:TUU262063 UEQ262059:UEQ262063 UOM262059:UOM262063 UYI262059:UYI262063 VIE262059:VIE262063 VSA262059:VSA262063 WBW262059:WBW262063 WLS262059:WLS262063 WVO262059:WVO262063 E327595:E327599 JC327595:JC327599 SY327595:SY327599 ACU327595:ACU327599 AMQ327595:AMQ327599 AWM327595:AWM327599 BGI327595:BGI327599 BQE327595:BQE327599 CAA327595:CAA327599 CJW327595:CJW327599 CTS327595:CTS327599 DDO327595:DDO327599 DNK327595:DNK327599 DXG327595:DXG327599 EHC327595:EHC327599 EQY327595:EQY327599 FAU327595:FAU327599 FKQ327595:FKQ327599 FUM327595:FUM327599 GEI327595:GEI327599 GOE327595:GOE327599 GYA327595:GYA327599 HHW327595:HHW327599 HRS327595:HRS327599 IBO327595:IBO327599 ILK327595:ILK327599 IVG327595:IVG327599 JFC327595:JFC327599 JOY327595:JOY327599 JYU327595:JYU327599 KIQ327595:KIQ327599 KSM327595:KSM327599 LCI327595:LCI327599 LME327595:LME327599 LWA327595:LWA327599 MFW327595:MFW327599 MPS327595:MPS327599 MZO327595:MZO327599 NJK327595:NJK327599 NTG327595:NTG327599 ODC327595:ODC327599 OMY327595:OMY327599 OWU327595:OWU327599 PGQ327595:PGQ327599 PQM327595:PQM327599 QAI327595:QAI327599 QKE327595:QKE327599 QUA327595:QUA327599 RDW327595:RDW327599 RNS327595:RNS327599 RXO327595:RXO327599 SHK327595:SHK327599 SRG327595:SRG327599 TBC327595:TBC327599 TKY327595:TKY327599 TUU327595:TUU327599 UEQ327595:UEQ327599 UOM327595:UOM327599 UYI327595:UYI327599 VIE327595:VIE327599 VSA327595:VSA327599 WBW327595:WBW327599 WLS327595:WLS327599 WVO327595:WVO327599 E393131:E393135 JC393131:JC393135 SY393131:SY393135 ACU393131:ACU393135 AMQ393131:AMQ393135 AWM393131:AWM393135 BGI393131:BGI393135 BQE393131:BQE393135 CAA393131:CAA393135 CJW393131:CJW393135 CTS393131:CTS393135 DDO393131:DDO393135 DNK393131:DNK393135 DXG393131:DXG393135 EHC393131:EHC393135 EQY393131:EQY393135 FAU393131:FAU393135 FKQ393131:FKQ393135 FUM393131:FUM393135 GEI393131:GEI393135 GOE393131:GOE393135 GYA393131:GYA393135 HHW393131:HHW393135 HRS393131:HRS393135 IBO393131:IBO393135 ILK393131:ILK393135 IVG393131:IVG393135 JFC393131:JFC393135 JOY393131:JOY393135 JYU393131:JYU393135 KIQ393131:KIQ393135 KSM393131:KSM393135 LCI393131:LCI393135 LME393131:LME393135 LWA393131:LWA393135 MFW393131:MFW393135 MPS393131:MPS393135 MZO393131:MZO393135 NJK393131:NJK393135 NTG393131:NTG393135 ODC393131:ODC393135 OMY393131:OMY393135 OWU393131:OWU393135 PGQ393131:PGQ393135 PQM393131:PQM393135 QAI393131:QAI393135 QKE393131:QKE393135 QUA393131:QUA393135 RDW393131:RDW393135 RNS393131:RNS393135 RXO393131:RXO393135 SHK393131:SHK393135 SRG393131:SRG393135 TBC393131:TBC393135 TKY393131:TKY393135 TUU393131:TUU393135 UEQ393131:UEQ393135 UOM393131:UOM393135 UYI393131:UYI393135 VIE393131:VIE393135 VSA393131:VSA393135 WBW393131:WBW393135 WLS393131:WLS393135 WVO393131:WVO393135 E458667:E458671 JC458667:JC458671 SY458667:SY458671 ACU458667:ACU458671 AMQ458667:AMQ458671 AWM458667:AWM458671 BGI458667:BGI458671 BQE458667:BQE458671 CAA458667:CAA458671 CJW458667:CJW458671 CTS458667:CTS458671 DDO458667:DDO458671 DNK458667:DNK458671 DXG458667:DXG458671 EHC458667:EHC458671 EQY458667:EQY458671 FAU458667:FAU458671 FKQ458667:FKQ458671 FUM458667:FUM458671 GEI458667:GEI458671 GOE458667:GOE458671 GYA458667:GYA458671 HHW458667:HHW458671 HRS458667:HRS458671 IBO458667:IBO458671 ILK458667:ILK458671 IVG458667:IVG458671 JFC458667:JFC458671 JOY458667:JOY458671 JYU458667:JYU458671 KIQ458667:KIQ458671 KSM458667:KSM458671 LCI458667:LCI458671 LME458667:LME458671 LWA458667:LWA458671 MFW458667:MFW458671 MPS458667:MPS458671 MZO458667:MZO458671 NJK458667:NJK458671 NTG458667:NTG458671 ODC458667:ODC458671 OMY458667:OMY458671 OWU458667:OWU458671 PGQ458667:PGQ458671 PQM458667:PQM458671 QAI458667:QAI458671 QKE458667:QKE458671 QUA458667:QUA458671 RDW458667:RDW458671 RNS458667:RNS458671 RXO458667:RXO458671 SHK458667:SHK458671 SRG458667:SRG458671 TBC458667:TBC458671 TKY458667:TKY458671 TUU458667:TUU458671 UEQ458667:UEQ458671 UOM458667:UOM458671 UYI458667:UYI458671 VIE458667:VIE458671 VSA458667:VSA458671 WBW458667:WBW458671 WLS458667:WLS458671 WVO458667:WVO458671 E524203:E524207 JC524203:JC524207 SY524203:SY524207 ACU524203:ACU524207 AMQ524203:AMQ524207 AWM524203:AWM524207 BGI524203:BGI524207 BQE524203:BQE524207 CAA524203:CAA524207 CJW524203:CJW524207 CTS524203:CTS524207 DDO524203:DDO524207 DNK524203:DNK524207 DXG524203:DXG524207 EHC524203:EHC524207 EQY524203:EQY524207 FAU524203:FAU524207 FKQ524203:FKQ524207 FUM524203:FUM524207 GEI524203:GEI524207 GOE524203:GOE524207 GYA524203:GYA524207 HHW524203:HHW524207 HRS524203:HRS524207 IBO524203:IBO524207 ILK524203:ILK524207 IVG524203:IVG524207 JFC524203:JFC524207 JOY524203:JOY524207 JYU524203:JYU524207 KIQ524203:KIQ524207 KSM524203:KSM524207 LCI524203:LCI524207 LME524203:LME524207 LWA524203:LWA524207 MFW524203:MFW524207 MPS524203:MPS524207 MZO524203:MZO524207 NJK524203:NJK524207 NTG524203:NTG524207 ODC524203:ODC524207 OMY524203:OMY524207 OWU524203:OWU524207 PGQ524203:PGQ524207 PQM524203:PQM524207 QAI524203:QAI524207 QKE524203:QKE524207 QUA524203:QUA524207 RDW524203:RDW524207 RNS524203:RNS524207 RXO524203:RXO524207 SHK524203:SHK524207 SRG524203:SRG524207 TBC524203:TBC524207 TKY524203:TKY524207 TUU524203:TUU524207 UEQ524203:UEQ524207 UOM524203:UOM524207 UYI524203:UYI524207 VIE524203:VIE524207 VSA524203:VSA524207 WBW524203:WBW524207 WLS524203:WLS524207 WVO524203:WVO524207 E589739:E589743 JC589739:JC589743 SY589739:SY589743 ACU589739:ACU589743 AMQ589739:AMQ589743 AWM589739:AWM589743 BGI589739:BGI589743 BQE589739:BQE589743 CAA589739:CAA589743 CJW589739:CJW589743 CTS589739:CTS589743 DDO589739:DDO589743 DNK589739:DNK589743 DXG589739:DXG589743 EHC589739:EHC589743 EQY589739:EQY589743 FAU589739:FAU589743 FKQ589739:FKQ589743 FUM589739:FUM589743 GEI589739:GEI589743 GOE589739:GOE589743 GYA589739:GYA589743 HHW589739:HHW589743 HRS589739:HRS589743 IBO589739:IBO589743 ILK589739:ILK589743 IVG589739:IVG589743 JFC589739:JFC589743 JOY589739:JOY589743 JYU589739:JYU589743 KIQ589739:KIQ589743 KSM589739:KSM589743 LCI589739:LCI589743 LME589739:LME589743 LWA589739:LWA589743 MFW589739:MFW589743 MPS589739:MPS589743 MZO589739:MZO589743 NJK589739:NJK589743 NTG589739:NTG589743 ODC589739:ODC589743 OMY589739:OMY589743 OWU589739:OWU589743 PGQ589739:PGQ589743 PQM589739:PQM589743 QAI589739:QAI589743 QKE589739:QKE589743 QUA589739:QUA589743 RDW589739:RDW589743 RNS589739:RNS589743 RXO589739:RXO589743 SHK589739:SHK589743 SRG589739:SRG589743 TBC589739:TBC589743 TKY589739:TKY589743 TUU589739:TUU589743 UEQ589739:UEQ589743 UOM589739:UOM589743 UYI589739:UYI589743 VIE589739:VIE589743 VSA589739:VSA589743 WBW589739:WBW589743 WLS589739:WLS589743 WVO589739:WVO589743 E655275:E655279 JC655275:JC655279 SY655275:SY655279 ACU655275:ACU655279 AMQ655275:AMQ655279 AWM655275:AWM655279 BGI655275:BGI655279 BQE655275:BQE655279 CAA655275:CAA655279 CJW655275:CJW655279 CTS655275:CTS655279 DDO655275:DDO655279 DNK655275:DNK655279 DXG655275:DXG655279 EHC655275:EHC655279 EQY655275:EQY655279 FAU655275:FAU655279 FKQ655275:FKQ655279 FUM655275:FUM655279 GEI655275:GEI655279 GOE655275:GOE655279 GYA655275:GYA655279 HHW655275:HHW655279 HRS655275:HRS655279 IBO655275:IBO655279 ILK655275:ILK655279 IVG655275:IVG655279 JFC655275:JFC655279 JOY655275:JOY655279 JYU655275:JYU655279 KIQ655275:KIQ655279 KSM655275:KSM655279 LCI655275:LCI655279 LME655275:LME655279 LWA655275:LWA655279 MFW655275:MFW655279 MPS655275:MPS655279 MZO655275:MZO655279 NJK655275:NJK655279 NTG655275:NTG655279 ODC655275:ODC655279 OMY655275:OMY655279 OWU655275:OWU655279 PGQ655275:PGQ655279 PQM655275:PQM655279 QAI655275:QAI655279 QKE655275:QKE655279 QUA655275:QUA655279 RDW655275:RDW655279 RNS655275:RNS655279 RXO655275:RXO655279 SHK655275:SHK655279 SRG655275:SRG655279 TBC655275:TBC655279 TKY655275:TKY655279 TUU655275:TUU655279 UEQ655275:UEQ655279 UOM655275:UOM655279 UYI655275:UYI655279 VIE655275:VIE655279 VSA655275:VSA655279 WBW655275:WBW655279 WLS655275:WLS655279 WVO655275:WVO655279 E720811:E720815 JC720811:JC720815 SY720811:SY720815 ACU720811:ACU720815 AMQ720811:AMQ720815 AWM720811:AWM720815 BGI720811:BGI720815 BQE720811:BQE720815 CAA720811:CAA720815 CJW720811:CJW720815 CTS720811:CTS720815 DDO720811:DDO720815 DNK720811:DNK720815 DXG720811:DXG720815 EHC720811:EHC720815 EQY720811:EQY720815 FAU720811:FAU720815 FKQ720811:FKQ720815 FUM720811:FUM720815 GEI720811:GEI720815 GOE720811:GOE720815 GYA720811:GYA720815 HHW720811:HHW720815 HRS720811:HRS720815 IBO720811:IBO720815 ILK720811:ILK720815 IVG720811:IVG720815 JFC720811:JFC720815 JOY720811:JOY720815 JYU720811:JYU720815 KIQ720811:KIQ720815 KSM720811:KSM720815 LCI720811:LCI720815 LME720811:LME720815 LWA720811:LWA720815 MFW720811:MFW720815 MPS720811:MPS720815 MZO720811:MZO720815 NJK720811:NJK720815 NTG720811:NTG720815 ODC720811:ODC720815 OMY720811:OMY720815 OWU720811:OWU720815 PGQ720811:PGQ720815 PQM720811:PQM720815 QAI720811:QAI720815 QKE720811:QKE720815 QUA720811:QUA720815 RDW720811:RDW720815 RNS720811:RNS720815 RXO720811:RXO720815 SHK720811:SHK720815 SRG720811:SRG720815 TBC720811:TBC720815 TKY720811:TKY720815 TUU720811:TUU720815 UEQ720811:UEQ720815 UOM720811:UOM720815 UYI720811:UYI720815 VIE720811:VIE720815 VSA720811:VSA720815 WBW720811:WBW720815 WLS720811:WLS720815 WVO720811:WVO720815 E786347:E786351 JC786347:JC786351 SY786347:SY786351 ACU786347:ACU786351 AMQ786347:AMQ786351 AWM786347:AWM786351 BGI786347:BGI786351 BQE786347:BQE786351 CAA786347:CAA786351 CJW786347:CJW786351 CTS786347:CTS786351 DDO786347:DDO786351 DNK786347:DNK786351 DXG786347:DXG786351 EHC786347:EHC786351 EQY786347:EQY786351 FAU786347:FAU786351 FKQ786347:FKQ786351 FUM786347:FUM786351 GEI786347:GEI786351 GOE786347:GOE786351 GYA786347:GYA786351 HHW786347:HHW786351 HRS786347:HRS786351 IBO786347:IBO786351 ILK786347:ILK786351 IVG786347:IVG786351 JFC786347:JFC786351 JOY786347:JOY786351 JYU786347:JYU786351 KIQ786347:KIQ786351 KSM786347:KSM786351 LCI786347:LCI786351 LME786347:LME786351 LWA786347:LWA786351 MFW786347:MFW786351 MPS786347:MPS786351 MZO786347:MZO786351 NJK786347:NJK786351 NTG786347:NTG786351 ODC786347:ODC786351 OMY786347:OMY786351 OWU786347:OWU786351 PGQ786347:PGQ786351 PQM786347:PQM786351 QAI786347:QAI786351 QKE786347:QKE786351 QUA786347:QUA786351 RDW786347:RDW786351 RNS786347:RNS786351 RXO786347:RXO786351 SHK786347:SHK786351 SRG786347:SRG786351 TBC786347:TBC786351 TKY786347:TKY786351 TUU786347:TUU786351 UEQ786347:UEQ786351 UOM786347:UOM786351 UYI786347:UYI786351 VIE786347:VIE786351 VSA786347:VSA786351 WBW786347:WBW786351 WLS786347:WLS786351 WVO786347:WVO786351 E851883:E851887 JC851883:JC851887 SY851883:SY851887 ACU851883:ACU851887 AMQ851883:AMQ851887 AWM851883:AWM851887 BGI851883:BGI851887 BQE851883:BQE851887 CAA851883:CAA851887 CJW851883:CJW851887 CTS851883:CTS851887 DDO851883:DDO851887 DNK851883:DNK851887 DXG851883:DXG851887 EHC851883:EHC851887 EQY851883:EQY851887 FAU851883:FAU851887 FKQ851883:FKQ851887 FUM851883:FUM851887 GEI851883:GEI851887 GOE851883:GOE851887 GYA851883:GYA851887 HHW851883:HHW851887 HRS851883:HRS851887 IBO851883:IBO851887 ILK851883:ILK851887 IVG851883:IVG851887 JFC851883:JFC851887 JOY851883:JOY851887 JYU851883:JYU851887 KIQ851883:KIQ851887 KSM851883:KSM851887 LCI851883:LCI851887 LME851883:LME851887 LWA851883:LWA851887 MFW851883:MFW851887 MPS851883:MPS851887 MZO851883:MZO851887 NJK851883:NJK851887 NTG851883:NTG851887 ODC851883:ODC851887 OMY851883:OMY851887 OWU851883:OWU851887 PGQ851883:PGQ851887 PQM851883:PQM851887 QAI851883:QAI851887 QKE851883:QKE851887 QUA851883:QUA851887 RDW851883:RDW851887 RNS851883:RNS851887 RXO851883:RXO851887 SHK851883:SHK851887 SRG851883:SRG851887 TBC851883:TBC851887 TKY851883:TKY851887 TUU851883:TUU851887 UEQ851883:UEQ851887 UOM851883:UOM851887 UYI851883:UYI851887 VIE851883:VIE851887 VSA851883:VSA851887 WBW851883:WBW851887 WLS851883:WLS851887 WVO851883:WVO851887 E917419:E917423 JC917419:JC917423 SY917419:SY917423 ACU917419:ACU917423 AMQ917419:AMQ917423 AWM917419:AWM917423 BGI917419:BGI917423 BQE917419:BQE917423 CAA917419:CAA917423 CJW917419:CJW917423 CTS917419:CTS917423 DDO917419:DDO917423 DNK917419:DNK917423 DXG917419:DXG917423 EHC917419:EHC917423 EQY917419:EQY917423 FAU917419:FAU917423 FKQ917419:FKQ917423 FUM917419:FUM917423 GEI917419:GEI917423 GOE917419:GOE917423 GYA917419:GYA917423 HHW917419:HHW917423 HRS917419:HRS917423 IBO917419:IBO917423 ILK917419:ILK917423 IVG917419:IVG917423 JFC917419:JFC917423 JOY917419:JOY917423 JYU917419:JYU917423 KIQ917419:KIQ917423 KSM917419:KSM917423 LCI917419:LCI917423 LME917419:LME917423 LWA917419:LWA917423 MFW917419:MFW917423 MPS917419:MPS917423 MZO917419:MZO917423 NJK917419:NJK917423 NTG917419:NTG917423 ODC917419:ODC917423 OMY917419:OMY917423 OWU917419:OWU917423 PGQ917419:PGQ917423 PQM917419:PQM917423 QAI917419:QAI917423 QKE917419:QKE917423 QUA917419:QUA917423 RDW917419:RDW917423 RNS917419:RNS917423 RXO917419:RXO917423 SHK917419:SHK917423 SRG917419:SRG917423 TBC917419:TBC917423 TKY917419:TKY917423 TUU917419:TUU917423 UEQ917419:UEQ917423 UOM917419:UOM917423 UYI917419:UYI917423 VIE917419:VIE917423 VSA917419:VSA917423 WBW917419:WBW917423 WLS917419:WLS917423 WVO917419:WVO917423 E982955:E982959 JC982955:JC982959 SY982955:SY982959 ACU982955:ACU982959 AMQ982955:AMQ982959 AWM982955:AWM982959 BGI982955:BGI982959 BQE982955:BQE982959 CAA982955:CAA982959 CJW982955:CJW982959 CTS982955:CTS982959 DDO982955:DDO982959 DNK982955:DNK982959 DXG982955:DXG982959 EHC982955:EHC982959 EQY982955:EQY982959 FAU982955:FAU982959 FKQ982955:FKQ982959 FUM982955:FUM982959 GEI982955:GEI982959 GOE982955:GOE982959 GYA982955:GYA982959 HHW982955:HHW982959 HRS982955:HRS982959 IBO982955:IBO982959 ILK982955:ILK982959 IVG982955:IVG982959 JFC982955:JFC982959 JOY982955:JOY982959 JYU982955:JYU982959 KIQ982955:KIQ982959 KSM982955:KSM982959 LCI982955:LCI982959 LME982955:LME982959 LWA982955:LWA982959 MFW982955:MFW982959 MPS982955:MPS982959 MZO982955:MZO982959 NJK982955:NJK982959 NTG982955:NTG982959 ODC982955:ODC982959 OMY982955:OMY982959 OWU982955:OWU982959 PGQ982955:PGQ982959 PQM982955:PQM982959 QAI982955:QAI982959 QKE982955:QKE982959 QUA982955:QUA982959 RDW982955:RDW982959 RNS982955:RNS982959 RXO982955:RXO982959 SHK982955:SHK982959 SRG982955:SRG982959 TBC982955:TBC982959 TKY982955:TKY982959 TUU982955:TUU982959 UEQ982955:UEQ982959 UOM982955:UOM982959 UYI982955:UYI982959 VIE982955:VIE982959 VSA982955:VSA982959 WBW982955:WBW982959 WLS982955:WLS982959 JC14:JC19 WVL20:WVL24 WVO14:WVO19 WLP20:WLP24 WLS14:WLS19 WBT20:WBT24 WBW14:WBW19 VRX20:VRX24 VSA14:VSA19 VIB20:VIB24 VIE14:VIE19 UYF20:UYF24 UYI14:UYI19 UOJ20:UOJ24 UOM14:UOM19 UEN20:UEN24 UEQ14:UEQ19 TUR20:TUR24 TUU14:TUU19 TKV20:TKV24 TKY14:TKY19 TAZ20:TAZ24 TBC14:TBC19 SRD20:SRD24 SRG14:SRG19 SHH20:SHH24 SHK14:SHK19 RXL20:RXL24 RXO14:RXO19 RNP20:RNP24 RNS14:RNS19 RDT20:RDT24 RDW14:RDW19 QTX20:QTX24 QUA14:QUA19 QKB20:QKB24 QKE14:QKE19 QAF20:QAF24 QAI14:QAI19 PQJ20:PQJ24 PQM14:PQM19 PGN20:PGN24 PGQ14:PGQ19 OWR20:OWR24 OWU14:OWU19 OMV20:OMV24 OMY14:OMY19 OCZ20:OCZ24 ODC14:ODC19 NTD20:NTD24 NTG14:NTG19 NJH20:NJH24 NJK14:NJK19 MZL20:MZL24 MZO14:MZO19 MPP20:MPP24 MPS14:MPS19 MFT20:MFT24 MFW14:MFW19 LVX20:LVX24 LWA14:LWA19 LMB20:LMB24 LME14:LME19 LCF20:LCF24 LCI14:LCI19 KSJ20:KSJ24 KSM14:KSM19 KIN20:KIN24 KIQ14:KIQ19 JYR20:JYR24 JYU14:JYU19 JOV20:JOV24 JOY14:JOY19 JEZ20:JEZ24 JFC14:JFC19 IVD20:IVD24 IVG14:IVG19 ILH20:ILH24 ILK14:ILK19 IBL20:IBL24 IBO14:IBO19 HRP20:HRP24 HRS14:HRS19 HHT20:HHT24 HHW14:HHW19 GXX20:GXX24 GYA14:GYA19 GOB20:GOB24 GOE14:GOE19 GEF20:GEF24 GEI14:GEI19 FUJ20:FUJ24 FUM14:FUM19 FKN20:FKN24 FKQ14:FKQ19 FAR20:FAR24 FAU14:FAU19 EQV20:EQV24 EQY14:EQY19 EGZ20:EGZ24 EHC14:EHC19 DXD20:DXD24 DXG14:DXG19 DNH20:DNH24 DNK14:DNK19 DDL20:DDL24 DDO14:DDO19 CTP20:CTP24 CTS14:CTS19 CJT20:CJT24 CJW14:CJW19 BZX20:BZX24 CAA14:CAA19 BQB20:BQB24 BQE14:BQE19 BGF20:BGF24 BGI14:BGI19 AWJ20:AWJ24 AWM14:AWM19 AMN20:AMN24 AMQ14:AMQ19 ACR20:ACR24 ACU14:ACU19 SV20:SV24 SY14:SY19 IZ20:IZ24 E14:E24">
      <formula1>"SIM,NÃO"</formula1>
    </dataValidation>
    <dataValidation type="list" allowBlank="1" showInputMessage="1" showErrorMessage="1" sqref="WVN982955:WVN982958 D65451:D65454 JB65451:JB65454 SX65451:SX65454 ACT65451:ACT65454 AMP65451:AMP65454 AWL65451:AWL65454 BGH65451:BGH65454 BQD65451:BQD65454 BZZ65451:BZZ65454 CJV65451:CJV65454 CTR65451:CTR65454 DDN65451:DDN65454 DNJ65451:DNJ65454 DXF65451:DXF65454 EHB65451:EHB65454 EQX65451:EQX65454 FAT65451:FAT65454 FKP65451:FKP65454 FUL65451:FUL65454 GEH65451:GEH65454 GOD65451:GOD65454 GXZ65451:GXZ65454 HHV65451:HHV65454 HRR65451:HRR65454 IBN65451:IBN65454 ILJ65451:ILJ65454 IVF65451:IVF65454 JFB65451:JFB65454 JOX65451:JOX65454 JYT65451:JYT65454 KIP65451:KIP65454 KSL65451:KSL65454 LCH65451:LCH65454 LMD65451:LMD65454 LVZ65451:LVZ65454 MFV65451:MFV65454 MPR65451:MPR65454 MZN65451:MZN65454 NJJ65451:NJJ65454 NTF65451:NTF65454 ODB65451:ODB65454 OMX65451:OMX65454 OWT65451:OWT65454 PGP65451:PGP65454 PQL65451:PQL65454 QAH65451:QAH65454 QKD65451:QKD65454 QTZ65451:QTZ65454 RDV65451:RDV65454 RNR65451:RNR65454 RXN65451:RXN65454 SHJ65451:SHJ65454 SRF65451:SRF65454 TBB65451:TBB65454 TKX65451:TKX65454 TUT65451:TUT65454 UEP65451:UEP65454 UOL65451:UOL65454 UYH65451:UYH65454 VID65451:VID65454 VRZ65451:VRZ65454 WBV65451:WBV65454 WLR65451:WLR65454 WVN65451:WVN65454 D130987:D130990 JB130987:JB130990 SX130987:SX130990 ACT130987:ACT130990 AMP130987:AMP130990 AWL130987:AWL130990 BGH130987:BGH130990 BQD130987:BQD130990 BZZ130987:BZZ130990 CJV130987:CJV130990 CTR130987:CTR130990 DDN130987:DDN130990 DNJ130987:DNJ130990 DXF130987:DXF130990 EHB130987:EHB130990 EQX130987:EQX130990 FAT130987:FAT130990 FKP130987:FKP130990 FUL130987:FUL130990 GEH130987:GEH130990 GOD130987:GOD130990 GXZ130987:GXZ130990 HHV130987:HHV130990 HRR130987:HRR130990 IBN130987:IBN130990 ILJ130987:ILJ130990 IVF130987:IVF130990 JFB130987:JFB130990 JOX130987:JOX130990 JYT130987:JYT130990 KIP130987:KIP130990 KSL130987:KSL130990 LCH130987:LCH130990 LMD130987:LMD130990 LVZ130987:LVZ130990 MFV130987:MFV130990 MPR130987:MPR130990 MZN130987:MZN130990 NJJ130987:NJJ130990 NTF130987:NTF130990 ODB130987:ODB130990 OMX130987:OMX130990 OWT130987:OWT130990 PGP130987:PGP130990 PQL130987:PQL130990 QAH130987:QAH130990 QKD130987:QKD130990 QTZ130987:QTZ130990 RDV130987:RDV130990 RNR130987:RNR130990 RXN130987:RXN130990 SHJ130987:SHJ130990 SRF130987:SRF130990 TBB130987:TBB130990 TKX130987:TKX130990 TUT130987:TUT130990 UEP130987:UEP130990 UOL130987:UOL130990 UYH130987:UYH130990 VID130987:VID130990 VRZ130987:VRZ130990 WBV130987:WBV130990 WLR130987:WLR130990 WVN130987:WVN130990 D196523:D196526 JB196523:JB196526 SX196523:SX196526 ACT196523:ACT196526 AMP196523:AMP196526 AWL196523:AWL196526 BGH196523:BGH196526 BQD196523:BQD196526 BZZ196523:BZZ196526 CJV196523:CJV196526 CTR196523:CTR196526 DDN196523:DDN196526 DNJ196523:DNJ196526 DXF196523:DXF196526 EHB196523:EHB196526 EQX196523:EQX196526 FAT196523:FAT196526 FKP196523:FKP196526 FUL196523:FUL196526 GEH196523:GEH196526 GOD196523:GOD196526 GXZ196523:GXZ196526 HHV196523:HHV196526 HRR196523:HRR196526 IBN196523:IBN196526 ILJ196523:ILJ196526 IVF196523:IVF196526 JFB196523:JFB196526 JOX196523:JOX196526 JYT196523:JYT196526 KIP196523:KIP196526 KSL196523:KSL196526 LCH196523:LCH196526 LMD196523:LMD196526 LVZ196523:LVZ196526 MFV196523:MFV196526 MPR196523:MPR196526 MZN196523:MZN196526 NJJ196523:NJJ196526 NTF196523:NTF196526 ODB196523:ODB196526 OMX196523:OMX196526 OWT196523:OWT196526 PGP196523:PGP196526 PQL196523:PQL196526 QAH196523:QAH196526 QKD196523:QKD196526 QTZ196523:QTZ196526 RDV196523:RDV196526 RNR196523:RNR196526 RXN196523:RXN196526 SHJ196523:SHJ196526 SRF196523:SRF196526 TBB196523:TBB196526 TKX196523:TKX196526 TUT196523:TUT196526 UEP196523:UEP196526 UOL196523:UOL196526 UYH196523:UYH196526 VID196523:VID196526 VRZ196523:VRZ196526 WBV196523:WBV196526 WLR196523:WLR196526 WVN196523:WVN196526 D262059:D262062 JB262059:JB262062 SX262059:SX262062 ACT262059:ACT262062 AMP262059:AMP262062 AWL262059:AWL262062 BGH262059:BGH262062 BQD262059:BQD262062 BZZ262059:BZZ262062 CJV262059:CJV262062 CTR262059:CTR262062 DDN262059:DDN262062 DNJ262059:DNJ262062 DXF262059:DXF262062 EHB262059:EHB262062 EQX262059:EQX262062 FAT262059:FAT262062 FKP262059:FKP262062 FUL262059:FUL262062 GEH262059:GEH262062 GOD262059:GOD262062 GXZ262059:GXZ262062 HHV262059:HHV262062 HRR262059:HRR262062 IBN262059:IBN262062 ILJ262059:ILJ262062 IVF262059:IVF262062 JFB262059:JFB262062 JOX262059:JOX262062 JYT262059:JYT262062 KIP262059:KIP262062 KSL262059:KSL262062 LCH262059:LCH262062 LMD262059:LMD262062 LVZ262059:LVZ262062 MFV262059:MFV262062 MPR262059:MPR262062 MZN262059:MZN262062 NJJ262059:NJJ262062 NTF262059:NTF262062 ODB262059:ODB262062 OMX262059:OMX262062 OWT262059:OWT262062 PGP262059:PGP262062 PQL262059:PQL262062 QAH262059:QAH262062 QKD262059:QKD262062 QTZ262059:QTZ262062 RDV262059:RDV262062 RNR262059:RNR262062 RXN262059:RXN262062 SHJ262059:SHJ262062 SRF262059:SRF262062 TBB262059:TBB262062 TKX262059:TKX262062 TUT262059:TUT262062 UEP262059:UEP262062 UOL262059:UOL262062 UYH262059:UYH262062 VID262059:VID262062 VRZ262059:VRZ262062 WBV262059:WBV262062 WLR262059:WLR262062 WVN262059:WVN262062 D327595:D327598 JB327595:JB327598 SX327595:SX327598 ACT327595:ACT327598 AMP327595:AMP327598 AWL327595:AWL327598 BGH327595:BGH327598 BQD327595:BQD327598 BZZ327595:BZZ327598 CJV327595:CJV327598 CTR327595:CTR327598 DDN327595:DDN327598 DNJ327595:DNJ327598 DXF327595:DXF327598 EHB327595:EHB327598 EQX327595:EQX327598 FAT327595:FAT327598 FKP327595:FKP327598 FUL327595:FUL327598 GEH327595:GEH327598 GOD327595:GOD327598 GXZ327595:GXZ327598 HHV327595:HHV327598 HRR327595:HRR327598 IBN327595:IBN327598 ILJ327595:ILJ327598 IVF327595:IVF327598 JFB327595:JFB327598 JOX327595:JOX327598 JYT327595:JYT327598 KIP327595:KIP327598 KSL327595:KSL327598 LCH327595:LCH327598 LMD327595:LMD327598 LVZ327595:LVZ327598 MFV327595:MFV327598 MPR327595:MPR327598 MZN327595:MZN327598 NJJ327595:NJJ327598 NTF327595:NTF327598 ODB327595:ODB327598 OMX327595:OMX327598 OWT327595:OWT327598 PGP327595:PGP327598 PQL327595:PQL327598 QAH327595:QAH327598 QKD327595:QKD327598 QTZ327595:QTZ327598 RDV327595:RDV327598 RNR327595:RNR327598 RXN327595:RXN327598 SHJ327595:SHJ327598 SRF327595:SRF327598 TBB327595:TBB327598 TKX327595:TKX327598 TUT327595:TUT327598 UEP327595:UEP327598 UOL327595:UOL327598 UYH327595:UYH327598 VID327595:VID327598 VRZ327595:VRZ327598 WBV327595:WBV327598 WLR327595:WLR327598 WVN327595:WVN327598 D393131:D393134 JB393131:JB393134 SX393131:SX393134 ACT393131:ACT393134 AMP393131:AMP393134 AWL393131:AWL393134 BGH393131:BGH393134 BQD393131:BQD393134 BZZ393131:BZZ393134 CJV393131:CJV393134 CTR393131:CTR393134 DDN393131:DDN393134 DNJ393131:DNJ393134 DXF393131:DXF393134 EHB393131:EHB393134 EQX393131:EQX393134 FAT393131:FAT393134 FKP393131:FKP393134 FUL393131:FUL393134 GEH393131:GEH393134 GOD393131:GOD393134 GXZ393131:GXZ393134 HHV393131:HHV393134 HRR393131:HRR393134 IBN393131:IBN393134 ILJ393131:ILJ393134 IVF393131:IVF393134 JFB393131:JFB393134 JOX393131:JOX393134 JYT393131:JYT393134 KIP393131:KIP393134 KSL393131:KSL393134 LCH393131:LCH393134 LMD393131:LMD393134 LVZ393131:LVZ393134 MFV393131:MFV393134 MPR393131:MPR393134 MZN393131:MZN393134 NJJ393131:NJJ393134 NTF393131:NTF393134 ODB393131:ODB393134 OMX393131:OMX393134 OWT393131:OWT393134 PGP393131:PGP393134 PQL393131:PQL393134 QAH393131:QAH393134 QKD393131:QKD393134 QTZ393131:QTZ393134 RDV393131:RDV393134 RNR393131:RNR393134 RXN393131:RXN393134 SHJ393131:SHJ393134 SRF393131:SRF393134 TBB393131:TBB393134 TKX393131:TKX393134 TUT393131:TUT393134 UEP393131:UEP393134 UOL393131:UOL393134 UYH393131:UYH393134 VID393131:VID393134 VRZ393131:VRZ393134 WBV393131:WBV393134 WLR393131:WLR393134 WVN393131:WVN393134 D458667:D458670 JB458667:JB458670 SX458667:SX458670 ACT458667:ACT458670 AMP458667:AMP458670 AWL458667:AWL458670 BGH458667:BGH458670 BQD458667:BQD458670 BZZ458667:BZZ458670 CJV458667:CJV458670 CTR458667:CTR458670 DDN458667:DDN458670 DNJ458667:DNJ458670 DXF458667:DXF458670 EHB458667:EHB458670 EQX458667:EQX458670 FAT458667:FAT458670 FKP458667:FKP458670 FUL458667:FUL458670 GEH458667:GEH458670 GOD458667:GOD458670 GXZ458667:GXZ458670 HHV458667:HHV458670 HRR458667:HRR458670 IBN458667:IBN458670 ILJ458667:ILJ458670 IVF458667:IVF458670 JFB458667:JFB458670 JOX458667:JOX458670 JYT458667:JYT458670 KIP458667:KIP458670 KSL458667:KSL458670 LCH458667:LCH458670 LMD458667:LMD458670 LVZ458667:LVZ458670 MFV458667:MFV458670 MPR458667:MPR458670 MZN458667:MZN458670 NJJ458667:NJJ458670 NTF458667:NTF458670 ODB458667:ODB458670 OMX458667:OMX458670 OWT458667:OWT458670 PGP458667:PGP458670 PQL458667:PQL458670 QAH458667:QAH458670 QKD458667:QKD458670 QTZ458667:QTZ458670 RDV458667:RDV458670 RNR458667:RNR458670 RXN458667:RXN458670 SHJ458667:SHJ458670 SRF458667:SRF458670 TBB458667:TBB458670 TKX458667:TKX458670 TUT458667:TUT458670 UEP458667:UEP458670 UOL458667:UOL458670 UYH458667:UYH458670 VID458667:VID458670 VRZ458667:VRZ458670 WBV458667:WBV458670 WLR458667:WLR458670 WVN458667:WVN458670 D524203:D524206 JB524203:JB524206 SX524203:SX524206 ACT524203:ACT524206 AMP524203:AMP524206 AWL524203:AWL524206 BGH524203:BGH524206 BQD524203:BQD524206 BZZ524203:BZZ524206 CJV524203:CJV524206 CTR524203:CTR524206 DDN524203:DDN524206 DNJ524203:DNJ524206 DXF524203:DXF524206 EHB524203:EHB524206 EQX524203:EQX524206 FAT524203:FAT524206 FKP524203:FKP524206 FUL524203:FUL524206 GEH524203:GEH524206 GOD524203:GOD524206 GXZ524203:GXZ524206 HHV524203:HHV524206 HRR524203:HRR524206 IBN524203:IBN524206 ILJ524203:ILJ524206 IVF524203:IVF524206 JFB524203:JFB524206 JOX524203:JOX524206 JYT524203:JYT524206 KIP524203:KIP524206 KSL524203:KSL524206 LCH524203:LCH524206 LMD524203:LMD524206 LVZ524203:LVZ524206 MFV524203:MFV524206 MPR524203:MPR524206 MZN524203:MZN524206 NJJ524203:NJJ524206 NTF524203:NTF524206 ODB524203:ODB524206 OMX524203:OMX524206 OWT524203:OWT524206 PGP524203:PGP524206 PQL524203:PQL524206 QAH524203:QAH524206 QKD524203:QKD524206 QTZ524203:QTZ524206 RDV524203:RDV524206 RNR524203:RNR524206 RXN524203:RXN524206 SHJ524203:SHJ524206 SRF524203:SRF524206 TBB524203:TBB524206 TKX524203:TKX524206 TUT524203:TUT524206 UEP524203:UEP524206 UOL524203:UOL524206 UYH524203:UYH524206 VID524203:VID524206 VRZ524203:VRZ524206 WBV524203:WBV524206 WLR524203:WLR524206 WVN524203:WVN524206 D589739:D589742 JB589739:JB589742 SX589739:SX589742 ACT589739:ACT589742 AMP589739:AMP589742 AWL589739:AWL589742 BGH589739:BGH589742 BQD589739:BQD589742 BZZ589739:BZZ589742 CJV589739:CJV589742 CTR589739:CTR589742 DDN589739:DDN589742 DNJ589739:DNJ589742 DXF589739:DXF589742 EHB589739:EHB589742 EQX589739:EQX589742 FAT589739:FAT589742 FKP589739:FKP589742 FUL589739:FUL589742 GEH589739:GEH589742 GOD589739:GOD589742 GXZ589739:GXZ589742 HHV589739:HHV589742 HRR589739:HRR589742 IBN589739:IBN589742 ILJ589739:ILJ589742 IVF589739:IVF589742 JFB589739:JFB589742 JOX589739:JOX589742 JYT589739:JYT589742 KIP589739:KIP589742 KSL589739:KSL589742 LCH589739:LCH589742 LMD589739:LMD589742 LVZ589739:LVZ589742 MFV589739:MFV589742 MPR589739:MPR589742 MZN589739:MZN589742 NJJ589739:NJJ589742 NTF589739:NTF589742 ODB589739:ODB589742 OMX589739:OMX589742 OWT589739:OWT589742 PGP589739:PGP589742 PQL589739:PQL589742 QAH589739:QAH589742 QKD589739:QKD589742 QTZ589739:QTZ589742 RDV589739:RDV589742 RNR589739:RNR589742 RXN589739:RXN589742 SHJ589739:SHJ589742 SRF589739:SRF589742 TBB589739:TBB589742 TKX589739:TKX589742 TUT589739:TUT589742 UEP589739:UEP589742 UOL589739:UOL589742 UYH589739:UYH589742 VID589739:VID589742 VRZ589739:VRZ589742 WBV589739:WBV589742 WLR589739:WLR589742 WVN589739:WVN589742 D655275:D655278 JB655275:JB655278 SX655275:SX655278 ACT655275:ACT655278 AMP655275:AMP655278 AWL655275:AWL655278 BGH655275:BGH655278 BQD655275:BQD655278 BZZ655275:BZZ655278 CJV655275:CJV655278 CTR655275:CTR655278 DDN655275:DDN655278 DNJ655275:DNJ655278 DXF655275:DXF655278 EHB655275:EHB655278 EQX655275:EQX655278 FAT655275:FAT655278 FKP655275:FKP655278 FUL655275:FUL655278 GEH655275:GEH655278 GOD655275:GOD655278 GXZ655275:GXZ655278 HHV655275:HHV655278 HRR655275:HRR655278 IBN655275:IBN655278 ILJ655275:ILJ655278 IVF655275:IVF655278 JFB655275:JFB655278 JOX655275:JOX655278 JYT655275:JYT655278 KIP655275:KIP655278 KSL655275:KSL655278 LCH655275:LCH655278 LMD655275:LMD655278 LVZ655275:LVZ655278 MFV655275:MFV655278 MPR655275:MPR655278 MZN655275:MZN655278 NJJ655275:NJJ655278 NTF655275:NTF655278 ODB655275:ODB655278 OMX655275:OMX655278 OWT655275:OWT655278 PGP655275:PGP655278 PQL655275:PQL655278 QAH655275:QAH655278 QKD655275:QKD655278 QTZ655275:QTZ655278 RDV655275:RDV655278 RNR655275:RNR655278 RXN655275:RXN655278 SHJ655275:SHJ655278 SRF655275:SRF655278 TBB655275:TBB655278 TKX655275:TKX655278 TUT655275:TUT655278 UEP655275:UEP655278 UOL655275:UOL655278 UYH655275:UYH655278 VID655275:VID655278 VRZ655275:VRZ655278 WBV655275:WBV655278 WLR655275:WLR655278 WVN655275:WVN655278 D720811:D720814 JB720811:JB720814 SX720811:SX720814 ACT720811:ACT720814 AMP720811:AMP720814 AWL720811:AWL720814 BGH720811:BGH720814 BQD720811:BQD720814 BZZ720811:BZZ720814 CJV720811:CJV720814 CTR720811:CTR720814 DDN720811:DDN720814 DNJ720811:DNJ720814 DXF720811:DXF720814 EHB720811:EHB720814 EQX720811:EQX720814 FAT720811:FAT720814 FKP720811:FKP720814 FUL720811:FUL720814 GEH720811:GEH720814 GOD720811:GOD720814 GXZ720811:GXZ720814 HHV720811:HHV720814 HRR720811:HRR720814 IBN720811:IBN720814 ILJ720811:ILJ720814 IVF720811:IVF720814 JFB720811:JFB720814 JOX720811:JOX720814 JYT720811:JYT720814 KIP720811:KIP720814 KSL720811:KSL720814 LCH720811:LCH720814 LMD720811:LMD720814 LVZ720811:LVZ720814 MFV720811:MFV720814 MPR720811:MPR720814 MZN720811:MZN720814 NJJ720811:NJJ720814 NTF720811:NTF720814 ODB720811:ODB720814 OMX720811:OMX720814 OWT720811:OWT720814 PGP720811:PGP720814 PQL720811:PQL720814 QAH720811:QAH720814 QKD720811:QKD720814 QTZ720811:QTZ720814 RDV720811:RDV720814 RNR720811:RNR720814 RXN720811:RXN720814 SHJ720811:SHJ720814 SRF720811:SRF720814 TBB720811:TBB720814 TKX720811:TKX720814 TUT720811:TUT720814 UEP720811:UEP720814 UOL720811:UOL720814 UYH720811:UYH720814 VID720811:VID720814 VRZ720811:VRZ720814 WBV720811:WBV720814 WLR720811:WLR720814 WVN720811:WVN720814 D786347:D786350 JB786347:JB786350 SX786347:SX786350 ACT786347:ACT786350 AMP786347:AMP786350 AWL786347:AWL786350 BGH786347:BGH786350 BQD786347:BQD786350 BZZ786347:BZZ786350 CJV786347:CJV786350 CTR786347:CTR786350 DDN786347:DDN786350 DNJ786347:DNJ786350 DXF786347:DXF786350 EHB786347:EHB786350 EQX786347:EQX786350 FAT786347:FAT786350 FKP786347:FKP786350 FUL786347:FUL786350 GEH786347:GEH786350 GOD786347:GOD786350 GXZ786347:GXZ786350 HHV786347:HHV786350 HRR786347:HRR786350 IBN786347:IBN786350 ILJ786347:ILJ786350 IVF786347:IVF786350 JFB786347:JFB786350 JOX786347:JOX786350 JYT786347:JYT786350 KIP786347:KIP786350 KSL786347:KSL786350 LCH786347:LCH786350 LMD786347:LMD786350 LVZ786347:LVZ786350 MFV786347:MFV786350 MPR786347:MPR786350 MZN786347:MZN786350 NJJ786347:NJJ786350 NTF786347:NTF786350 ODB786347:ODB786350 OMX786347:OMX786350 OWT786347:OWT786350 PGP786347:PGP786350 PQL786347:PQL786350 QAH786347:QAH786350 QKD786347:QKD786350 QTZ786347:QTZ786350 RDV786347:RDV786350 RNR786347:RNR786350 RXN786347:RXN786350 SHJ786347:SHJ786350 SRF786347:SRF786350 TBB786347:TBB786350 TKX786347:TKX786350 TUT786347:TUT786350 UEP786347:UEP786350 UOL786347:UOL786350 UYH786347:UYH786350 VID786347:VID786350 VRZ786347:VRZ786350 WBV786347:WBV786350 WLR786347:WLR786350 WVN786347:WVN786350 D851883:D851886 JB851883:JB851886 SX851883:SX851886 ACT851883:ACT851886 AMP851883:AMP851886 AWL851883:AWL851886 BGH851883:BGH851886 BQD851883:BQD851886 BZZ851883:BZZ851886 CJV851883:CJV851886 CTR851883:CTR851886 DDN851883:DDN851886 DNJ851883:DNJ851886 DXF851883:DXF851886 EHB851883:EHB851886 EQX851883:EQX851886 FAT851883:FAT851886 FKP851883:FKP851886 FUL851883:FUL851886 GEH851883:GEH851886 GOD851883:GOD851886 GXZ851883:GXZ851886 HHV851883:HHV851886 HRR851883:HRR851886 IBN851883:IBN851886 ILJ851883:ILJ851886 IVF851883:IVF851886 JFB851883:JFB851886 JOX851883:JOX851886 JYT851883:JYT851886 KIP851883:KIP851886 KSL851883:KSL851886 LCH851883:LCH851886 LMD851883:LMD851886 LVZ851883:LVZ851886 MFV851883:MFV851886 MPR851883:MPR851886 MZN851883:MZN851886 NJJ851883:NJJ851886 NTF851883:NTF851886 ODB851883:ODB851886 OMX851883:OMX851886 OWT851883:OWT851886 PGP851883:PGP851886 PQL851883:PQL851886 QAH851883:QAH851886 QKD851883:QKD851886 QTZ851883:QTZ851886 RDV851883:RDV851886 RNR851883:RNR851886 RXN851883:RXN851886 SHJ851883:SHJ851886 SRF851883:SRF851886 TBB851883:TBB851886 TKX851883:TKX851886 TUT851883:TUT851886 UEP851883:UEP851886 UOL851883:UOL851886 UYH851883:UYH851886 VID851883:VID851886 VRZ851883:VRZ851886 WBV851883:WBV851886 WLR851883:WLR851886 WVN851883:WVN851886 D917419:D917422 JB917419:JB917422 SX917419:SX917422 ACT917419:ACT917422 AMP917419:AMP917422 AWL917419:AWL917422 BGH917419:BGH917422 BQD917419:BQD917422 BZZ917419:BZZ917422 CJV917419:CJV917422 CTR917419:CTR917422 DDN917419:DDN917422 DNJ917419:DNJ917422 DXF917419:DXF917422 EHB917419:EHB917422 EQX917419:EQX917422 FAT917419:FAT917422 FKP917419:FKP917422 FUL917419:FUL917422 GEH917419:GEH917422 GOD917419:GOD917422 GXZ917419:GXZ917422 HHV917419:HHV917422 HRR917419:HRR917422 IBN917419:IBN917422 ILJ917419:ILJ917422 IVF917419:IVF917422 JFB917419:JFB917422 JOX917419:JOX917422 JYT917419:JYT917422 KIP917419:KIP917422 KSL917419:KSL917422 LCH917419:LCH917422 LMD917419:LMD917422 LVZ917419:LVZ917422 MFV917419:MFV917422 MPR917419:MPR917422 MZN917419:MZN917422 NJJ917419:NJJ917422 NTF917419:NTF917422 ODB917419:ODB917422 OMX917419:OMX917422 OWT917419:OWT917422 PGP917419:PGP917422 PQL917419:PQL917422 QAH917419:QAH917422 QKD917419:QKD917422 QTZ917419:QTZ917422 RDV917419:RDV917422 RNR917419:RNR917422 RXN917419:RXN917422 SHJ917419:SHJ917422 SRF917419:SRF917422 TBB917419:TBB917422 TKX917419:TKX917422 TUT917419:TUT917422 UEP917419:UEP917422 UOL917419:UOL917422 UYH917419:UYH917422 VID917419:VID917422 VRZ917419:VRZ917422 WBV917419:WBV917422 WLR917419:WLR917422 WVN917419:WVN917422 D982955:D982958 JB982955:JB982958 SX982955:SX982958 ACT982955:ACT982958 AMP982955:AMP982958 AWL982955:AWL982958 BGH982955:BGH982958 BQD982955:BQD982958 BZZ982955:BZZ982958 CJV982955:CJV982958 CTR982955:CTR982958 DDN982955:DDN982958 DNJ982955:DNJ982958 DXF982955:DXF982958 EHB982955:EHB982958 EQX982955:EQX982958 FAT982955:FAT982958 FKP982955:FKP982958 FUL982955:FUL982958 GEH982955:GEH982958 GOD982955:GOD982958 GXZ982955:GXZ982958 HHV982955:HHV982958 HRR982955:HRR982958 IBN982955:IBN982958 ILJ982955:ILJ982958 IVF982955:IVF982958 JFB982955:JFB982958 JOX982955:JOX982958 JYT982955:JYT982958 KIP982955:KIP982958 KSL982955:KSL982958 LCH982955:LCH982958 LMD982955:LMD982958 LVZ982955:LVZ982958 MFV982955:MFV982958 MPR982955:MPR982958 MZN982955:MZN982958 NJJ982955:NJJ982958 NTF982955:NTF982958 ODB982955:ODB982958 OMX982955:OMX982958 OWT982955:OWT982958 PGP982955:PGP982958 PQL982955:PQL982958 QAH982955:QAH982958 QKD982955:QKD982958 QTZ982955:QTZ982958 RDV982955:RDV982958 RNR982955:RNR982958 RXN982955:RXN982958 SHJ982955:SHJ982958 SRF982955:SRF982958 TBB982955:TBB982958 TKX982955:TKX982958 TUT982955:TUT982958 UEP982955:UEP982958 UOL982955:UOL982958 UYH982955:UYH982958 VID982955:VID982958 VRZ982955:VRZ982958 WBV982955:WBV982958 WLR982955:WLR982958 WVK20:WVK24 WVN14:WVN19 WLO20:WLO24 WLR14:WLR19 WBS20:WBS24 WBV14:WBV19 VRW20:VRW24 VRZ14:VRZ19 VIA20:VIA24 VID14:VID19 UYE20:UYE24 UYH14:UYH19 UOI20:UOI24 UOL14:UOL19 UEM20:UEM24 UEP14:UEP19 TUQ20:TUQ24 TUT14:TUT19 TKU20:TKU24 TKX14:TKX19 TAY20:TAY24 TBB14:TBB19 SRC20:SRC24 SRF14:SRF19 SHG20:SHG24 SHJ14:SHJ19 RXK20:RXK24 RXN14:RXN19 RNO20:RNO24 RNR14:RNR19 RDS20:RDS24 RDV14:RDV19 QTW20:QTW24 QTZ14:QTZ19 QKA20:QKA24 QKD14:QKD19 QAE20:QAE24 QAH14:QAH19 PQI20:PQI24 PQL14:PQL19 PGM20:PGM24 PGP14:PGP19 OWQ20:OWQ24 OWT14:OWT19 OMU20:OMU24 OMX14:OMX19 OCY20:OCY24 ODB14:ODB19 NTC20:NTC24 NTF14:NTF19 NJG20:NJG24 NJJ14:NJJ19 MZK20:MZK24 MZN14:MZN19 MPO20:MPO24 MPR14:MPR19 MFS20:MFS24 MFV14:MFV19 LVW20:LVW24 LVZ14:LVZ19 LMA20:LMA24 LMD14:LMD19 LCE20:LCE24 LCH14:LCH19 KSI20:KSI24 KSL14:KSL19 KIM20:KIM24 KIP14:KIP19 JYQ20:JYQ24 JYT14:JYT19 JOU20:JOU24 JOX14:JOX19 JEY20:JEY24 JFB14:JFB19 IVC20:IVC24 IVF14:IVF19 ILG20:ILG24 ILJ14:ILJ19 IBK20:IBK24 IBN14:IBN19 HRO20:HRO24 HRR14:HRR19 HHS20:HHS24 HHV14:HHV19 GXW20:GXW24 GXZ14:GXZ19 GOA20:GOA24 GOD14:GOD19 GEE20:GEE24 GEH14:GEH19 FUI20:FUI24 FUL14:FUL19 FKM20:FKM24 FKP14:FKP19 FAQ20:FAQ24 FAT14:FAT19 EQU20:EQU24 EQX14:EQX19 EGY20:EGY24 EHB14:EHB19 DXC20:DXC24 DXF14:DXF19 DNG20:DNG24 DNJ14:DNJ19 DDK20:DDK24 DDN14:DDN19 CTO20:CTO24 CTR14:CTR19 CJS20:CJS24 CJV14:CJV19 BZW20:BZW24 BZZ14:BZZ19 BQA20:BQA24 BQD14:BQD19 BGE20:BGE24 BGH14:BGH19 AWI20:AWI24 AWL14:AWL19 AMM20:AMM24 AMP14:AMP19 ACQ20:ACQ24 ACT14:ACT19 SU20:SU24 SX14:SX19 IY20:IY24 JB14:JB19">
      <formula1>"0,1"</formula1>
    </dataValidation>
    <dataValidation type="list" allowBlank="1" showInputMessage="1" showErrorMessage="1" sqref="D65455 JB65455 SX65455 ACT65455 AMP65455 AWL65455 BGH65455 BQD65455 BZZ65455 CJV65455 CTR65455 DDN65455 DNJ65455 DXF65455 EHB65455 EQX65455 FAT65455 FKP65455 FUL65455 GEH65455 GOD65455 GXZ65455 HHV65455 HRR65455 IBN65455 ILJ65455 IVF65455 JFB65455 JOX65455 JYT65455 KIP65455 KSL65455 LCH65455 LMD65455 LVZ65455 MFV65455 MPR65455 MZN65455 NJJ65455 NTF65455 ODB65455 OMX65455 OWT65455 PGP65455 PQL65455 QAH65455 QKD65455 QTZ65455 RDV65455 RNR65455 RXN65455 SHJ65455 SRF65455 TBB65455 TKX65455 TUT65455 UEP65455 UOL65455 UYH65455 VID65455 VRZ65455 WBV65455 WLR65455 WVN65455 D130991 JB130991 SX130991 ACT130991 AMP130991 AWL130991 BGH130991 BQD130991 BZZ130991 CJV130991 CTR130991 DDN130991 DNJ130991 DXF130991 EHB130991 EQX130991 FAT130991 FKP130991 FUL130991 GEH130991 GOD130991 GXZ130991 HHV130991 HRR130991 IBN130991 ILJ130991 IVF130991 JFB130991 JOX130991 JYT130991 KIP130991 KSL130991 LCH130991 LMD130991 LVZ130991 MFV130991 MPR130991 MZN130991 NJJ130991 NTF130991 ODB130991 OMX130991 OWT130991 PGP130991 PQL130991 QAH130991 QKD130991 QTZ130991 RDV130991 RNR130991 RXN130991 SHJ130991 SRF130991 TBB130991 TKX130991 TUT130991 UEP130991 UOL130991 UYH130991 VID130991 VRZ130991 WBV130991 WLR130991 WVN130991 D196527 JB196527 SX196527 ACT196527 AMP196527 AWL196527 BGH196527 BQD196527 BZZ196527 CJV196527 CTR196527 DDN196527 DNJ196527 DXF196527 EHB196527 EQX196527 FAT196527 FKP196527 FUL196527 GEH196527 GOD196527 GXZ196527 HHV196527 HRR196527 IBN196527 ILJ196527 IVF196527 JFB196527 JOX196527 JYT196527 KIP196527 KSL196527 LCH196527 LMD196527 LVZ196527 MFV196527 MPR196527 MZN196527 NJJ196527 NTF196527 ODB196527 OMX196527 OWT196527 PGP196527 PQL196527 QAH196527 QKD196527 QTZ196527 RDV196527 RNR196527 RXN196527 SHJ196527 SRF196527 TBB196527 TKX196527 TUT196527 UEP196527 UOL196527 UYH196527 VID196527 VRZ196527 WBV196527 WLR196527 WVN196527 D262063 JB262063 SX262063 ACT262063 AMP262063 AWL262063 BGH262063 BQD262063 BZZ262063 CJV262063 CTR262063 DDN262063 DNJ262063 DXF262063 EHB262063 EQX262063 FAT262063 FKP262063 FUL262063 GEH262063 GOD262063 GXZ262063 HHV262063 HRR262063 IBN262063 ILJ262063 IVF262063 JFB262063 JOX262063 JYT262063 KIP262063 KSL262063 LCH262063 LMD262063 LVZ262063 MFV262063 MPR262063 MZN262063 NJJ262063 NTF262063 ODB262063 OMX262063 OWT262063 PGP262063 PQL262063 QAH262063 QKD262063 QTZ262063 RDV262063 RNR262063 RXN262063 SHJ262063 SRF262063 TBB262063 TKX262063 TUT262063 UEP262063 UOL262063 UYH262063 VID262063 VRZ262063 WBV262063 WLR262063 WVN262063 D327599 JB327599 SX327599 ACT327599 AMP327599 AWL327599 BGH327599 BQD327599 BZZ327599 CJV327599 CTR327599 DDN327599 DNJ327599 DXF327599 EHB327599 EQX327599 FAT327599 FKP327599 FUL327599 GEH327599 GOD327599 GXZ327599 HHV327599 HRR327599 IBN327599 ILJ327599 IVF327599 JFB327599 JOX327599 JYT327599 KIP327599 KSL327599 LCH327599 LMD327599 LVZ327599 MFV327599 MPR327599 MZN327599 NJJ327599 NTF327599 ODB327599 OMX327599 OWT327599 PGP327599 PQL327599 QAH327599 QKD327599 QTZ327599 RDV327599 RNR327599 RXN327599 SHJ327599 SRF327599 TBB327599 TKX327599 TUT327599 UEP327599 UOL327599 UYH327599 VID327599 VRZ327599 WBV327599 WLR327599 WVN327599 D393135 JB393135 SX393135 ACT393135 AMP393135 AWL393135 BGH393135 BQD393135 BZZ393135 CJV393135 CTR393135 DDN393135 DNJ393135 DXF393135 EHB393135 EQX393135 FAT393135 FKP393135 FUL393135 GEH393135 GOD393135 GXZ393135 HHV393135 HRR393135 IBN393135 ILJ393135 IVF393135 JFB393135 JOX393135 JYT393135 KIP393135 KSL393135 LCH393135 LMD393135 LVZ393135 MFV393135 MPR393135 MZN393135 NJJ393135 NTF393135 ODB393135 OMX393135 OWT393135 PGP393135 PQL393135 QAH393135 QKD393135 QTZ393135 RDV393135 RNR393135 RXN393135 SHJ393135 SRF393135 TBB393135 TKX393135 TUT393135 UEP393135 UOL393135 UYH393135 VID393135 VRZ393135 WBV393135 WLR393135 WVN393135 D458671 JB458671 SX458671 ACT458671 AMP458671 AWL458671 BGH458671 BQD458671 BZZ458671 CJV458671 CTR458671 DDN458671 DNJ458671 DXF458671 EHB458671 EQX458671 FAT458671 FKP458671 FUL458671 GEH458671 GOD458671 GXZ458671 HHV458671 HRR458671 IBN458671 ILJ458671 IVF458671 JFB458671 JOX458671 JYT458671 KIP458671 KSL458671 LCH458671 LMD458671 LVZ458671 MFV458671 MPR458671 MZN458671 NJJ458671 NTF458671 ODB458671 OMX458671 OWT458671 PGP458671 PQL458671 QAH458671 QKD458671 QTZ458671 RDV458671 RNR458671 RXN458671 SHJ458671 SRF458671 TBB458671 TKX458671 TUT458671 UEP458671 UOL458671 UYH458671 VID458671 VRZ458671 WBV458671 WLR458671 WVN458671 D524207 JB524207 SX524207 ACT524207 AMP524207 AWL524207 BGH524207 BQD524207 BZZ524207 CJV524207 CTR524207 DDN524207 DNJ524207 DXF524207 EHB524207 EQX524207 FAT524207 FKP524207 FUL524207 GEH524207 GOD524207 GXZ524207 HHV524207 HRR524207 IBN524207 ILJ524207 IVF524207 JFB524207 JOX524207 JYT524207 KIP524207 KSL524207 LCH524207 LMD524207 LVZ524207 MFV524207 MPR524207 MZN524207 NJJ524207 NTF524207 ODB524207 OMX524207 OWT524207 PGP524207 PQL524207 QAH524207 QKD524207 QTZ524207 RDV524207 RNR524207 RXN524207 SHJ524207 SRF524207 TBB524207 TKX524207 TUT524207 UEP524207 UOL524207 UYH524207 VID524207 VRZ524207 WBV524207 WLR524207 WVN524207 D589743 JB589743 SX589743 ACT589743 AMP589743 AWL589743 BGH589743 BQD589743 BZZ589743 CJV589743 CTR589743 DDN589743 DNJ589743 DXF589743 EHB589743 EQX589743 FAT589743 FKP589743 FUL589743 GEH589743 GOD589743 GXZ589743 HHV589743 HRR589743 IBN589743 ILJ589743 IVF589743 JFB589743 JOX589743 JYT589743 KIP589743 KSL589743 LCH589743 LMD589743 LVZ589743 MFV589743 MPR589743 MZN589743 NJJ589743 NTF589743 ODB589743 OMX589743 OWT589743 PGP589743 PQL589743 QAH589743 QKD589743 QTZ589743 RDV589743 RNR589743 RXN589743 SHJ589743 SRF589743 TBB589743 TKX589743 TUT589743 UEP589743 UOL589743 UYH589743 VID589743 VRZ589743 WBV589743 WLR589743 WVN589743 D655279 JB655279 SX655279 ACT655279 AMP655279 AWL655279 BGH655279 BQD655279 BZZ655279 CJV655279 CTR655279 DDN655279 DNJ655279 DXF655279 EHB655279 EQX655279 FAT655279 FKP655279 FUL655279 GEH655279 GOD655279 GXZ655279 HHV655279 HRR655279 IBN655279 ILJ655279 IVF655279 JFB655279 JOX655279 JYT655279 KIP655279 KSL655279 LCH655279 LMD655279 LVZ655279 MFV655279 MPR655279 MZN655279 NJJ655279 NTF655279 ODB655279 OMX655279 OWT655279 PGP655279 PQL655279 QAH655279 QKD655279 QTZ655279 RDV655279 RNR655279 RXN655279 SHJ655279 SRF655279 TBB655279 TKX655279 TUT655279 UEP655279 UOL655279 UYH655279 VID655279 VRZ655279 WBV655279 WLR655279 WVN655279 D720815 JB720815 SX720815 ACT720815 AMP720815 AWL720815 BGH720815 BQD720815 BZZ720815 CJV720815 CTR720815 DDN720815 DNJ720815 DXF720815 EHB720815 EQX720815 FAT720815 FKP720815 FUL720815 GEH720815 GOD720815 GXZ720815 HHV720815 HRR720815 IBN720815 ILJ720815 IVF720815 JFB720815 JOX720815 JYT720815 KIP720815 KSL720815 LCH720815 LMD720815 LVZ720815 MFV720815 MPR720815 MZN720815 NJJ720815 NTF720815 ODB720815 OMX720815 OWT720815 PGP720815 PQL720815 QAH720815 QKD720815 QTZ720815 RDV720815 RNR720815 RXN720815 SHJ720815 SRF720815 TBB720815 TKX720815 TUT720815 UEP720815 UOL720815 UYH720815 VID720815 VRZ720815 WBV720815 WLR720815 WVN720815 D786351 JB786351 SX786351 ACT786351 AMP786351 AWL786351 BGH786351 BQD786351 BZZ786351 CJV786351 CTR786351 DDN786351 DNJ786351 DXF786351 EHB786351 EQX786351 FAT786351 FKP786351 FUL786351 GEH786351 GOD786351 GXZ786351 HHV786351 HRR786351 IBN786351 ILJ786351 IVF786351 JFB786351 JOX786351 JYT786351 KIP786351 KSL786351 LCH786351 LMD786351 LVZ786351 MFV786351 MPR786351 MZN786351 NJJ786351 NTF786351 ODB786351 OMX786351 OWT786351 PGP786351 PQL786351 QAH786351 QKD786351 QTZ786351 RDV786351 RNR786351 RXN786351 SHJ786351 SRF786351 TBB786351 TKX786351 TUT786351 UEP786351 UOL786351 UYH786351 VID786351 VRZ786351 WBV786351 WLR786351 WVN786351 D851887 JB851887 SX851887 ACT851887 AMP851887 AWL851887 BGH851887 BQD851887 BZZ851887 CJV851887 CTR851887 DDN851887 DNJ851887 DXF851887 EHB851887 EQX851887 FAT851887 FKP851887 FUL851887 GEH851887 GOD851887 GXZ851887 HHV851887 HRR851887 IBN851887 ILJ851887 IVF851887 JFB851887 JOX851887 JYT851887 KIP851887 KSL851887 LCH851887 LMD851887 LVZ851887 MFV851887 MPR851887 MZN851887 NJJ851887 NTF851887 ODB851887 OMX851887 OWT851887 PGP851887 PQL851887 QAH851887 QKD851887 QTZ851887 RDV851887 RNR851887 RXN851887 SHJ851887 SRF851887 TBB851887 TKX851887 TUT851887 UEP851887 UOL851887 UYH851887 VID851887 VRZ851887 WBV851887 WLR851887 WVN851887 D917423 JB917423 SX917423 ACT917423 AMP917423 AWL917423 BGH917423 BQD917423 BZZ917423 CJV917423 CTR917423 DDN917423 DNJ917423 DXF917423 EHB917423 EQX917423 FAT917423 FKP917423 FUL917423 GEH917423 GOD917423 GXZ917423 HHV917423 HRR917423 IBN917423 ILJ917423 IVF917423 JFB917423 JOX917423 JYT917423 KIP917423 KSL917423 LCH917423 LMD917423 LVZ917423 MFV917423 MPR917423 MZN917423 NJJ917423 NTF917423 ODB917423 OMX917423 OWT917423 PGP917423 PQL917423 QAH917423 QKD917423 QTZ917423 RDV917423 RNR917423 RXN917423 SHJ917423 SRF917423 TBB917423 TKX917423 TUT917423 UEP917423 UOL917423 UYH917423 VID917423 VRZ917423 WBV917423 WLR917423 WVN917423 D982959 JB982959 SX982959 ACT982959 AMP982959 AWL982959 BGH982959 BQD982959 BZZ982959 CJV982959 CTR982959 DDN982959 DNJ982959 DXF982959 EHB982959 EQX982959 FAT982959 FKP982959 FUL982959 GEH982959 GOD982959 GXZ982959 HHV982959 HRR982959 IBN982959 ILJ982959 IVF982959 JFB982959 JOX982959 JYT982959 KIP982959 KSL982959 LCH982959 LMD982959 LVZ982959 MFV982959 MPR982959 MZN982959 NJJ982959 NTF982959 ODB982959 OMX982959 OWT982959 PGP982959 PQL982959 QAH982959 QKD982959 QTZ982959 RDV982959 RNR982959 RXN982959 SHJ982959 SRF982959 TBB982959 TKX982959 TUT982959 UEP982959 UOL982959 UYH982959 VID982959 VRZ982959 WBV982959 WLR982959 WVN982959">
      <formula1>"0,1,2"</formula1>
    </dataValidation>
    <dataValidation type="list" allowBlank="1" showInputMessage="1" showErrorMessage="1" sqref="D14 D19">
      <formula1>$B$48:$B$50</formula1>
    </dataValidation>
    <dataValidation type="list" allowBlank="1" showInputMessage="1" showErrorMessage="1" sqref="D15 D20">
      <formula1>$B$48:$B$66</formula1>
    </dataValidation>
    <dataValidation type="list" allowBlank="1" showInputMessage="1" showErrorMessage="1" sqref="D16">
      <formula1>$B$48:$B$51</formula1>
    </dataValidation>
    <dataValidation type="list" allowBlank="1" showInputMessage="1" showErrorMessage="1" sqref="D17">
      <formula1>$B$48:$B$75</formula1>
    </dataValidation>
    <dataValidation type="list" allowBlank="1" showInputMessage="1" showErrorMessage="1" sqref="D18">
      <formula1>$B$48:$B$119</formula1>
    </dataValidation>
    <dataValidation type="list" allowBlank="1" showInputMessage="1" showErrorMessage="1" sqref="D21">
      <formula1>$B$48:$B$54</formula1>
    </dataValidation>
    <dataValidation type="list" allowBlank="1" showInputMessage="1" showErrorMessage="1" sqref="D22">
      <formula1>$B$48:$B$49</formula1>
    </dataValidation>
    <dataValidation type="list" allowBlank="1" showInputMessage="1" showErrorMessage="1" sqref="D23">
      <formula1>$B$48:$B$56</formula1>
    </dataValidation>
    <dataValidation type="list" allowBlank="1" showInputMessage="1" showErrorMessage="1" sqref="D24">
      <formula1>$B$48:$B$59</formula1>
    </dataValidation>
  </dataValidations>
  <printOptions horizontalCentered="1"/>
  <pageMargins left="0.19652777777777777" right="0.19652777777777777" top="0.19652777777777777" bottom="0.39374999999999999" header="0.51180555555555551" footer="0.51180555555555551"/>
  <pageSetup paperSize="9" scale="60"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5"/>
  <sheetViews>
    <sheetView showGridLines="0" zoomScale="80" zoomScaleNormal="80" workbookViewId="0">
      <selection activeCell="L11" sqref="L11"/>
    </sheetView>
  </sheetViews>
  <sheetFormatPr defaultColWidth="9" defaultRowHeight="12.75" x14ac:dyDescent="0.2"/>
  <cols>
    <col min="1" max="1" width="11.33203125" customWidth="1"/>
    <col min="2" max="2" width="28.83203125" customWidth="1"/>
    <col min="3" max="3" width="10.33203125" customWidth="1"/>
    <col min="4" max="5" width="17.5" customWidth="1"/>
    <col min="6" max="8" width="17.83203125" style="16" customWidth="1"/>
    <col min="9" max="9" width="17.83203125" customWidth="1"/>
  </cols>
  <sheetData>
    <row r="1" spans="1:12" x14ac:dyDescent="0.2">
      <c r="A1" s="63"/>
      <c r="B1" s="345" t="s">
        <v>0</v>
      </c>
      <c r="C1" s="64"/>
      <c r="D1" s="64"/>
      <c r="E1" s="64"/>
      <c r="F1" s="65"/>
      <c r="G1" s="65"/>
      <c r="H1" s="65"/>
      <c r="I1" s="66"/>
      <c r="J1" s="35"/>
      <c r="K1" s="35"/>
      <c r="L1" s="35"/>
    </row>
    <row r="2" spans="1:12" x14ac:dyDescent="0.2">
      <c r="A2" s="67"/>
      <c r="B2" s="346" t="s">
        <v>210</v>
      </c>
      <c r="C2" s="60"/>
      <c r="D2" s="60"/>
      <c r="E2" s="60"/>
      <c r="F2" s="108"/>
      <c r="G2" s="108"/>
      <c r="H2" s="108"/>
      <c r="I2" s="68"/>
      <c r="J2" s="35"/>
      <c r="K2" s="35"/>
      <c r="L2" s="35"/>
    </row>
    <row r="3" spans="1:12" ht="13.5" thickBot="1" x14ac:dyDescent="0.25">
      <c r="A3" s="69"/>
      <c r="B3" s="346" t="s">
        <v>1</v>
      </c>
      <c r="C3" s="60"/>
      <c r="D3" s="60"/>
      <c r="E3" s="60"/>
      <c r="F3" s="108"/>
      <c r="G3" s="108"/>
      <c r="H3" s="108"/>
      <c r="I3" s="68"/>
      <c r="J3" s="35"/>
      <c r="K3" s="35"/>
      <c r="L3" s="35"/>
    </row>
    <row r="4" spans="1:12" ht="32.25" customHeight="1" x14ac:dyDescent="0.2">
      <c r="A4" s="843" t="s">
        <v>143</v>
      </c>
      <c r="B4" s="843"/>
      <c r="C4" s="843"/>
      <c r="D4" s="843"/>
      <c r="E4" s="843"/>
      <c r="F4" s="843"/>
      <c r="G4" s="843"/>
      <c r="H4" s="843"/>
      <c r="I4" s="843"/>
      <c r="J4" s="35"/>
      <c r="K4" s="35"/>
      <c r="L4" s="35"/>
    </row>
    <row r="5" spans="1:12"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row>
    <row r="6" spans="1:12" ht="22.5" customHeight="1" thickBot="1" x14ac:dyDescent="0.25">
      <c r="A6" s="844" t="s">
        <v>2</v>
      </c>
      <c r="B6" s="844"/>
      <c r="C6" s="844"/>
      <c r="D6" s="844"/>
      <c r="E6" s="844"/>
      <c r="F6" s="844"/>
      <c r="G6" s="844"/>
      <c r="H6" s="844"/>
      <c r="I6" s="844"/>
      <c r="J6" s="35"/>
      <c r="K6" s="35"/>
      <c r="L6" s="35"/>
    </row>
    <row r="7" spans="1:12" ht="30" customHeight="1" thickBot="1" x14ac:dyDescent="0.25">
      <c r="A7" s="852" t="str">
        <f>Dados!B10&amp;" - "&amp;D10</f>
        <v>Auxiliar de Almoxarifado - 200</v>
      </c>
      <c r="B7" s="853"/>
      <c r="C7" s="853"/>
      <c r="D7" s="853"/>
      <c r="E7" s="854"/>
      <c r="F7" s="845" t="s">
        <v>144</v>
      </c>
      <c r="G7" s="855" t="s">
        <v>471</v>
      </c>
      <c r="H7" s="846" t="s">
        <v>145</v>
      </c>
      <c r="I7" s="847" t="s">
        <v>146</v>
      </c>
      <c r="J7" s="35"/>
      <c r="K7" s="35"/>
      <c r="L7" s="35"/>
    </row>
    <row r="8" spans="1:12" ht="18" customHeight="1" thickBot="1" x14ac:dyDescent="0.25">
      <c r="A8" s="848" t="s">
        <v>147</v>
      </c>
      <c r="B8" s="848"/>
      <c r="C8" s="848"/>
      <c r="D8" s="848"/>
      <c r="E8" s="228" t="s">
        <v>88</v>
      </c>
      <c r="F8" s="845"/>
      <c r="G8" s="856"/>
      <c r="H8" s="846"/>
      <c r="I8" s="847"/>
      <c r="J8" s="35"/>
      <c r="K8" s="35"/>
      <c r="L8" s="35"/>
    </row>
    <row r="9" spans="1:12" ht="24.75" customHeight="1" x14ac:dyDescent="0.2">
      <c r="A9" s="229" t="s">
        <v>148</v>
      </c>
      <c r="B9" s="835" t="s">
        <v>149</v>
      </c>
      <c r="C9" s="835"/>
      <c r="D9" s="230" t="s">
        <v>150</v>
      </c>
      <c r="E9" s="70" t="s">
        <v>151</v>
      </c>
      <c r="F9" s="836" t="s">
        <v>152</v>
      </c>
      <c r="G9" s="836"/>
      <c r="H9" s="836"/>
      <c r="I9" s="836"/>
      <c r="J9" s="35"/>
      <c r="K9" s="35"/>
      <c r="L9" s="35"/>
    </row>
    <row r="10" spans="1:12" ht="26.25" customHeight="1" x14ac:dyDescent="0.2">
      <c r="A10" s="837">
        <v>1</v>
      </c>
      <c r="B10" s="838" t="str">
        <f>A7</f>
        <v>Auxiliar de Almoxarifado - 200</v>
      </c>
      <c r="C10" s="838"/>
      <c r="D10" s="231">
        <f>Dados!C10</f>
        <v>200</v>
      </c>
      <c r="E10" s="125">
        <f>Dados!E10</f>
        <v>2420</v>
      </c>
      <c r="F10" s="113">
        <f>ROUND(E10/220*D10,2)</f>
        <v>2200</v>
      </c>
      <c r="G10" s="613"/>
      <c r="H10" s="114"/>
      <c r="I10" s="115"/>
      <c r="J10" s="35"/>
      <c r="K10" s="35"/>
      <c r="L10" s="35"/>
    </row>
    <row r="11" spans="1:12" ht="24" customHeight="1" x14ac:dyDescent="0.2">
      <c r="A11" s="837"/>
      <c r="B11" s="841"/>
      <c r="C11" s="842"/>
      <c r="D11" s="233"/>
      <c r="E11" s="234"/>
      <c r="F11" s="113">
        <f>ROUND(((E11/220*D10)*C11)*D11,2)</f>
        <v>0</v>
      </c>
      <c r="G11" s="613"/>
      <c r="H11" s="114"/>
      <c r="I11" s="115"/>
      <c r="J11" s="35"/>
      <c r="K11" s="35"/>
      <c r="L11" s="35"/>
    </row>
    <row r="12" spans="1:12" ht="19.5" customHeight="1" x14ac:dyDescent="0.2">
      <c r="A12" s="837"/>
      <c r="B12" s="860" t="s">
        <v>153</v>
      </c>
      <c r="C12" s="860"/>
      <c r="D12" s="860"/>
      <c r="E12" s="860"/>
      <c r="F12" s="236">
        <f>F10+F11</f>
        <v>2200</v>
      </c>
      <c r="G12" s="614"/>
      <c r="H12" s="237"/>
      <c r="I12" s="286"/>
      <c r="J12" s="35"/>
      <c r="K12" s="35"/>
      <c r="L12" s="35"/>
    </row>
    <row r="13" spans="1:12" ht="19.5" customHeight="1" x14ac:dyDescent="0.2">
      <c r="A13" s="837"/>
      <c r="B13" s="840" t="s">
        <v>154</v>
      </c>
      <c r="C13" s="840"/>
      <c r="D13" s="840"/>
      <c r="E13" s="287">
        <f>Dados!G28</f>
        <v>0.79049999999999998</v>
      </c>
      <c r="F13" s="113">
        <f>(ROUND((E13*F12),2))</f>
        <v>1739.1</v>
      </c>
      <c r="G13" s="613"/>
      <c r="H13" s="114"/>
      <c r="I13" s="115"/>
      <c r="J13" s="35"/>
      <c r="K13" s="35"/>
      <c r="L13" s="35"/>
    </row>
    <row r="14" spans="1:12" ht="24.75" customHeight="1" x14ac:dyDescent="0.2">
      <c r="A14" s="858" t="s">
        <v>155</v>
      </c>
      <c r="B14" s="858"/>
      <c r="C14" s="858"/>
      <c r="D14" s="858"/>
      <c r="E14" s="858"/>
      <c r="F14" s="236">
        <f>ROUND(SUM(F12:F13),2)</f>
        <v>3939.1</v>
      </c>
      <c r="G14" s="615"/>
      <c r="H14" s="240"/>
      <c r="I14" s="238"/>
      <c r="J14" s="35"/>
      <c r="K14" s="35"/>
      <c r="L14" s="35"/>
    </row>
    <row r="15" spans="1:12" ht="19.5" customHeight="1" x14ac:dyDescent="0.2">
      <c r="A15" s="822" t="s">
        <v>156</v>
      </c>
      <c r="B15" s="822"/>
      <c r="C15" s="822"/>
      <c r="D15" s="822"/>
      <c r="E15" s="822"/>
      <c r="F15" s="822"/>
      <c r="G15" s="822"/>
      <c r="H15" s="822"/>
      <c r="I15" s="822"/>
      <c r="J15" s="35"/>
      <c r="K15" s="35"/>
      <c r="L15" s="35"/>
    </row>
    <row r="16" spans="1:12" ht="19.5" customHeight="1" x14ac:dyDescent="0.2">
      <c r="A16" s="832" t="s">
        <v>157</v>
      </c>
      <c r="B16" s="832"/>
      <c r="C16" s="241" t="s">
        <v>158</v>
      </c>
      <c r="D16" s="833" t="s">
        <v>152</v>
      </c>
      <c r="E16" s="833"/>
      <c r="F16" s="833"/>
      <c r="G16" s="834"/>
      <c r="H16" s="833"/>
      <c r="I16" s="833"/>
      <c r="J16" s="35"/>
      <c r="K16" s="35"/>
      <c r="L16" s="35"/>
    </row>
    <row r="17" spans="1:12" ht="19.5" customHeight="1" x14ac:dyDescent="0.2">
      <c r="A17" s="829" t="s">
        <v>93</v>
      </c>
      <c r="B17" s="829"/>
      <c r="C17" s="242"/>
      <c r="D17" s="124"/>
      <c r="E17" s="125"/>
      <c r="F17" s="113">
        <f>Dados!I10</f>
        <v>40.71</v>
      </c>
      <c r="G17" s="613"/>
      <c r="H17" s="114"/>
      <c r="I17" s="115"/>
      <c r="J17" s="35"/>
      <c r="K17" s="35"/>
      <c r="L17" s="35"/>
    </row>
    <row r="18" spans="1:12" ht="19.5" customHeight="1" x14ac:dyDescent="0.2">
      <c r="A18" s="829" t="s">
        <v>160</v>
      </c>
      <c r="B18" s="829"/>
      <c r="C18" s="242"/>
      <c r="D18" s="124"/>
      <c r="E18" s="243"/>
      <c r="F18" s="113">
        <f>Dados!G35</f>
        <v>2.2000000000000002</v>
      </c>
      <c r="G18" s="613"/>
      <c r="H18" s="114"/>
      <c r="I18" s="115"/>
      <c r="J18" s="35"/>
      <c r="K18" s="35"/>
      <c r="L18" s="35"/>
    </row>
    <row r="19" spans="1:12" ht="25.5" customHeight="1" x14ac:dyDescent="0.2">
      <c r="A19" s="830" t="s">
        <v>103</v>
      </c>
      <c r="B19" s="830"/>
      <c r="C19" s="242"/>
      <c r="D19" s="124"/>
      <c r="E19" s="244"/>
      <c r="F19" s="113">
        <f>Dados!G36</f>
        <v>66.099999999999994</v>
      </c>
      <c r="G19" s="613"/>
      <c r="H19" s="114"/>
      <c r="I19" s="115"/>
      <c r="J19" s="35"/>
      <c r="K19" s="35"/>
      <c r="L19" s="35"/>
    </row>
    <row r="20" spans="1:12" ht="25.5" customHeight="1" x14ac:dyDescent="0.2">
      <c r="A20" s="831" t="s">
        <v>105</v>
      </c>
      <c r="B20" s="831"/>
      <c r="C20" s="114">
        <f>Dados!$G$38</f>
        <v>22</v>
      </c>
      <c r="D20" s="242">
        <f>Dados!$G$37</f>
        <v>24.54</v>
      </c>
      <c r="E20" s="245">
        <f>Dados!$G$39</f>
        <v>0.2</v>
      </c>
      <c r="F20" s="113">
        <f>ROUND((IF(D10&gt;150,((C20*D20)-(E20*(C20*D20))),0)),2)</f>
        <v>431.9</v>
      </c>
      <c r="G20" s="613">
        <f>F20</f>
        <v>431.9</v>
      </c>
      <c r="H20" s="114"/>
      <c r="I20" s="115"/>
      <c r="J20" s="35"/>
      <c r="K20" s="35"/>
      <c r="L20" s="35"/>
    </row>
    <row r="21" spans="1:12" ht="19.5" customHeight="1" x14ac:dyDescent="0.2">
      <c r="A21" s="829" t="s">
        <v>207</v>
      </c>
      <c r="B21" s="829"/>
      <c r="C21" s="114">
        <f>Dados!$G$44</f>
        <v>22</v>
      </c>
      <c r="D21" s="114">
        <f>Dados!$G$43</f>
        <v>7.1</v>
      </c>
      <c r="E21" s="125">
        <f>Dados!$G$41</f>
        <v>4.5</v>
      </c>
      <c r="F21" s="113">
        <f>ROUND((($C$21*$D$21*Dados!$G$42)+($C$21*$E$21*Dados!$G$40) -(F10*Dados!$G$45)),2)</f>
        <v>378.4</v>
      </c>
      <c r="G21" s="613"/>
      <c r="H21" s="114"/>
      <c r="I21" s="115">
        <f>F21</f>
        <v>378.4</v>
      </c>
      <c r="J21" s="35"/>
      <c r="K21" s="35"/>
      <c r="L21" s="35"/>
    </row>
    <row r="22" spans="1:12"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row>
    <row r="23" spans="1:12"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row>
    <row r="24" spans="1:12" ht="24.75" customHeight="1" x14ac:dyDescent="0.2">
      <c r="A24" s="821" t="s">
        <v>163</v>
      </c>
      <c r="B24" s="821"/>
      <c r="C24" s="821"/>
      <c r="D24" s="821"/>
      <c r="E24" s="821"/>
      <c r="F24" s="236">
        <f>SUM(F17:F23)</f>
        <v>919.31</v>
      </c>
      <c r="G24" s="236">
        <f>SUM(G17:G23)</f>
        <v>431.9</v>
      </c>
      <c r="H24" s="240">
        <f>SUM($H$17:$H$23)</f>
        <v>0</v>
      </c>
      <c r="I24" s="238">
        <f>SUM($I$17:$I$23)</f>
        <v>378.4</v>
      </c>
      <c r="J24" s="35"/>
      <c r="K24" s="35"/>
      <c r="L24" s="35"/>
    </row>
    <row r="25" spans="1:12" ht="24.75" customHeight="1" x14ac:dyDescent="0.2">
      <c r="A25" s="821" t="s">
        <v>164</v>
      </c>
      <c r="B25" s="821"/>
      <c r="C25" s="821"/>
      <c r="D25" s="821"/>
      <c r="E25" s="821"/>
      <c r="F25" s="236">
        <f>F14+F24</f>
        <v>4858.41</v>
      </c>
      <c r="G25" s="236">
        <f>$G$14+$G$24</f>
        <v>431.9</v>
      </c>
      <c r="H25" s="240">
        <f>$H$14+$H$24</f>
        <v>0</v>
      </c>
      <c r="I25" s="238">
        <f>$I$14+$I$24</f>
        <v>378.4</v>
      </c>
      <c r="J25" s="35"/>
      <c r="K25" s="35"/>
      <c r="L25" s="35"/>
    </row>
    <row r="26" spans="1:12" ht="19.5" customHeight="1" x14ac:dyDescent="0.2">
      <c r="A26" s="822" t="s">
        <v>165</v>
      </c>
      <c r="B26" s="822"/>
      <c r="C26" s="822"/>
      <c r="D26" s="822"/>
      <c r="E26" s="822"/>
      <c r="F26" s="822"/>
      <c r="G26" s="822"/>
      <c r="H26" s="822">
        <f>SUM($H$17:$H$25)</f>
        <v>0</v>
      </c>
      <c r="I26" s="822">
        <f>SUM($I$17:$I$25)</f>
        <v>1135.1999999999998</v>
      </c>
      <c r="J26" s="35"/>
      <c r="K26" s="35"/>
      <c r="L26" s="35"/>
    </row>
    <row r="27" spans="1:12" ht="19.5" customHeight="1" x14ac:dyDescent="0.2">
      <c r="A27" s="825" t="s">
        <v>166</v>
      </c>
      <c r="B27" s="825"/>
      <c r="C27" s="825"/>
      <c r="D27" s="826" t="s">
        <v>167</v>
      </c>
      <c r="E27" s="826"/>
      <c r="F27" s="827" t="s">
        <v>152</v>
      </c>
      <c r="G27" s="828"/>
      <c r="H27" s="827"/>
      <c r="I27" s="827"/>
      <c r="J27" s="35"/>
      <c r="K27" s="35"/>
      <c r="L27" s="35"/>
    </row>
    <row r="28" spans="1:12" ht="19.5" customHeight="1" x14ac:dyDescent="0.2">
      <c r="A28" s="121" t="s">
        <v>168</v>
      </c>
      <c r="B28" s="122"/>
      <c r="C28" s="122"/>
      <c r="D28" s="124">
        <f>Dados!$G$50</f>
        <v>0.03</v>
      </c>
      <c r="E28" s="288"/>
      <c r="F28" s="113">
        <f>ROUND((F25*D28),2)</f>
        <v>145.75</v>
      </c>
      <c r="G28" s="613">
        <f>ROUND(($G$25*$D$28),2)</f>
        <v>12.96</v>
      </c>
      <c r="H28" s="114">
        <f>ROUND((H25*D28),2)</f>
        <v>0</v>
      </c>
      <c r="I28" s="115">
        <f>ROUND((I25*D28),2)</f>
        <v>11.35</v>
      </c>
      <c r="J28" s="35"/>
      <c r="K28" s="35"/>
      <c r="L28" s="35"/>
    </row>
    <row r="29" spans="1:12" ht="19.5" customHeight="1" x14ac:dyDescent="0.2">
      <c r="A29" s="820" t="s">
        <v>169</v>
      </c>
      <c r="B29" s="820"/>
      <c r="C29" s="820"/>
      <c r="D29" s="124"/>
      <c r="E29" s="288"/>
      <c r="F29" s="113">
        <f>F25+F28</f>
        <v>5004.16</v>
      </c>
      <c r="G29" s="613">
        <f>$G$28+$G$25</f>
        <v>444.85999999999996</v>
      </c>
      <c r="H29" s="114">
        <f>H25+H28</f>
        <v>0</v>
      </c>
      <c r="I29" s="115">
        <f>I25+I28</f>
        <v>389.75</v>
      </c>
      <c r="J29" s="35"/>
      <c r="K29" s="35"/>
      <c r="L29" s="35"/>
    </row>
    <row r="30" spans="1:12" ht="19.5" customHeight="1" x14ac:dyDescent="0.2">
      <c r="A30" s="121" t="s">
        <v>108</v>
      </c>
      <c r="B30" s="122"/>
      <c r="C30" s="122"/>
      <c r="D30" s="124">
        <f>Dados!$G$51</f>
        <v>6.7900000000000002E-2</v>
      </c>
      <c r="E30" s="288">
        <f>F25+F28</f>
        <v>5004.16</v>
      </c>
      <c r="F30" s="113">
        <f>ROUND((E30*D30),2)</f>
        <v>339.78</v>
      </c>
      <c r="G30" s="613">
        <f>ROUND(($G$29*$D$30),2)</f>
        <v>30.21</v>
      </c>
      <c r="H30" s="114">
        <f>ROUND((H29*D30),2)</f>
        <v>0</v>
      </c>
      <c r="I30" s="115">
        <f>ROUND((I29*D30),2)</f>
        <v>26.46</v>
      </c>
      <c r="J30" s="35"/>
      <c r="K30" s="35"/>
      <c r="L30" s="35"/>
    </row>
    <row r="31" spans="1:12" ht="24.75" customHeight="1" x14ac:dyDescent="0.2">
      <c r="A31" s="246" t="s">
        <v>170</v>
      </c>
      <c r="B31" s="247"/>
      <c r="C31" s="247"/>
      <c r="D31" s="248">
        <f>SUM(D28:D30)</f>
        <v>9.7900000000000001E-2</v>
      </c>
      <c r="E31" s="289"/>
      <c r="F31" s="236">
        <f>F28+F30</f>
        <v>485.53</v>
      </c>
      <c r="G31" s="615">
        <f>$G$28+$G$30</f>
        <v>43.17</v>
      </c>
      <c r="H31" s="240">
        <f>H28+H30</f>
        <v>0</v>
      </c>
      <c r="I31" s="238">
        <f>I28+I30</f>
        <v>37.81</v>
      </c>
      <c r="J31" s="35"/>
      <c r="K31" s="35"/>
      <c r="L31" s="35"/>
    </row>
    <row r="32" spans="1:12" ht="24.75" customHeight="1" x14ac:dyDescent="0.2">
      <c r="A32" s="858" t="s">
        <v>171</v>
      </c>
      <c r="B32" s="858"/>
      <c r="C32" s="858"/>
      <c r="D32" s="858"/>
      <c r="E32" s="858"/>
      <c r="F32" s="236">
        <f>F14+F24+F31</f>
        <v>5343.94</v>
      </c>
      <c r="G32" s="615">
        <f>$G$14+$G$24+$G$31</f>
        <v>475.07</v>
      </c>
      <c r="H32" s="240">
        <f>H14+H24+H31</f>
        <v>0</v>
      </c>
      <c r="I32" s="238">
        <f>I14+I24+I31</f>
        <v>416.21</v>
      </c>
      <c r="J32" s="35"/>
      <c r="K32" s="35"/>
      <c r="L32" s="35"/>
    </row>
    <row r="33" spans="1:12" ht="19.5" customHeight="1" x14ac:dyDescent="0.2">
      <c r="A33" s="822" t="s">
        <v>172</v>
      </c>
      <c r="B33" s="822"/>
      <c r="C33" s="822"/>
      <c r="D33" s="822"/>
      <c r="E33" s="822"/>
      <c r="F33" s="822"/>
      <c r="G33" s="822"/>
      <c r="H33" s="822"/>
      <c r="I33" s="822"/>
      <c r="J33" s="35"/>
      <c r="K33" s="35"/>
      <c r="L33" s="35"/>
    </row>
    <row r="34" spans="1:12" ht="19.5" customHeight="1" x14ac:dyDescent="0.2">
      <c r="A34" s="121" t="s">
        <v>109</v>
      </c>
      <c r="B34" s="122"/>
      <c r="C34" s="123"/>
      <c r="D34" s="124">
        <f>Dados!$G$58</f>
        <v>7.5999999999999998E-2</v>
      </c>
      <c r="E34" s="125"/>
      <c r="F34" s="113">
        <f>ROUND((F39*D34),2)</f>
        <v>473.63</v>
      </c>
      <c r="G34" s="613">
        <f>ROUND(($G$39*$D$34),2)</f>
        <v>42.11</v>
      </c>
      <c r="H34" s="114">
        <f>ROUND((H39*D34),2)</f>
        <v>0</v>
      </c>
      <c r="I34" s="115">
        <f>ROUND((I39*D34),2)</f>
        <v>36.89</v>
      </c>
      <c r="J34" s="35"/>
      <c r="K34" s="35"/>
      <c r="L34" s="35"/>
    </row>
    <row r="35" spans="1:12" ht="19.5" customHeight="1" x14ac:dyDescent="0.2">
      <c r="A35" s="121" t="s">
        <v>110</v>
      </c>
      <c r="B35" s="122"/>
      <c r="C35" s="123"/>
      <c r="D35" s="124">
        <f>Dados!$G$59</f>
        <v>1.6500000000000001E-2</v>
      </c>
      <c r="E35" s="125"/>
      <c r="F35" s="113">
        <f>ROUND((F39*D35),2)</f>
        <v>102.83</v>
      </c>
      <c r="G35" s="613">
        <f>ROUND(($G$39*$D$35),2)</f>
        <v>9.14</v>
      </c>
      <c r="H35" s="114">
        <f>ROUND((H39*D35),2)</f>
        <v>0</v>
      </c>
      <c r="I35" s="115">
        <f>ROUND((I39*D35),2)</f>
        <v>8.01</v>
      </c>
      <c r="J35" s="35"/>
      <c r="K35" s="35"/>
      <c r="L35" s="35"/>
    </row>
    <row r="36" spans="1:12" ht="19.5" customHeight="1" x14ac:dyDescent="0.2">
      <c r="A36" s="121" t="s">
        <v>111</v>
      </c>
      <c r="B36" s="122"/>
      <c r="C36" s="123"/>
      <c r="D36" s="124">
        <f>Dados!$G$60</f>
        <v>0.05</v>
      </c>
      <c r="E36" s="125"/>
      <c r="F36" s="113">
        <f>ROUND((F39*D36),2)</f>
        <v>311.60000000000002</v>
      </c>
      <c r="G36" s="613">
        <f>ROUND(($G$39*$D$36),2)</f>
        <v>27.7</v>
      </c>
      <c r="H36" s="114">
        <f>ROUND((H39*D36),2)</f>
        <v>0</v>
      </c>
      <c r="I36" s="115">
        <f>ROUND((I39*D36),2)</f>
        <v>24.27</v>
      </c>
      <c r="J36" s="35"/>
      <c r="K36" s="35"/>
      <c r="L36" s="35"/>
    </row>
    <row r="37" spans="1:12"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row>
    <row r="38" spans="1:12" ht="30" customHeight="1" thickBot="1" x14ac:dyDescent="0.25">
      <c r="A38" s="246" t="s">
        <v>173</v>
      </c>
      <c r="B38" s="247"/>
      <c r="C38" s="250"/>
      <c r="D38" s="248">
        <f>SUM(D34:D37)</f>
        <v>0.14250000000000002</v>
      </c>
      <c r="E38" s="251"/>
      <c r="F38" s="236">
        <f>SUM(F34:F37)</f>
        <v>888.06000000000006</v>
      </c>
      <c r="G38" s="236">
        <f>SUM(G34:G37)</f>
        <v>78.95</v>
      </c>
      <c r="H38" s="236">
        <f t="shared" ref="H38:I38" si="1">SUM(H34:H37)</f>
        <v>0</v>
      </c>
      <c r="I38" s="252">
        <f t="shared" si="1"/>
        <v>69.17</v>
      </c>
      <c r="J38" s="35"/>
      <c r="K38" s="35"/>
      <c r="L38" s="35"/>
    </row>
    <row r="39" spans="1:12" ht="34.5" hidden="1" customHeight="1" thickBot="1" x14ac:dyDescent="0.25">
      <c r="A39" s="823" t="str">
        <f>A7</f>
        <v>Auxiliar de Almoxarifado - 200</v>
      </c>
      <c r="B39" s="823"/>
      <c r="C39" s="823"/>
      <c r="D39" s="823"/>
      <c r="E39" s="823"/>
      <c r="F39" s="253">
        <f>ROUND(F32/(1-D38),2)</f>
        <v>6232</v>
      </c>
      <c r="G39" s="616">
        <f>ROUND($G$32/(1-$D$38),2)</f>
        <v>554.02</v>
      </c>
      <c r="H39" s="254">
        <f>ROUND(H32/(1-D38),2)</f>
        <v>0</v>
      </c>
      <c r="I39" s="255">
        <f>ROUND(I32/(1-D38),2)</f>
        <v>485.38</v>
      </c>
      <c r="J39" s="35"/>
      <c r="K39" s="35"/>
      <c r="L39" s="35"/>
    </row>
    <row r="40" spans="1:12" ht="30" customHeight="1" thickBot="1" x14ac:dyDescent="0.25">
      <c r="A40" s="859" t="str">
        <f>A7</f>
        <v>Auxiliar de Almoxarifado - 200</v>
      </c>
      <c r="B40" s="859"/>
      <c r="C40" s="859"/>
      <c r="D40" s="859"/>
      <c r="E40" s="859"/>
      <c r="F40" s="79">
        <f>F39</f>
        <v>6232</v>
      </c>
      <c r="G40" s="630">
        <f>$G$39</f>
        <v>554.02</v>
      </c>
      <c r="H40" s="79">
        <f>H39</f>
        <v>0</v>
      </c>
      <c r="I40" s="80">
        <f>I39</f>
        <v>485.38</v>
      </c>
      <c r="J40" s="35"/>
      <c r="K40" s="35"/>
      <c r="L40" s="35"/>
    </row>
    <row r="41" spans="1:12" ht="29.25" customHeight="1" thickBot="1" x14ac:dyDescent="0.25">
      <c r="A41" s="857" t="s">
        <v>174</v>
      </c>
      <c r="B41" s="857"/>
      <c r="C41" s="857"/>
      <c r="D41" s="857"/>
      <c r="E41" s="857"/>
      <c r="F41" s="81">
        <f>($F$40/$F$12)/100</f>
        <v>2.8327272727272725E-2</v>
      </c>
      <c r="G41" s="82"/>
      <c r="H41" s="82"/>
      <c r="I41" s="83"/>
      <c r="J41" s="35"/>
      <c r="K41" s="35"/>
      <c r="L41" s="35"/>
    </row>
    <row r="42" spans="1:12" ht="24" customHeight="1" x14ac:dyDescent="0.2">
      <c r="A42" s="35"/>
      <c r="B42" s="35"/>
      <c r="C42" s="35"/>
      <c r="D42" s="35"/>
      <c r="E42" s="35"/>
      <c r="F42" s="77"/>
      <c r="G42" s="77"/>
      <c r="H42" s="77"/>
      <c r="I42" s="35"/>
      <c r="J42" s="35"/>
      <c r="K42" s="35"/>
      <c r="L42" s="35"/>
    </row>
    <row r="43" spans="1:12" x14ac:dyDescent="0.2">
      <c r="A43" s="35"/>
      <c r="B43" s="35"/>
      <c r="C43" s="35"/>
      <c r="D43" s="35"/>
      <c r="E43" s="35"/>
      <c r="F43" s="77"/>
      <c r="G43" s="77"/>
      <c r="H43" s="77"/>
      <c r="I43" s="35"/>
      <c r="J43" s="35"/>
      <c r="K43" s="35"/>
      <c r="L43" s="35"/>
    </row>
    <row r="44" spans="1:12" x14ac:dyDescent="0.2">
      <c r="A44" s="35"/>
      <c r="B44" s="35"/>
      <c r="C44" s="35"/>
      <c r="D44" s="35"/>
      <c r="E44" s="35"/>
      <c r="F44" s="77"/>
      <c r="G44" s="77"/>
      <c r="H44" s="77"/>
      <c r="I44" s="35"/>
      <c r="J44" s="35"/>
      <c r="K44" s="35"/>
      <c r="L44" s="35"/>
    </row>
    <row r="45" spans="1:12" x14ac:dyDescent="0.2">
      <c r="A45" s="35"/>
      <c r="B45" s="35"/>
      <c r="C45" s="35"/>
      <c r="D45" s="35"/>
      <c r="E45" s="35"/>
      <c r="F45" s="77"/>
      <c r="G45" s="77"/>
      <c r="H45" s="77"/>
      <c r="I45" s="35"/>
      <c r="J45" s="35"/>
      <c r="K45" s="35"/>
      <c r="L45" s="35"/>
    </row>
  </sheetData>
  <sheetProtection algorithmName="SHA-512" hashValue="TXEipVr6DrPlsJk+A7EO8G7HCSKIFdgSeJUCbt/u5W9w+Qo4wB7SZmHEmCupBTsmlZTwtEetSPtiOvYWvhnxBg==" saltValue="xTfPBOZ5mrh0xNeWg37n0w=="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7"/>
  <sheetViews>
    <sheetView showGridLines="0" zoomScale="80" zoomScaleNormal="80" workbookViewId="0">
      <selection activeCell="K10" sqref="K10"/>
    </sheetView>
  </sheetViews>
  <sheetFormatPr defaultColWidth="9" defaultRowHeight="12.75" x14ac:dyDescent="0.2"/>
  <cols>
    <col min="1" max="1" width="11.33203125" customWidth="1"/>
    <col min="2" max="2" width="28.83203125" customWidth="1"/>
    <col min="3" max="3" width="10.33203125" customWidth="1"/>
    <col min="4" max="5" width="17.5" customWidth="1"/>
    <col min="6" max="8" width="17.83203125" style="16" customWidth="1"/>
    <col min="9" max="9" width="17.83203125" customWidth="1"/>
  </cols>
  <sheetData>
    <row r="1" spans="1:14" x14ac:dyDescent="0.2">
      <c r="A1" s="63"/>
      <c r="B1" s="345" t="s">
        <v>0</v>
      </c>
      <c r="C1" s="64"/>
      <c r="D1" s="64"/>
      <c r="E1" s="64"/>
      <c r="F1" s="65"/>
      <c r="G1" s="65"/>
      <c r="H1" s="65"/>
      <c r="I1" s="66"/>
      <c r="J1" s="35"/>
      <c r="K1" s="35"/>
      <c r="L1" s="35"/>
      <c r="M1" s="35"/>
      <c r="N1" s="35"/>
    </row>
    <row r="2" spans="1:14" x14ac:dyDescent="0.2">
      <c r="A2" s="67"/>
      <c r="B2" s="346" t="s">
        <v>210</v>
      </c>
      <c r="C2" s="60"/>
      <c r="D2" s="60"/>
      <c r="E2" s="60"/>
      <c r="F2" s="108"/>
      <c r="G2" s="108"/>
      <c r="H2" s="108"/>
      <c r="I2" s="68"/>
      <c r="J2" s="35"/>
      <c r="K2" s="35"/>
      <c r="L2" s="35"/>
      <c r="M2" s="35"/>
      <c r="N2" s="35"/>
    </row>
    <row r="3" spans="1:14" ht="13.5" thickBot="1" x14ac:dyDescent="0.25">
      <c r="A3" s="69"/>
      <c r="B3" s="346" t="s">
        <v>1</v>
      </c>
      <c r="C3" s="60"/>
      <c r="D3" s="60"/>
      <c r="E3" s="60"/>
      <c r="F3" s="108"/>
      <c r="G3" s="108"/>
      <c r="H3" s="108"/>
      <c r="I3" s="68"/>
      <c r="J3" s="35"/>
      <c r="K3" s="35"/>
      <c r="L3" s="35"/>
      <c r="M3" s="35"/>
      <c r="N3" s="35"/>
    </row>
    <row r="4" spans="1:14" ht="32.25" customHeight="1" x14ac:dyDescent="0.2">
      <c r="A4" s="843" t="s">
        <v>143</v>
      </c>
      <c r="B4" s="843"/>
      <c r="C4" s="843"/>
      <c r="D4" s="843"/>
      <c r="E4" s="843"/>
      <c r="F4" s="843"/>
      <c r="G4" s="843"/>
      <c r="H4" s="843"/>
      <c r="I4" s="843"/>
      <c r="J4" s="35"/>
      <c r="K4" s="35"/>
      <c r="L4" s="35"/>
      <c r="M4" s="35"/>
      <c r="N4" s="35"/>
    </row>
    <row r="5" spans="1:14"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row>
    <row r="6" spans="1:14" ht="22.5" customHeight="1" thickBot="1" x14ac:dyDescent="0.25">
      <c r="A6" s="844" t="s">
        <v>2</v>
      </c>
      <c r="B6" s="844"/>
      <c r="C6" s="844"/>
      <c r="D6" s="844"/>
      <c r="E6" s="844"/>
      <c r="F6" s="844"/>
      <c r="G6" s="844"/>
      <c r="H6" s="844"/>
      <c r="I6" s="844"/>
      <c r="J6" s="35"/>
      <c r="K6" s="35"/>
      <c r="L6" s="35"/>
      <c r="M6" s="35"/>
      <c r="N6" s="35"/>
    </row>
    <row r="7" spans="1:14" ht="30" customHeight="1" thickBot="1" x14ac:dyDescent="0.25">
      <c r="A7" s="852" t="str">
        <f>Dados!B12&amp;" - "&amp;D10</f>
        <v>Auxiliar Administrativo - Classe II - 200</v>
      </c>
      <c r="B7" s="853"/>
      <c r="C7" s="853"/>
      <c r="D7" s="853"/>
      <c r="E7" s="854"/>
      <c r="F7" s="845" t="s">
        <v>144</v>
      </c>
      <c r="G7" s="855" t="s">
        <v>471</v>
      </c>
      <c r="H7" s="846" t="s">
        <v>145</v>
      </c>
      <c r="I7" s="847" t="s">
        <v>146</v>
      </c>
      <c r="J7" s="35"/>
      <c r="K7" s="35"/>
      <c r="L7" s="35"/>
      <c r="M7" s="35"/>
      <c r="N7" s="35"/>
    </row>
    <row r="8" spans="1:14" ht="18" customHeight="1" thickBot="1" x14ac:dyDescent="0.25">
      <c r="A8" s="848" t="s">
        <v>147</v>
      </c>
      <c r="B8" s="848"/>
      <c r="C8" s="848"/>
      <c r="D8" s="848"/>
      <c r="E8" s="228" t="s">
        <v>88</v>
      </c>
      <c r="F8" s="845"/>
      <c r="G8" s="856"/>
      <c r="H8" s="846"/>
      <c r="I8" s="847"/>
      <c r="J8" s="35"/>
      <c r="K8" s="35"/>
      <c r="L8" s="35"/>
      <c r="M8" s="35"/>
      <c r="N8" s="35"/>
    </row>
    <row r="9" spans="1:14" ht="24.75" customHeight="1" x14ac:dyDescent="0.2">
      <c r="A9" s="229" t="s">
        <v>148</v>
      </c>
      <c r="B9" s="835" t="s">
        <v>149</v>
      </c>
      <c r="C9" s="835"/>
      <c r="D9" s="230" t="s">
        <v>150</v>
      </c>
      <c r="E9" s="70" t="s">
        <v>151</v>
      </c>
      <c r="F9" s="836" t="s">
        <v>152</v>
      </c>
      <c r="G9" s="836"/>
      <c r="H9" s="836"/>
      <c r="I9" s="836"/>
      <c r="J9" s="35"/>
      <c r="K9" s="35"/>
      <c r="L9" s="35"/>
      <c r="M9" s="35"/>
      <c r="N9" s="35"/>
    </row>
    <row r="10" spans="1:14" ht="26.25" customHeight="1" x14ac:dyDescent="0.2">
      <c r="A10" s="837">
        <v>1</v>
      </c>
      <c r="B10" s="838" t="str">
        <f>A7</f>
        <v>Auxiliar Administrativo - Classe II - 200</v>
      </c>
      <c r="C10" s="838"/>
      <c r="D10" s="231">
        <f>Dados!C12</f>
        <v>200</v>
      </c>
      <c r="E10" s="125">
        <f>Dados!$E12</f>
        <v>2530</v>
      </c>
      <c r="F10" s="113">
        <f>ROUND(E10/220*D10,2)</f>
        <v>2300</v>
      </c>
      <c r="G10" s="613"/>
      <c r="H10" s="114"/>
      <c r="I10" s="115"/>
      <c r="J10" s="35"/>
      <c r="K10" s="35"/>
      <c r="L10" s="35"/>
      <c r="M10" s="35"/>
      <c r="N10" s="35"/>
    </row>
    <row r="11" spans="1:14" ht="24" customHeight="1" x14ac:dyDescent="0.2">
      <c r="A11" s="837"/>
      <c r="B11" s="841"/>
      <c r="C11" s="842"/>
      <c r="D11" s="233"/>
      <c r="E11" s="234"/>
      <c r="F11" s="113">
        <f>ROUND(((E11/220*D10)*C11)*D11,2)</f>
        <v>0</v>
      </c>
      <c r="G11" s="613"/>
      <c r="H11" s="114"/>
      <c r="I11" s="115"/>
      <c r="J11" s="35"/>
      <c r="K11" s="35"/>
      <c r="L11" s="35"/>
      <c r="M11" s="35"/>
      <c r="N11" s="35"/>
    </row>
    <row r="12" spans="1:14" ht="19.5" customHeight="1" x14ac:dyDescent="0.2">
      <c r="A12" s="837"/>
      <c r="B12" s="860" t="s">
        <v>153</v>
      </c>
      <c r="C12" s="860"/>
      <c r="D12" s="860"/>
      <c r="E12" s="860"/>
      <c r="F12" s="236">
        <f>F10+F11</f>
        <v>2300</v>
      </c>
      <c r="G12" s="614"/>
      <c r="H12" s="237"/>
      <c r="I12" s="286"/>
      <c r="J12" s="35"/>
      <c r="K12" s="35"/>
      <c r="L12" s="35"/>
      <c r="M12" s="35"/>
      <c r="N12" s="35"/>
    </row>
    <row r="13" spans="1:14" ht="19.5" customHeight="1" x14ac:dyDescent="0.2">
      <c r="A13" s="837"/>
      <c r="B13" s="840" t="s">
        <v>154</v>
      </c>
      <c r="C13" s="840"/>
      <c r="D13" s="840"/>
      <c r="E13" s="287">
        <f>Dados!G28</f>
        <v>0.79049999999999998</v>
      </c>
      <c r="F13" s="113">
        <f>(ROUND((E13*F12),2))</f>
        <v>1818.15</v>
      </c>
      <c r="G13" s="613"/>
      <c r="H13" s="114"/>
      <c r="I13" s="115"/>
      <c r="J13" s="35"/>
      <c r="K13" s="35"/>
      <c r="L13" s="35"/>
      <c r="M13" s="35"/>
      <c r="N13" s="35"/>
    </row>
    <row r="14" spans="1:14" ht="24.75" customHeight="1" x14ac:dyDescent="0.2">
      <c r="A14" s="858" t="s">
        <v>155</v>
      </c>
      <c r="B14" s="858"/>
      <c r="C14" s="858"/>
      <c r="D14" s="858"/>
      <c r="E14" s="858"/>
      <c r="F14" s="236">
        <f>ROUND(SUM(F12:F13),2)</f>
        <v>4118.1499999999996</v>
      </c>
      <c r="G14" s="615"/>
      <c r="H14" s="240"/>
      <c r="I14" s="238"/>
      <c r="J14" s="35"/>
      <c r="K14" s="35"/>
      <c r="L14" s="35"/>
      <c r="M14" s="35"/>
      <c r="N14" s="35"/>
    </row>
    <row r="15" spans="1:14" ht="19.5" customHeight="1" x14ac:dyDescent="0.2">
      <c r="A15" s="822" t="s">
        <v>156</v>
      </c>
      <c r="B15" s="822"/>
      <c r="C15" s="822"/>
      <c r="D15" s="822"/>
      <c r="E15" s="822"/>
      <c r="F15" s="822"/>
      <c r="G15" s="822"/>
      <c r="H15" s="822"/>
      <c r="I15" s="822"/>
      <c r="J15" s="35"/>
      <c r="K15" s="35"/>
      <c r="L15" s="35"/>
      <c r="M15" s="35"/>
      <c r="N15" s="35"/>
    </row>
    <row r="16" spans="1:14" ht="19.5" customHeight="1" x14ac:dyDescent="0.2">
      <c r="A16" s="832" t="s">
        <v>157</v>
      </c>
      <c r="B16" s="832"/>
      <c r="C16" s="241" t="s">
        <v>158</v>
      </c>
      <c r="D16" s="833" t="s">
        <v>152</v>
      </c>
      <c r="E16" s="833"/>
      <c r="F16" s="833"/>
      <c r="G16" s="834"/>
      <c r="H16" s="833"/>
      <c r="I16" s="833"/>
      <c r="J16" s="35"/>
      <c r="K16" s="35"/>
      <c r="L16" s="35"/>
      <c r="M16" s="35"/>
      <c r="N16" s="35"/>
    </row>
    <row r="17" spans="1:14" ht="19.5" customHeight="1" x14ac:dyDescent="0.2">
      <c r="A17" s="829" t="s">
        <v>93</v>
      </c>
      <c r="B17" s="829"/>
      <c r="C17" s="242"/>
      <c r="D17" s="124"/>
      <c r="E17" s="125"/>
      <c r="F17" s="113">
        <f>Dados!I12</f>
        <v>72.650000000000006</v>
      </c>
      <c r="G17" s="613"/>
      <c r="H17" s="114"/>
      <c r="I17" s="115"/>
      <c r="J17" s="35"/>
      <c r="K17" s="35"/>
      <c r="L17" s="35"/>
      <c r="M17" s="35"/>
      <c r="N17" s="35"/>
    </row>
    <row r="18" spans="1:14" ht="19.5" customHeight="1" x14ac:dyDescent="0.2">
      <c r="A18" s="829" t="s">
        <v>160</v>
      </c>
      <c r="B18" s="829"/>
      <c r="C18" s="242"/>
      <c r="D18" s="124"/>
      <c r="E18" s="243"/>
      <c r="F18" s="113">
        <f>Dados!G35</f>
        <v>2.2000000000000002</v>
      </c>
      <c r="G18" s="613"/>
      <c r="H18" s="114"/>
      <c r="I18" s="115"/>
      <c r="J18" s="35"/>
      <c r="K18" s="35"/>
      <c r="L18" s="35"/>
      <c r="M18" s="35"/>
      <c r="N18" s="35"/>
    </row>
    <row r="19" spans="1:14" ht="25.5" customHeight="1" x14ac:dyDescent="0.2">
      <c r="A19" s="830" t="s">
        <v>103</v>
      </c>
      <c r="B19" s="830"/>
      <c r="C19" s="242"/>
      <c r="D19" s="124"/>
      <c r="E19" s="244"/>
      <c r="F19" s="113">
        <f>Dados!G36</f>
        <v>66.099999999999994</v>
      </c>
      <c r="G19" s="613"/>
      <c r="H19" s="114"/>
      <c r="I19" s="115"/>
      <c r="J19" s="35"/>
      <c r="K19" s="35"/>
      <c r="L19" s="35"/>
      <c r="M19" s="35"/>
      <c r="N19" s="35"/>
    </row>
    <row r="20" spans="1:14" ht="25.5" customHeight="1" x14ac:dyDescent="0.2">
      <c r="A20" s="831" t="s">
        <v>105</v>
      </c>
      <c r="B20" s="831"/>
      <c r="C20" s="114">
        <f>Dados!$G$38</f>
        <v>22</v>
      </c>
      <c r="D20" s="242">
        <f>Dados!$G$37</f>
        <v>24.54</v>
      </c>
      <c r="E20" s="245">
        <f>Dados!$G$39</f>
        <v>0.2</v>
      </c>
      <c r="F20" s="113">
        <f>ROUND((IF(D10&gt;150,((C20*D20)-(E20*(C20*D20))),0)),2)</f>
        <v>431.9</v>
      </c>
      <c r="G20" s="613">
        <f>F20</f>
        <v>431.9</v>
      </c>
      <c r="H20" s="114"/>
      <c r="I20" s="115"/>
      <c r="J20" s="35"/>
      <c r="K20" s="35"/>
      <c r="L20" s="35"/>
      <c r="M20" s="35"/>
      <c r="N20" s="35"/>
    </row>
    <row r="21" spans="1:14" ht="19.5" customHeight="1" x14ac:dyDescent="0.2">
      <c r="A21" s="829" t="s">
        <v>207</v>
      </c>
      <c r="B21" s="829"/>
      <c r="C21" s="114">
        <f>Dados!$G$44</f>
        <v>22</v>
      </c>
      <c r="D21" s="114">
        <f>Dados!$G$43</f>
        <v>7.1</v>
      </c>
      <c r="E21" s="125">
        <f>Dados!$G$41</f>
        <v>4.5</v>
      </c>
      <c r="F21" s="113">
        <f>ROUND((($C$21*$D$21*Dados!$G$42)+($C$21*$E$21*Dados!$G$40) -(F10*Dados!$G$45)),2)</f>
        <v>372.4</v>
      </c>
      <c r="G21" s="613"/>
      <c r="H21" s="114"/>
      <c r="I21" s="115">
        <f>F21</f>
        <v>372.4</v>
      </c>
      <c r="J21" s="35"/>
      <c r="K21" s="35"/>
      <c r="L21" s="35"/>
      <c r="M21" s="35"/>
      <c r="N21" s="35"/>
    </row>
    <row r="22" spans="1:14"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c r="M22" s="35"/>
      <c r="N22" s="35"/>
    </row>
    <row r="23" spans="1:14"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c r="M23" s="35"/>
      <c r="N23" s="35"/>
    </row>
    <row r="24" spans="1:14" ht="24.75" customHeight="1" x14ac:dyDescent="0.2">
      <c r="A24" s="821" t="s">
        <v>163</v>
      </c>
      <c r="B24" s="821"/>
      <c r="C24" s="821"/>
      <c r="D24" s="821"/>
      <c r="E24" s="821"/>
      <c r="F24" s="236">
        <f>SUM(F17:F23)</f>
        <v>945.24999999999989</v>
      </c>
      <c r="G24" s="236">
        <f>SUM(G17:G23)</f>
        <v>431.9</v>
      </c>
      <c r="H24" s="240">
        <f>SUM($H$17:$H$23)</f>
        <v>0</v>
      </c>
      <c r="I24" s="238">
        <f>SUM($I$17:$I$23)</f>
        <v>372.4</v>
      </c>
      <c r="J24" s="35"/>
      <c r="K24" s="35"/>
      <c r="L24" s="35"/>
      <c r="M24" s="35"/>
      <c r="N24" s="35"/>
    </row>
    <row r="25" spans="1:14" ht="24.75" customHeight="1" x14ac:dyDescent="0.2">
      <c r="A25" s="821" t="s">
        <v>164</v>
      </c>
      <c r="B25" s="821"/>
      <c r="C25" s="821"/>
      <c r="D25" s="821"/>
      <c r="E25" s="821"/>
      <c r="F25" s="236">
        <f>F14+F24</f>
        <v>5063.3999999999996</v>
      </c>
      <c r="G25" s="236">
        <f>$G$14+$G$24</f>
        <v>431.9</v>
      </c>
      <c r="H25" s="240">
        <f>$H$14+$H$24</f>
        <v>0</v>
      </c>
      <c r="I25" s="238">
        <f>$I$14+$I$24</f>
        <v>372.4</v>
      </c>
      <c r="J25" s="35"/>
      <c r="K25" s="35"/>
      <c r="L25" s="35"/>
      <c r="M25" s="35"/>
      <c r="N25" s="35"/>
    </row>
    <row r="26" spans="1:14" ht="19.5" customHeight="1" x14ac:dyDescent="0.2">
      <c r="A26" s="822" t="s">
        <v>165</v>
      </c>
      <c r="B26" s="822"/>
      <c r="C26" s="822"/>
      <c r="D26" s="822"/>
      <c r="E26" s="822"/>
      <c r="F26" s="822"/>
      <c r="G26" s="822"/>
      <c r="H26" s="822">
        <f>SUM($H$17:$H$25)</f>
        <v>0</v>
      </c>
      <c r="I26" s="822">
        <f>SUM($I$17:$I$25)</f>
        <v>1117.1999999999998</v>
      </c>
      <c r="J26" s="35"/>
      <c r="K26" s="35"/>
      <c r="L26" s="35"/>
      <c r="M26" s="35"/>
      <c r="N26" s="35"/>
    </row>
    <row r="27" spans="1:14" ht="19.5" customHeight="1" x14ac:dyDescent="0.2">
      <c r="A27" s="825" t="s">
        <v>166</v>
      </c>
      <c r="B27" s="825"/>
      <c r="C27" s="825"/>
      <c r="D27" s="826" t="s">
        <v>167</v>
      </c>
      <c r="E27" s="826"/>
      <c r="F27" s="827" t="s">
        <v>152</v>
      </c>
      <c r="G27" s="828"/>
      <c r="H27" s="827"/>
      <c r="I27" s="827"/>
      <c r="J27" s="35"/>
      <c r="K27" s="35"/>
      <c r="L27" s="35"/>
      <c r="M27" s="35"/>
      <c r="N27" s="35"/>
    </row>
    <row r="28" spans="1:14" ht="19.5" customHeight="1" x14ac:dyDescent="0.2">
      <c r="A28" s="121" t="s">
        <v>168</v>
      </c>
      <c r="B28" s="122"/>
      <c r="C28" s="122"/>
      <c r="D28" s="124">
        <f>Dados!$G$50</f>
        <v>0.03</v>
      </c>
      <c r="E28" s="288"/>
      <c r="F28" s="113">
        <f>ROUND((F25*D28),2)</f>
        <v>151.9</v>
      </c>
      <c r="G28" s="613">
        <f>ROUND(($G$25*$D$28),2)</f>
        <v>12.96</v>
      </c>
      <c r="H28" s="114">
        <f>ROUND((H25*D28),2)</f>
        <v>0</v>
      </c>
      <c r="I28" s="115">
        <f>ROUND((I25*D28),2)</f>
        <v>11.17</v>
      </c>
      <c r="J28" s="35"/>
      <c r="K28" s="35"/>
      <c r="L28" s="35"/>
      <c r="M28" s="35"/>
      <c r="N28" s="35"/>
    </row>
    <row r="29" spans="1:14" ht="19.5" customHeight="1" x14ac:dyDescent="0.2">
      <c r="A29" s="820" t="s">
        <v>169</v>
      </c>
      <c r="B29" s="820"/>
      <c r="C29" s="820"/>
      <c r="D29" s="124"/>
      <c r="E29" s="288"/>
      <c r="F29" s="113">
        <f>F25+F28</f>
        <v>5215.2999999999993</v>
      </c>
      <c r="G29" s="613">
        <f>$G$28+$G$25</f>
        <v>444.85999999999996</v>
      </c>
      <c r="H29" s="114">
        <f>H25+H28</f>
        <v>0</v>
      </c>
      <c r="I29" s="115">
        <f>I25+I28</f>
        <v>383.57</v>
      </c>
      <c r="J29" s="35"/>
      <c r="K29" s="35"/>
      <c r="L29" s="35"/>
      <c r="M29" s="35"/>
      <c r="N29" s="35"/>
    </row>
    <row r="30" spans="1:14" ht="19.5" customHeight="1" x14ac:dyDescent="0.2">
      <c r="A30" s="121" t="s">
        <v>108</v>
      </c>
      <c r="B30" s="122"/>
      <c r="C30" s="122"/>
      <c r="D30" s="124">
        <f>Dados!$G$51</f>
        <v>6.7900000000000002E-2</v>
      </c>
      <c r="E30" s="288">
        <f>F25+F28</f>
        <v>5215.2999999999993</v>
      </c>
      <c r="F30" s="113">
        <f>ROUND((E30*D30),2)</f>
        <v>354.12</v>
      </c>
      <c r="G30" s="613">
        <f>ROUND(($G$29*$D$30),2)</f>
        <v>30.21</v>
      </c>
      <c r="H30" s="114">
        <f>ROUND((H29*D30),2)</f>
        <v>0</v>
      </c>
      <c r="I30" s="115">
        <f>ROUND((I29*D30),2)</f>
        <v>26.04</v>
      </c>
      <c r="J30" s="35"/>
      <c r="K30" s="35"/>
      <c r="L30" s="35"/>
      <c r="M30" s="35"/>
      <c r="N30" s="35"/>
    </row>
    <row r="31" spans="1:14" ht="24.75" customHeight="1" x14ac:dyDescent="0.2">
      <c r="A31" s="246" t="s">
        <v>170</v>
      </c>
      <c r="B31" s="247"/>
      <c r="C31" s="247"/>
      <c r="D31" s="248">
        <f>SUM(D28:D30)</f>
        <v>9.7900000000000001E-2</v>
      </c>
      <c r="E31" s="289"/>
      <c r="F31" s="236">
        <f>F28+F30</f>
        <v>506.02</v>
      </c>
      <c r="G31" s="615">
        <f>$G$28+$G$30</f>
        <v>43.17</v>
      </c>
      <c r="H31" s="240">
        <f>H28+H30</f>
        <v>0</v>
      </c>
      <c r="I31" s="238">
        <f>I28+I30</f>
        <v>37.21</v>
      </c>
      <c r="J31" s="35"/>
      <c r="K31" s="35"/>
      <c r="L31" s="35"/>
      <c r="M31" s="35"/>
      <c r="N31" s="35"/>
    </row>
    <row r="32" spans="1:14" ht="24.75" customHeight="1" x14ac:dyDescent="0.2">
      <c r="A32" s="858" t="s">
        <v>171</v>
      </c>
      <c r="B32" s="858"/>
      <c r="C32" s="858"/>
      <c r="D32" s="858"/>
      <c r="E32" s="858"/>
      <c r="F32" s="236">
        <f>F14+F24+F31</f>
        <v>5569.42</v>
      </c>
      <c r="G32" s="615">
        <f>$G$14+$G$24+$G$31</f>
        <v>475.07</v>
      </c>
      <c r="H32" s="240">
        <f>H14+H24+H31</f>
        <v>0</v>
      </c>
      <c r="I32" s="238">
        <f>I14+I24+I31</f>
        <v>409.60999999999996</v>
      </c>
      <c r="J32" s="35"/>
      <c r="K32" s="35"/>
      <c r="L32" s="35"/>
      <c r="M32" s="35"/>
      <c r="N32" s="35"/>
    </row>
    <row r="33" spans="1:14" ht="19.5" customHeight="1" x14ac:dyDescent="0.2">
      <c r="A33" s="822" t="s">
        <v>172</v>
      </c>
      <c r="B33" s="822"/>
      <c r="C33" s="822"/>
      <c r="D33" s="822"/>
      <c r="E33" s="822"/>
      <c r="F33" s="822"/>
      <c r="G33" s="822"/>
      <c r="H33" s="822"/>
      <c r="I33" s="822"/>
      <c r="J33" s="35"/>
      <c r="K33" s="35"/>
      <c r="L33" s="35"/>
      <c r="M33" s="35"/>
      <c r="N33" s="35"/>
    </row>
    <row r="34" spans="1:14" ht="19.5" customHeight="1" x14ac:dyDescent="0.2">
      <c r="A34" s="121" t="s">
        <v>109</v>
      </c>
      <c r="B34" s="122"/>
      <c r="C34" s="123"/>
      <c r="D34" s="124">
        <f>Dados!$G$58</f>
        <v>7.5999999999999998E-2</v>
      </c>
      <c r="E34" s="125"/>
      <c r="F34" s="113">
        <f>ROUND((F39*D34),2)</f>
        <v>493.62</v>
      </c>
      <c r="G34" s="613">
        <f>ROUND(($G$39*$D$34),2)</f>
        <v>42.11</v>
      </c>
      <c r="H34" s="114">
        <f>ROUND((H39*D34),2)</f>
        <v>0</v>
      </c>
      <c r="I34" s="115">
        <f>ROUND((I39*D34),2)</f>
        <v>36.299999999999997</v>
      </c>
      <c r="J34" s="35"/>
      <c r="K34" s="35"/>
      <c r="L34" s="35"/>
      <c r="M34" s="35"/>
      <c r="N34" s="35"/>
    </row>
    <row r="35" spans="1:14" ht="19.5" customHeight="1" x14ac:dyDescent="0.2">
      <c r="A35" s="121" t="s">
        <v>110</v>
      </c>
      <c r="B35" s="122"/>
      <c r="C35" s="123"/>
      <c r="D35" s="124">
        <f>Dados!$G$59</f>
        <v>1.6500000000000001E-2</v>
      </c>
      <c r="E35" s="125"/>
      <c r="F35" s="113">
        <f>ROUND((F39*D35),2)</f>
        <v>107.17</v>
      </c>
      <c r="G35" s="613">
        <f>ROUND(($G$39*$D$35),2)</f>
        <v>9.14</v>
      </c>
      <c r="H35" s="114">
        <f>ROUND((H39*D35),2)</f>
        <v>0</v>
      </c>
      <c r="I35" s="115">
        <f>ROUND((I39*D35),2)</f>
        <v>7.88</v>
      </c>
      <c r="J35" s="35"/>
      <c r="K35" s="35"/>
      <c r="L35" s="35"/>
      <c r="M35" s="35"/>
      <c r="N35" s="35"/>
    </row>
    <row r="36" spans="1:14" ht="19.5" customHeight="1" x14ac:dyDescent="0.2">
      <c r="A36" s="121" t="s">
        <v>111</v>
      </c>
      <c r="B36" s="122"/>
      <c r="C36" s="123"/>
      <c r="D36" s="124">
        <f>Dados!$G$60</f>
        <v>0.05</v>
      </c>
      <c r="E36" s="125"/>
      <c r="F36" s="113">
        <f>ROUND((F39*D36),2)</f>
        <v>324.75</v>
      </c>
      <c r="G36" s="613">
        <f>ROUND(($G$39*$D$36),2)</f>
        <v>27.7</v>
      </c>
      <c r="H36" s="114">
        <f>ROUND((H39*D36),2)</f>
        <v>0</v>
      </c>
      <c r="I36" s="115">
        <f>ROUND((I39*D36),2)</f>
        <v>23.88</v>
      </c>
      <c r="J36" s="35"/>
      <c r="K36" s="35"/>
      <c r="L36" s="35"/>
      <c r="M36" s="35"/>
      <c r="N36" s="35"/>
    </row>
    <row r="37" spans="1:14"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row>
    <row r="38" spans="1:14" ht="30" customHeight="1" thickBot="1" x14ac:dyDescent="0.25">
      <c r="A38" s="246" t="s">
        <v>173</v>
      </c>
      <c r="B38" s="247"/>
      <c r="C38" s="250"/>
      <c r="D38" s="248">
        <f>SUM(D34:D37)</f>
        <v>0.14250000000000002</v>
      </c>
      <c r="E38" s="251"/>
      <c r="F38" s="236">
        <f>SUM(F34:F37)</f>
        <v>925.54</v>
      </c>
      <c r="G38" s="236">
        <f>SUM(G34:G37)</f>
        <v>78.95</v>
      </c>
      <c r="H38" s="236">
        <f t="shared" ref="H38:I38" si="1">SUM(H34:H37)</f>
        <v>0</v>
      </c>
      <c r="I38" s="252">
        <f t="shared" si="1"/>
        <v>68.06</v>
      </c>
      <c r="J38" s="35"/>
      <c r="K38" s="35"/>
      <c r="L38" s="35"/>
      <c r="M38" s="35"/>
      <c r="N38" s="35"/>
    </row>
    <row r="39" spans="1:14" ht="34.5" hidden="1" customHeight="1" thickBot="1" x14ac:dyDescent="0.25">
      <c r="A39" s="823" t="str">
        <f>A7</f>
        <v>Auxiliar Administrativo - Classe II - 200</v>
      </c>
      <c r="B39" s="823"/>
      <c r="C39" s="823"/>
      <c r="D39" s="823"/>
      <c r="E39" s="823"/>
      <c r="F39" s="253">
        <f>ROUND(F32/(1-D38),2)</f>
        <v>6494.95</v>
      </c>
      <c r="G39" s="616">
        <f>ROUND($G$32/(1-$D$38),2)</f>
        <v>554.02</v>
      </c>
      <c r="H39" s="254">
        <f>ROUND(H32/(1-D38),2)</f>
        <v>0</v>
      </c>
      <c r="I39" s="255">
        <f>ROUND(I32/(1-D38),2)</f>
        <v>477.68</v>
      </c>
      <c r="J39" s="35"/>
      <c r="K39" s="35"/>
      <c r="L39" s="35"/>
      <c r="M39" s="35"/>
      <c r="N39" s="35"/>
    </row>
    <row r="40" spans="1:14" ht="30" customHeight="1" thickBot="1" x14ac:dyDescent="0.25">
      <c r="A40" s="859" t="str">
        <f>A7</f>
        <v>Auxiliar Administrativo - Classe II - 200</v>
      </c>
      <c r="B40" s="859"/>
      <c r="C40" s="859"/>
      <c r="D40" s="859"/>
      <c r="E40" s="859"/>
      <c r="F40" s="79">
        <f>F39</f>
        <v>6494.95</v>
      </c>
      <c r="G40" s="630">
        <f>$G$39</f>
        <v>554.02</v>
      </c>
      <c r="H40" s="79">
        <f>H39</f>
        <v>0</v>
      </c>
      <c r="I40" s="80">
        <f>I39</f>
        <v>477.68</v>
      </c>
      <c r="J40" s="35"/>
      <c r="K40" s="35"/>
      <c r="L40" s="35"/>
      <c r="M40" s="35"/>
      <c r="N40" s="35"/>
    </row>
    <row r="41" spans="1:14" ht="29.25" customHeight="1" thickBot="1" x14ac:dyDescent="0.25">
      <c r="A41" s="857" t="s">
        <v>174</v>
      </c>
      <c r="B41" s="857"/>
      <c r="C41" s="857"/>
      <c r="D41" s="857"/>
      <c r="E41" s="857"/>
      <c r="F41" s="81">
        <f>($F$40/$F$12)/100</f>
        <v>2.8238913043478264E-2</v>
      </c>
      <c r="G41" s="82"/>
      <c r="H41" s="82"/>
      <c r="I41" s="83"/>
      <c r="J41" s="35"/>
      <c r="K41" s="35"/>
      <c r="L41" s="35"/>
      <c r="M41" s="35"/>
      <c r="N41" s="35"/>
    </row>
    <row r="42" spans="1:14" ht="24" customHeight="1" x14ac:dyDescent="0.2">
      <c r="A42" s="35"/>
      <c r="B42" s="35"/>
      <c r="C42" s="35"/>
      <c r="D42" s="35"/>
      <c r="E42" s="35"/>
      <c r="F42" s="77"/>
      <c r="G42" s="77"/>
      <c r="H42" s="77"/>
      <c r="I42" s="35"/>
      <c r="J42" s="35"/>
      <c r="K42" s="35"/>
      <c r="L42" s="35"/>
      <c r="M42" s="35"/>
      <c r="N42" s="35"/>
    </row>
    <row r="43" spans="1:14" x14ac:dyDescent="0.2">
      <c r="A43" s="35"/>
      <c r="B43" s="35"/>
      <c r="C43" s="35"/>
      <c r="D43" s="35"/>
      <c r="E43" s="35"/>
      <c r="F43" s="77"/>
      <c r="G43" s="77"/>
      <c r="H43" s="77"/>
      <c r="I43" s="35"/>
      <c r="J43" s="35"/>
      <c r="K43" s="35"/>
      <c r="L43" s="35"/>
      <c r="M43" s="35"/>
      <c r="N43" s="35"/>
    </row>
    <row r="44" spans="1:14" x14ac:dyDescent="0.2">
      <c r="A44" s="35"/>
      <c r="B44" s="35"/>
      <c r="C44" s="35"/>
      <c r="D44" s="35"/>
      <c r="E44" s="35"/>
      <c r="F44" s="77"/>
      <c r="G44" s="77"/>
      <c r="H44" s="77"/>
      <c r="I44" s="35"/>
      <c r="J44" s="35"/>
      <c r="K44" s="35"/>
      <c r="L44" s="35"/>
      <c r="M44" s="35"/>
      <c r="N44" s="35"/>
    </row>
    <row r="45" spans="1:14" x14ac:dyDescent="0.2">
      <c r="A45" s="35"/>
      <c r="B45" s="35"/>
      <c r="C45" s="35"/>
      <c r="D45" s="35"/>
      <c r="E45" s="35"/>
      <c r="F45" s="77"/>
      <c r="G45" s="77"/>
      <c r="H45" s="77"/>
      <c r="I45" s="35"/>
      <c r="J45" s="35"/>
      <c r="K45" s="35"/>
      <c r="L45" s="35"/>
      <c r="M45" s="35"/>
      <c r="N45" s="35"/>
    </row>
    <row r="46" spans="1:14" x14ac:dyDescent="0.2">
      <c r="A46" s="35"/>
      <c r="B46" s="35"/>
      <c r="C46" s="35"/>
      <c r="D46" s="35"/>
      <c r="E46" s="35"/>
      <c r="F46" s="77"/>
      <c r="G46" s="77"/>
      <c r="H46" s="77"/>
      <c r="I46" s="35"/>
      <c r="J46" s="35"/>
      <c r="K46" s="35"/>
      <c r="L46" s="35"/>
      <c r="M46" s="35"/>
      <c r="N46" s="35"/>
    </row>
    <row r="47" spans="1:14" x14ac:dyDescent="0.2">
      <c r="A47" s="35"/>
      <c r="B47" s="35"/>
      <c r="C47" s="35"/>
      <c r="D47" s="35"/>
      <c r="E47" s="35"/>
      <c r="F47" s="77"/>
      <c r="G47" s="77"/>
      <c r="H47" s="77"/>
      <c r="I47" s="35"/>
      <c r="J47" s="35"/>
      <c r="K47" s="35"/>
      <c r="L47" s="35"/>
      <c r="M47" s="35"/>
      <c r="N47" s="35"/>
    </row>
  </sheetData>
  <sheetProtection algorithmName="SHA-512" hashValue="jGgxEzB2csfF6Byxd5AhkYeIYKWxkq83tdYBK0sHFA6dfLY0KBcFOZLw5pO4vv7dp3J9maaap51clPc12SMNiw==" saltValue="vHFIIA4EPPixk2X8Uza7sw=="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4"/>
  <sheetViews>
    <sheetView showGridLines="0" zoomScale="80" zoomScaleNormal="80" workbookViewId="0">
      <selection activeCell="J11" sqref="J11"/>
    </sheetView>
  </sheetViews>
  <sheetFormatPr defaultColWidth="9" defaultRowHeight="12.75" x14ac:dyDescent="0.2"/>
  <cols>
    <col min="1" max="1" width="11.33203125" customWidth="1"/>
    <col min="2" max="2" width="28.83203125" customWidth="1"/>
    <col min="3" max="3" width="11.1640625" customWidth="1"/>
    <col min="4" max="5" width="17.5" customWidth="1"/>
    <col min="6" max="8" width="17.83203125" style="16" customWidth="1"/>
    <col min="9" max="9" width="17.83203125" customWidth="1"/>
  </cols>
  <sheetData>
    <row r="1" spans="1:16" x14ac:dyDescent="0.2">
      <c r="A1" s="63"/>
      <c r="B1" s="345" t="s">
        <v>0</v>
      </c>
      <c r="C1" s="64"/>
      <c r="D1" s="64"/>
      <c r="E1" s="64"/>
      <c r="F1" s="65"/>
      <c r="G1" s="65"/>
      <c r="H1" s="65"/>
      <c r="I1" s="66"/>
      <c r="J1" s="35"/>
      <c r="K1" s="35"/>
      <c r="L1" s="35"/>
      <c r="M1" s="35"/>
      <c r="N1" s="35"/>
      <c r="O1" s="35"/>
      <c r="P1" s="35"/>
    </row>
    <row r="2" spans="1:16" x14ac:dyDescent="0.2">
      <c r="A2" s="67"/>
      <c r="B2" s="346" t="s">
        <v>210</v>
      </c>
      <c r="C2" s="60"/>
      <c r="D2" s="60"/>
      <c r="E2" s="60"/>
      <c r="F2" s="108"/>
      <c r="G2" s="108"/>
      <c r="H2" s="108"/>
      <c r="I2" s="68"/>
      <c r="J2" s="35"/>
      <c r="K2" s="35"/>
      <c r="L2" s="35"/>
      <c r="M2" s="35"/>
      <c r="N2" s="35"/>
      <c r="O2" s="35"/>
      <c r="P2" s="35"/>
    </row>
    <row r="3" spans="1:16" ht="13.5" thickBot="1" x14ac:dyDescent="0.25">
      <c r="A3" s="69"/>
      <c r="B3" s="346" t="s">
        <v>1</v>
      </c>
      <c r="C3" s="60"/>
      <c r="D3" s="60"/>
      <c r="E3" s="60"/>
      <c r="F3" s="108"/>
      <c r="G3" s="108"/>
      <c r="H3" s="108"/>
      <c r="I3" s="68"/>
      <c r="J3" s="35"/>
      <c r="K3" s="35"/>
      <c r="L3" s="35"/>
      <c r="M3" s="35"/>
      <c r="N3" s="35"/>
      <c r="O3" s="35"/>
      <c r="P3" s="35"/>
    </row>
    <row r="4" spans="1:16" ht="32.25" customHeight="1" x14ac:dyDescent="0.2">
      <c r="A4" s="843" t="s">
        <v>143</v>
      </c>
      <c r="B4" s="843"/>
      <c r="C4" s="843"/>
      <c r="D4" s="843"/>
      <c r="E4" s="843"/>
      <c r="F4" s="843"/>
      <c r="G4" s="843"/>
      <c r="H4" s="843"/>
      <c r="I4" s="843"/>
      <c r="J4" s="35"/>
      <c r="K4" s="35"/>
      <c r="L4" s="35"/>
      <c r="M4" s="35"/>
      <c r="N4" s="35"/>
      <c r="O4" s="35"/>
      <c r="P4" s="35"/>
    </row>
    <row r="5" spans="1:16"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c r="O5" s="35"/>
      <c r="P5" s="35"/>
    </row>
    <row r="6" spans="1:16" ht="22.5" customHeight="1" thickBot="1" x14ac:dyDescent="0.25">
      <c r="A6" s="844" t="s">
        <v>2</v>
      </c>
      <c r="B6" s="844"/>
      <c r="C6" s="844"/>
      <c r="D6" s="844"/>
      <c r="E6" s="844"/>
      <c r="F6" s="844"/>
      <c r="G6" s="844"/>
      <c r="H6" s="844"/>
      <c r="I6" s="844"/>
      <c r="J6" s="35"/>
      <c r="K6" s="35"/>
      <c r="L6" s="35"/>
      <c r="M6" s="35"/>
      <c r="N6" s="35"/>
      <c r="O6" s="35"/>
      <c r="P6" s="35"/>
    </row>
    <row r="7" spans="1:16" ht="30" customHeight="1" thickBot="1" x14ac:dyDescent="0.25">
      <c r="A7" s="852" t="str">
        <f>Dados!$B$13&amp;" - "&amp;$D$10</f>
        <v>Auxiliar Administrativo - Classe III (Nível Superior) - 150</v>
      </c>
      <c r="B7" s="853"/>
      <c r="C7" s="853"/>
      <c r="D7" s="853"/>
      <c r="E7" s="854"/>
      <c r="F7" s="845" t="s">
        <v>144</v>
      </c>
      <c r="G7" s="855" t="s">
        <v>471</v>
      </c>
      <c r="H7" s="846" t="s">
        <v>145</v>
      </c>
      <c r="I7" s="847" t="s">
        <v>146</v>
      </c>
      <c r="J7" s="35"/>
      <c r="K7" s="35"/>
      <c r="L7" s="35"/>
      <c r="M7" s="35"/>
      <c r="N7" s="35"/>
      <c r="O7" s="35"/>
      <c r="P7" s="35"/>
    </row>
    <row r="8" spans="1:16" ht="18" customHeight="1" thickBot="1" x14ac:dyDescent="0.25">
      <c r="A8" s="848" t="s">
        <v>147</v>
      </c>
      <c r="B8" s="848"/>
      <c r="C8" s="848"/>
      <c r="D8" s="848"/>
      <c r="E8" s="228" t="s">
        <v>88</v>
      </c>
      <c r="F8" s="845"/>
      <c r="G8" s="856"/>
      <c r="H8" s="846"/>
      <c r="I8" s="847"/>
      <c r="J8" s="35"/>
      <c r="K8" s="35"/>
      <c r="L8" s="35"/>
      <c r="M8" s="35"/>
      <c r="N8" s="35"/>
      <c r="O8" s="35"/>
      <c r="P8" s="35"/>
    </row>
    <row r="9" spans="1:16" ht="24.75" customHeight="1" x14ac:dyDescent="0.2">
      <c r="A9" s="229" t="s">
        <v>148</v>
      </c>
      <c r="B9" s="835" t="s">
        <v>149</v>
      </c>
      <c r="C9" s="835"/>
      <c r="D9" s="230" t="s">
        <v>150</v>
      </c>
      <c r="E9" s="70" t="s">
        <v>151</v>
      </c>
      <c r="F9" s="864" t="s">
        <v>152</v>
      </c>
      <c r="G9" s="865"/>
      <c r="H9" s="864"/>
      <c r="I9" s="864"/>
      <c r="J9" s="35"/>
      <c r="K9" s="35"/>
      <c r="L9" s="35"/>
      <c r="M9" s="35"/>
      <c r="N9" s="35"/>
      <c r="O9" s="35"/>
      <c r="P9" s="35"/>
    </row>
    <row r="10" spans="1:16" ht="29.25" customHeight="1" x14ac:dyDescent="0.2">
      <c r="A10" s="837">
        <v>1</v>
      </c>
      <c r="B10" s="838" t="str">
        <f>A7</f>
        <v>Auxiliar Administrativo - Classe III (Nível Superior) - 150</v>
      </c>
      <c r="C10" s="838"/>
      <c r="D10" s="231">
        <f>Dados!$C$13</f>
        <v>150</v>
      </c>
      <c r="E10" s="125">
        <f>Dados!$E$13</f>
        <v>3289</v>
      </c>
      <c r="F10" s="113">
        <f>ROUND(E10/220*D10,2)</f>
        <v>2242.5</v>
      </c>
      <c r="G10" s="613"/>
      <c r="H10" s="114"/>
      <c r="I10" s="115"/>
      <c r="J10" s="35"/>
      <c r="K10" s="35"/>
      <c r="L10" s="35"/>
      <c r="M10" s="35"/>
      <c r="N10" s="35"/>
      <c r="O10" s="35"/>
      <c r="P10" s="35"/>
    </row>
    <row r="11" spans="1:16" ht="24" customHeight="1" x14ac:dyDescent="0.2">
      <c r="A11" s="837"/>
      <c r="B11" s="841"/>
      <c r="C11" s="842"/>
      <c r="D11" s="233"/>
      <c r="E11" s="234"/>
      <c r="F11" s="113">
        <f>ROUND(((E11/220*D10)*C11)*D11,2)</f>
        <v>0</v>
      </c>
      <c r="G11" s="613"/>
      <c r="H11" s="114"/>
      <c r="I11" s="235"/>
      <c r="J11" s="35"/>
      <c r="K11" s="35"/>
      <c r="L11" s="35"/>
      <c r="M11" s="35"/>
      <c r="N11" s="35"/>
      <c r="O11" s="35"/>
      <c r="P11" s="35"/>
    </row>
    <row r="12" spans="1:16" ht="19.5" customHeight="1" x14ac:dyDescent="0.2">
      <c r="A12" s="837"/>
      <c r="B12" s="839" t="s">
        <v>153</v>
      </c>
      <c r="C12" s="839"/>
      <c r="D12" s="839"/>
      <c r="E12" s="839"/>
      <c r="F12" s="236">
        <f>F10+F11</f>
        <v>2242.5</v>
      </c>
      <c r="G12" s="615"/>
      <c r="H12" s="240"/>
      <c r="I12" s="238"/>
      <c r="J12" s="35"/>
      <c r="K12" s="35"/>
      <c r="L12" s="35"/>
      <c r="M12" s="35"/>
      <c r="N12" s="35"/>
      <c r="O12" s="35"/>
      <c r="P12" s="35"/>
    </row>
    <row r="13" spans="1:16" ht="19.5" customHeight="1" x14ac:dyDescent="0.2">
      <c r="A13" s="837"/>
      <c r="B13" s="840" t="s">
        <v>154</v>
      </c>
      <c r="C13" s="840"/>
      <c r="D13" s="840"/>
      <c r="E13" s="239">
        <f>Dados!G28</f>
        <v>0.79049999999999998</v>
      </c>
      <c r="F13" s="113">
        <f>(ROUND((E13*F12),2))</f>
        <v>1772.7</v>
      </c>
      <c r="G13" s="613"/>
      <c r="H13" s="114"/>
      <c r="I13" s="115"/>
      <c r="J13" s="35"/>
      <c r="K13" s="35"/>
      <c r="L13" s="35"/>
      <c r="M13" s="35"/>
      <c r="N13" s="35"/>
      <c r="O13" s="35"/>
      <c r="P13" s="35"/>
    </row>
    <row r="14" spans="1:16" ht="24.75" customHeight="1" x14ac:dyDescent="0.2">
      <c r="A14" s="821" t="s">
        <v>155</v>
      </c>
      <c r="B14" s="821"/>
      <c r="C14" s="821"/>
      <c r="D14" s="821"/>
      <c r="E14" s="821"/>
      <c r="F14" s="236">
        <f>ROUND(SUM(F12:F13),2)</f>
        <v>4015.2</v>
      </c>
      <c r="G14" s="615"/>
      <c r="H14" s="240"/>
      <c r="I14" s="238"/>
      <c r="J14" s="35"/>
      <c r="K14" s="35"/>
      <c r="L14" s="35"/>
      <c r="M14" s="35"/>
      <c r="N14" s="35"/>
      <c r="O14" s="35"/>
      <c r="P14" s="35"/>
    </row>
    <row r="15" spans="1:16" ht="19.5" customHeight="1" x14ac:dyDescent="0.2">
      <c r="A15" s="822" t="s">
        <v>156</v>
      </c>
      <c r="B15" s="822"/>
      <c r="C15" s="822"/>
      <c r="D15" s="822"/>
      <c r="E15" s="822"/>
      <c r="F15" s="822"/>
      <c r="G15" s="822"/>
      <c r="H15" s="822"/>
      <c r="I15" s="822"/>
      <c r="J15" s="35"/>
      <c r="K15" s="35"/>
      <c r="L15" s="35"/>
      <c r="M15" s="35"/>
      <c r="N15" s="35"/>
      <c r="O15" s="35"/>
      <c r="P15" s="35"/>
    </row>
    <row r="16" spans="1:16" ht="19.5" customHeight="1" x14ac:dyDescent="0.2">
      <c r="A16" s="832" t="s">
        <v>157</v>
      </c>
      <c r="B16" s="832"/>
      <c r="C16" s="241" t="s">
        <v>158</v>
      </c>
      <c r="D16" s="833" t="s">
        <v>159</v>
      </c>
      <c r="E16" s="833"/>
      <c r="F16" s="833"/>
      <c r="G16" s="834"/>
      <c r="H16" s="833"/>
      <c r="I16" s="833"/>
      <c r="J16" s="35"/>
      <c r="K16" s="35"/>
      <c r="L16" s="35"/>
      <c r="M16" s="35"/>
      <c r="N16" s="35"/>
      <c r="O16" s="35"/>
      <c r="P16" s="35"/>
    </row>
    <row r="17" spans="1:16" ht="19.5" customHeight="1" x14ac:dyDescent="0.2">
      <c r="A17" s="829" t="s">
        <v>93</v>
      </c>
      <c r="B17" s="829"/>
      <c r="C17" s="242"/>
      <c r="D17" s="124"/>
      <c r="E17" s="125"/>
      <c r="F17" s="113">
        <f>Dados!$I$13</f>
        <v>72.650000000000006</v>
      </c>
      <c r="G17" s="613"/>
      <c r="H17" s="114"/>
      <c r="I17" s="115"/>
      <c r="J17" s="35"/>
      <c r="K17" s="35"/>
      <c r="L17" s="35"/>
      <c r="M17" s="35"/>
      <c r="N17" s="35"/>
      <c r="O17" s="35"/>
      <c r="P17" s="35"/>
    </row>
    <row r="18" spans="1:16" ht="19.5" customHeight="1" x14ac:dyDescent="0.2">
      <c r="A18" s="829" t="s">
        <v>160</v>
      </c>
      <c r="B18" s="829"/>
      <c r="C18" s="242"/>
      <c r="D18" s="124"/>
      <c r="E18" s="243"/>
      <c r="F18" s="113">
        <f>Dados!$G$35</f>
        <v>2.2000000000000002</v>
      </c>
      <c r="G18" s="613"/>
      <c r="H18" s="114"/>
      <c r="I18" s="115"/>
      <c r="J18" s="35"/>
      <c r="K18" s="35"/>
      <c r="L18" s="35"/>
      <c r="M18" s="35"/>
      <c r="N18" s="35"/>
      <c r="O18" s="35"/>
      <c r="P18" s="35"/>
    </row>
    <row r="19" spans="1:16" ht="25.5" customHeight="1" x14ac:dyDescent="0.2">
      <c r="A19" s="830" t="s">
        <v>103</v>
      </c>
      <c r="B19" s="830"/>
      <c r="C19" s="242"/>
      <c r="D19" s="124"/>
      <c r="E19" s="244"/>
      <c r="F19" s="113">
        <f>Dados!$G$36</f>
        <v>66.099999999999994</v>
      </c>
      <c r="G19" s="613"/>
      <c r="H19" s="114"/>
      <c r="I19" s="115"/>
      <c r="J19" s="35"/>
      <c r="K19" s="35"/>
      <c r="L19" s="35"/>
      <c r="M19" s="35"/>
      <c r="N19" s="35"/>
      <c r="O19" s="35"/>
      <c r="P19" s="35"/>
    </row>
    <row r="20" spans="1:16" ht="25.5" customHeight="1" x14ac:dyDescent="0.2">
      <c r="A20" s="831" t="s">
        <v>105</v>
      </c>
      <c r="B20" s="831"/>
      <c r="C20" s="114">
        <f>Dados!$G$38</f>
        <v>22</v>
      </c>
      <c r="D20" s="242">
        <f>Dados!$G$37</f>
        <v>24.54</v>
      </c>
      <c r="E20" s="245">
        <f>Dados!$G$39</f>
        <v>0.2</v>
      </c>
      <c r="F20" s="113">
        <f>ROUND((IF(D10&gt;150,((C20*D20)-(E20*(C20*D20))),0)),2)</f>
        <v>0</v>
      </c>
      <c r="G20" s="613">
        <f>F20</f>
        <v>0</v>
      </c>
      <c r="H20" s="114"/>
      <c r="I20" s="115"/>
      <c r="J20" s="35"/>
      <c r="K20" s="35"/>
      <c r="L20" s="35"/>
      <c r="M20" s="35"/>
      <c r="N20" s="35"/>
      <c r="O20" s="35"/>
      <c r="P20" s="35"/>
    </row>
    <row r="21" spans="1:16" ht="19.5" customHeight="1" x14ac:dyDescent="0.2">
      <c r="A21" s="829" t="s">
        <v>207</v>
      </c>
      <c r="B21" s="829"/>
      <c r="C21" s="114">
        <f>Dados!$G$44</f>
        <v>22</v>
      </c>
      <c r="D21" s="114">
        <f>Dados!$G$43</f>
        <v>7.1</v>
      </c>
      <c r="E21" s="125">
        <f>Dados!$G$41</f>
        <v>4.5</v>
      </c>
      <c r="F21" s="113">
        <f>ROUND((($C$21*$D$21*Dados!$G$42)+($C$21*$E$21*Dados!$G$40) -(F10*Dados!$G$45)),2)</f>
        <v>375.85</v>
      </c>
      <c r="G21" s="613"/>
      <c r="H21" s="114"/>
      <c r="I21" s="115">
        <f>F21</f>
        <v>375.85</v>
      </c>
      <c r="J21" s="35"/>
      <c r="K21" s="35"/>
      <c r="L21" s="35"/>
      <c r="M21" s="35"/>
      <c r="N21" s="35"/>
      <c r="O21" s="35"/>
      <c r="P21" s="35"/>
    </row>
    <row r="22" spans="1:16"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c r="M22" s="35"/>
      <c r="N22" s="35"/>
      <c r="O22" s="35"/>
      <c r="P22" s="35"/>
    </row>
    <row r="23" spans="1:16"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c r="M23" s="35"/>
      <c r="N23" s="35"/>
      <c r="O23" s="35"/>
      <c r="P23" s="35"/>
    </row>
    <row r="24" spans="1:16" ht="24.75" customHeight="1" x14ac:dyDescent="0.2">
      <c r="A24" s="821" t="s">
        <v>163</v>
      </c>
      <c r="B24" s="821"/>
      <c r="C24" s="821"/>
      <c r="D24" s="821"/>
      <c r="E24" s="821"/>
      <c r="F24" s="236">
        <f>SUM(F17:F23)</f>
        <v>516.79999999999995</v>
      </c>
      <c r="G24" s="236">
        <f>SUM(G17:G23)</f>
        <v>0</v>
      </c>
      <c r="H24" s="240">
        <f>SUM($H$17:$H$23)</f>
        <v>0</v>
      </c>
      <c r="I24" s="238">
        <f>SUM($I$17:$I$23)</f>
        <v>375.85</v>
      </c>
      <c r="J24" s="35"/>
      <c r="K24" s="35"/>
      <c r="L24" s="35"/>
      <c r="M24" s="35"/>
      <c r="N24" s="35"/>
      <c r="O24" s="35"/>
      <c r="P24" s="35"/>
    </row>
    <row r="25" spans="1:16" ht="24.75" customHeight="1" x14ac:dyDescent="0.2">
      <c r="A25" s="821" t="s">
        <v>164</v>
      </c>
      <c r="B25" s="821"/>
      <c r="C25" s="821"/>
      <c r="D25" s="821"/>
      <c r="E25" s="821"/>
      <c r="F25" s="236">
        <f>$F$14+$F$24</f>
        <v>4532</v>
      </c>
      <c r="G25" s="236">
        <f>$G$14+$G$24</f>
        <v>0</v>
      </c>
      <c r="H25" s="240">
        <f>$H$14+$H$24</f>
        <v>0</v>
      </c>
      <c r="I25" s="238">
        <f>$I$14+$I$24</f>
        <v>375.85</v>
      </c>
      <c r="J25" s="35"/>
      <c r="K25" s="35"/>
      <c r="L25" s="35"/>
      <c r="M25" s="35"/>
      <c r="N25" s="35"/>
      <c r="O25" s="35"/>
      <c r="P25" s="35"/>
    </row>
    <row r="26" spans="1:16" ht="19.5" customHeight="1" x14ac:dyDescent="0.2">
      <c r="A26" s="822" t="s">
        <v>165</v>
      </c>
      <c r="B26" s="822"/>
      <c r="C26" s="822"/>
      <c r="D26" s="822"/>
      <c r="E26" s="822"/>
      <c r="F26" s="822"/>
      <c r="G26" s="822"/>
      <c r="H26" s="822"/>
      <c r="I26" s="822"/>
      <c r="J26" s="35"/>
      <c r="K26" s="35"/>
      <c r="L26" s="35"/>
      <c r="M26" s="35"/>
      <c r="N26" s="35"/>
      <c r="O26" s="35"/>
      <c r="P26" s="35"/>
    </row>
    <row r="27" spans="1:16" ht="19.5" customHeight="1" x14ac:dyDescent="0.2">
      <c r="A27" s="825" t="s">
        <v>166</v>
      </c>
      <c r="B27" s="825"/>
      <c r="C27" s="825"/>
      <c r="D27" s="863" t="s">
        <v>167</v>
      </c>
      <c r="E27" s="863"/>
      <c r="F27" s="827" t="s">
        <v>152</v>
      </c>
      <c r="G27" s="828"/>
      <c r="H27" s="827"/>
      <c r="I27" s="827"/>
      <c r="J27" s="35"/>
      <c r="K27" s="35"/>
      <c r="L27" s="35"/>
      <c r="M27" s="35"/>
      <c r="N27" s="35"/>
      <c r="O27" s="35"/>
      <c r="P27" s="35"/>
    </row>
    <row r="28" spans="1:16" ht="19.5" customHeight="1" x14ac:dyDescent="0.2">
      <c r="A28" s="121" t="s">
        <v>168</v>
      </c>
      <c r="B28" s="122"/>
      <c r="C28" s="122"/>
      <c r="D28" s="124">
        <f>Dados!$G$50</f>
        <v>0.03</v>
      </c>
      <c r="E28" s="112"/>
      <c r="F28" s="113">
        <f>ROUND(($F$25*$D$28),2)</f>
        <v>135.96</v>
      </c>
      <c r="G28" s="613">
        <f>ROUND(($G$25*$D$28),2)</f>
        <v>0</v>
      </c>
      <c r="H28" s="114">
        <f>ROUND((H25*D28),2)</f>
        <v>0</v>
      </c>
      <c r="I28" s="115">
        <f>ROUND(($I$25*$D$28),2)</f>
        <v>11.28</v>
      </c>
      <c r="J28" s="35"/>
      <c r="K28" s="35"/>
      <c r="L28" s="35"/>
      <c r="M28" s="35"/>
      <c r="N28" s="35"/>
      <c r="O28" s="35"/>
      <c r="P28" s="35"/>
    </row>
    <row r="29" spans="1:16" ht="19.5" customHeight="1" x14ac:dyDescent="0.2">
      <c r="A29" s="820" t="s">
        <v>169</v>
      </c>
      <c r="B29" s="820"/>
      <c r="C29" s="820"/>
      <c r="D29" s="124"/>
      <c r="E29" s="112"/>
      <c r="F29" s="113">
        <f>$F$25+$F$28</f>
        <v>4667.96</v>
      </c>
      <c r="G29" s="613">
        <f>$G$28+$G$25</f>
        <v>0</v>
      </c>
      <c r="H29" s="114">
        <f>H25+H28</f>
        <v>0</v>
      </c>
      <c r="I29" s="115">
        <f>$I$25+$I$28</f>
        <v>387.13</v>
      </c>
      <c r="J29" s="35"/>
      <c r="K29" s="35"/>
      <c r="L29" s="35"/>
      <c r="M29" s="35"/>
      <c r="N29" s="35"/>
      <c r="O29" s="35"/>
      <c r="P29" s="35"/>
    </row>
    <row r="30" spans="1:16" ht="19.5" customHeight="1" x14ac:dyDescent="0.2">
      <c r="A30" s="121" t="s">
        <v>108</v>
      </c>
      <c r="B30" s="122"/>
      <c r="C30" s="122"/>
      <c r="D30" s="124">
        <f>Dados!$G$51</f>
        <v>6.7900000000000002E-2</v>
      </c>
      <c r="E30" s="112">
        <f>$F$25+$F$28</f>
        <v>4667.96</v>
      </c>
      <c r="F30" s="113">
        <f>ROUND(($E$30*$D$30),2)</f>
        <v>316.95</v>
      </c>
      <c r="G30" s="613">
        <f>ROUND(($G$29*$D$30),2)</f>
        <v>0</v>
      </c>
      <c r="H30" s="114">
        <f>ROUND((H29*D30),2)</f>
        <v>0</v>
      </c>
      <c r="I30" s="115">
        <f>ROUND(($I$29*$D$30),2)</f>
        <v>26.29</v>
      </c>
      <c r="J30" s="35"/>
      <c r="K30" s="35"/>
      <c r="L30" s="35"/>
      <c r="M30" s="35"/>
      <c r="N30" s="35"/>
      <c r="O30" s="35"/>
      <c r="P30" s="35"/>
    </row>
    <row r="31" spans="1:16" ht="24.75" customHeight="1" x14ac:dyDescent="0.2">
      <c r="A31" s="246" t="s">
        <v>170</v>
      </c>
      <c r="B31" s="247"/>
      <c r="C31" s="247"/>
      <c r="D31" s="248">
        <f>SUM($D$28:$D$30)</f>
        <v>9.7900000000000001E-2</v>
      </c>
      <c r="E31" s="249"/>
      <c r="F31" s="236">
        <f>$F$28+$F$30</f>
        <v>452.90999999999997</v>
      </c>
      <c r="G31" s="615">
        <f>$G$28+$G$30</f>
        <v>0</v>
      </c>
      <c r="H31" s="240">
        <f>H28+H30</f>
        <v>0</v>
      </c>
      <c r="I31" s="238">
        <f>$I$28+$I$30</f>
        <v>37.57</v>
      </c>
      <c r="J31" s="35"/>
      <c r="K31" s="35"/>
      <c r="L31" s="35"/>
      <c r="M31" s="35"/>
      <c r="N31" s="35"/>
      <c r="O31" s="35"/>
      <c r="P31" s="35"/>
    </row>
    <row r="32" spans="1:16" ht="24.75" customHeight="1" x14ac:dyDescent="0.2">
      <c r="A32" s="821" t="s">
        <v>171</v>
      </c>
      <c r="B32" s="821"/>
      <c r="C32" s="821"/>
      <c r="D32" s="821"/>
      <c r="E32" s="821"/>
      <c r="F32" s="236">
        <f>$F$14+$F$24+$F$31</f>
        <v>4984.91</v>
      </c>
      <c r="G32" s="615">
        <f>$G$14+$G$24+$G$31</f>
        <v>0</v>
      </c>
      <c r="H32" s="240">
        <f>H14+H24+H31</f>
        <v>0</v>
      </c>
      <c r="I32" s="238">
        <f>$I$14+$I$24+$I$31</f>
        <v>413.42</v>
      </c>
      <c r="J32" s="35"/>
      <c r="K32" s="35"/>
      <c r="L32" s="35"/>
      <c r="M32" s="35"/>
      <c r="N32" s="35"/>
      <c r="O32" s="35"/>
      <c r="P32" s="35"/>
    </row>
    <row r="33" spans="1:16" ht="19.5" customHeight="1" x14ac:dyDescent="0.2">
      <c r="A33" s="822" t="s">
        <v>172</v>
      </c>
      <c r="B33" s="822"/>
      <c r="C33" s="822"/>
      <c r="D33" s="822"/>
      <c r="E33" s="822"/>
      <c r="F33" s="822"/>
      <c r="G33" s="822"/>
      <c r="H33" s="822"/>
      <c r="I33" s="822"/>
      <c r="J33" s="35"/>
      <c r="K33" s="35"/>
      <c r="L33" s="35"/>
      <c r="M33" s="35"/>
      <c r="N33" s="35"/>
      <c r="O33" s="35"/>
      <c r="P33" s="35"/>
    </row>
    <row r="34" spans="1:16" ht="19.5" customHeight="1" x14ac:dyDescent="0.2">
      <c r="A34" s="121" t="s">
        <v>109</v>
      </c>
      <c r="B34" s="122"/>
      <c r="C34" s="123"/>
      <c r="D34" s="124">
        <f>Dados!$G$58</f>
        <v>7.5999999999999998E-2</v>
      </c>
      <c r="E34" s="125"/>
      <c r="F34" s="113">
        <f>ROUND(($F$39*$D$34),2)</f>
        <v>441.81</v>
      </c>
      <c r="G34" s="613">
        <f>ROUND(($G$39*$D$34),2)</f>
        <v>0</v>
      </c>
      <c r="H34" s="114">
        <f>ROUND(($H$39*$D$34),2)</f>
        <v>0</v>
      </c>
      <c r="I34" s="115">
        <f>ROUND(($I$39*$D$34),2)</f>
        <v>36.64</v>
      </c>
      <c r="J34" s="35"/>
      <c r="K34" s="35"/>
      <c r="L34" s="35"/>
      <c r="M34" s="35"/>
      <c r="N34" s="35"/>
      <c r="O34" s="35"/>
      <c r="P34" s="35"/>
    </row>
    <row r="35" spans="1:16" ht="19.5" customHeight="1" x14ac:dyDescent="0.2">
      <c r="A35" s="121" t="s">
        <v>110</v>
      </c>
      <c r="B35" s="122"/>
      <c r="C35" s="123"/>
      <c r="D35" s="124">
        <f>Dados!$G$59</f>
        <v>1.6500000000000001E-2</v>
      </c>
      <c r="E35" s="125"/>
      <c r="F35" s="113">
        <f>ROUND(($F$39*$D$35),2)</f>
        <v>95.92</v>
      </c>
      <c r="G35" s="613">
        <f>ROUND(($G$39*$D$35),2)</f>
        <v>0</v>
      </c>
      <c r="H35" s="114">
        <f>ROUND(($H$39*$D$35),2)</f>
        <v>0</v>
      </c>
      <c r="I35" s="115">
        <f>ROUND(($I$39*$D$35),2)</f>
        <v>7.95</v>
      </c>
      <c r="J35" s="35"/>
      <c r="K35" s="35"/>
      <c r="L35" s="35"/>
      <c r="M35" s="35"/>
      <c r="N35" s="35"/>
      <c r="O35" s="35"/>
      <c r="P35" s="35"/>
    </row>
    <row r="36" spans="1:16" ht="19.5" customHeight="1" x14ac:dyDescent="0.2">
      <c r="A36" s="121" t="s">
        <v>111</v>
      </c>
      <c r="B36" s="122"/>
      <c r="C36" s="123"/>
      <c r="D36" s="124">
        <f>Dados!$G$60</f>
        <v>0.05</v>
      </c>
      <c r="E36" s="125"/>
      <c r="F36" s="113">
        <f>ROUND(($F$39*$D$36),2)</f>
        <v>290.67</v>
      </c>
      <c r="G36" s="613">
        <f>ROUND(($G$39*$D$36),2)</f>
        <v>0</v>
      </c>
      <c r="H36" s="114">
        <f>ROUND(($H$39*$D$36),2)</f>
        <v>0</v>
      </c>
      <c r="I36" s="115">
        <f>ROUND(($I$39*$D$36),2)</f>
        <v>24.11</v>
      </c>
      <c r="J36" s="35"/>
      <c r="K36" s="35"/>
      <c r="L36" s="35"/>
      <c r="M36" s="35"/>
      <c r="N36" s="35"/>
      <c r="O36" s="35"/>
      <c r="P36" s="35"/>
    </row>
    <row r="37" spans="1:16"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c r="O37" s="35"/>
      <c r="P37" s="35"/>
    </row>
    <row r="38" spans="1:16" ht="30" customHeight="1" thickBot="1" x14ac:dyDescent="0.25">
      <c r="A38" s="246" t="s">
        <v>173</v>
      </c>
      <c r="B38" s="247"/>
      <c r="C38" s="250"/>
      <c r="D38" s="248">
        <f>SUM(D34:D37)</f>
        <v>0.14250000000000002</v>
      </c>
      <c r="E38" s="251"/>
      <c r="F38" s="236">
        <f>SUM(F34:F37)</f>
        <v>828.40000000000009</v>
      </c>
      <c r="G38" s="236">
        <f>SUM(G34:G37)</f>
        <v>0</v>
      </c>
      <c r="H38" s="236">
        <f t="shared" ref="H38:I38" si="1">SUM(H34:H37)</f>
        <v>0</v>
      </c>
      <c r="I38" s="252">
        <f t="shared" si="1"/>
        <v>68.7</v>
      </c>
      <c r="J38" s="35"/>
      <c r="K38" s="35"/>
      <c r="L38" s="35"/>
      <c r="M38" s="35"/>
      <c r="N38" s="35"/>
      <c r="O38" s="35"/>
      <c r="P38" s="35"/>
    </row>
    <row r="39" spans="1:16" ht="34.5" hidden="1" customHeight="1" thickBot="1" x14ac:dyDescent="0.25">
      <c r="A39" s="823" t="str">
        <f>A7</f>
        <v>Auxiliar Administrativo - Classe III (Nível Superior) - 150</v>
      </c>
      <c r="B39" s="823"/>
      <c r="C39" s="823"/>
      <c r="D39" s="823"/>
      <c r="E39" s="823"/>
      <c r="F39" s="253">
        <f>ROUND($F$32/(1-$D$38),2)</f>
        <v>5813.31</v>
      </c>
      <c r="G39" s="616">
        <f>ROUND($G$32/(1-$D$38),2)</f>
        <v>0</v>
      </c>
      <c r="H39" s="254">
        <f>ROUND($H$32/(1-$D$38),2)</f>
        <v>0</v>
      </c>
      <c r="I39" s="255">
        <f>ROUND($I$32/(1-$D$38),2)</f>
        <v>482.12</v>
      </c>
      <c r="J39" s="35"/>
      <c r="K39" s="35"/>
      <c r="L39" s="35"/>
      <c r="M39" s="35"/>
      <c r="N39" s="35"/>
      <c r="O39" s="35"/>
      <c r="P39" s="35"/>
    </row>
    <row r="40" spans="1:16" ht="30" customHeight="1" thickBot="1" x14ac:dyDescent="0.25">
      <c r="A40" s="862" t="str">
        <f>A7</f>
        <v>Auxiliar Administrativo - Classe III (Nível Superior) - 150</v>
      </c>
      <c r="B40" s="862"/>
      <c r="C40" s="862"/>
      <c r="D40" s="862"/>
      <c r="E40" s="862"/>
      <c r="F40" s="84">
        <f>$F$39</f>
        <v>5813.31</v>
      </c>
      <c r="G40" s="621">
        <f>$G$39</f>
        <v>0</v>
      </c>
      <c r="H40" s="79">
        <f>$H$39</f>
        <v>0</v>
      </c>
      <c r="I40" s="80">
        <f>$I$39</f>
        <v>482.12</v>
      </c>
      <c r="J40" s="35"/>
      <c r="K40" s="35"/>
      <c r="L40" s="35"/>
      <c r="M40" s="35"/>
      <c r="N40" s="35"/>
      <c r="O40" s="35"/>
      <c r="P40" s="35"/>
    </row>
    <row r="41" spans="1:16" ht="29.25" customHeight="1" thickBot="1" x14ac:dyDescent="0.25">
      <c r="A41" s="861" t="s">
        <v>174</v>
      </c>
      <c r="B41" s="861"/>
      <c r="C41" s="861"/>
      <c r="D41" s="861"/>
      <c r="E41" s="861"/>
      <c r="F41" s="85">
        <f>($F$40/$F$12)/100</f>
        <v>2.5923344481605354E-2</v>
      </c>
      <c r="G41" s="622"/>
      <c r="H41" s="82"/>
      <c r="I41" s="83"/>
      <c r="J41" s="35"/>
      <c r="K41" s="35"/>
      <c r="L41" s="35"/>
      <c r="M41" s="35"/>
      <c r="N41" s="35"/>
      <c r="O41" s="35"/>
      <c r="P41" s="35"/>
    </row>
    <row r="42" spans="1:16" ht="24" customHeight="1" x14ac:dyDescent="0.2">
      <c r="A42" s="35"/>
      <c r="B42" s="35"/>
      <c r="C42" s="35"/>
      <c r="D42" s="35"/>
      <c r="E42" s="35"/>
      <c r="F42" s="77"/>
      <c r="G42" s="77"/>
      <c r="H42" s="77"/>
      <c r="I42" s="35"/>
      <c r="J42" s="35"/>
      <c r="K42" s="35"/>
      <c r="L42" s="35"/>
      <c r="M42" s="35"/>
      <c r="N42" s="35"/>
      <c r="O42" s="35"/>
      <c r="P42" s="35"/>
    </row>
    <row r="43" spans="1:16" x14ac:dyDescent="0.2">
      <c r="A43" s="35"/>
      <c r="B43" s="35"/>
      <c r="C43" s="35"/>
      <c r="D43" s="35"/>
      <c r="E43" s="35"/>
      <c r="F43" s="77"/>
      <c r="G43" s="77"/>
      <c r="H43" s="77"/>
      <c r="I43" s="35"/>
      <c r="J43" s="35"/>
      <c r="K43" s="35"/>
      <c r="L43" s="35"/>
      <c r="M43" s="35"/>
      <c r="N43" s="35"/>
      <c r="O43" s="35"/>
      <c r="P43" s="35"/>
    </row>
    <row r="44" spans="1:16" x14ac:dyDescent="0.2">
      <c r="A44" s="35"/>
      <c r="B44" s="35"/>
      <c r="C44" s="35"/>
      <c r="D44" s="35"/>
      <c r="E44" s="35"/>
      <c r="F44" s="77"/>
      <c r="G44" s="77"/>
      <c r="H44" s="77"/>
      <c r="I44" s="35"/>
      <c r="J44" s="35"/>
      <c r="K44" s="35"/>
      <c r="L44" s="35"/>
      <c r="M44" s="35"/>
      <c r="N44" s="35"/>
      <c r="O44" s="35"/>
      <c r="P44" s="35"/>
    </row>
  </sheetData>
  <sheetProtection algorithmName="SHA-512" hashValue="KDOqTq12Hs6+Imx+mRNmEncHd39KU/C5Yv6IOu/EIU7Lh07C4ttSEBYdXhBx2hfykf/WFKv1sNbtS/WRou8KwA==" saltValue="fk51MKDsuZebSWpCbBU2Gw=="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51"/>
  <sheetViews>
    <sheetView showGridLines="0" zoomScale="80" zoomScaleNormal="80" workbookViewId="0">
      <selection activeCell="K9" sqref="K9"/>
    </sheetView>
  </sheetViews>
  <sheetFormatPr defaultColWidth="9" defaultRowHeight="12.75" x14ac:dyDescent="0.2"/>
  <cols>
    <col min="1" max="1" width="11.33203125" customWidth="1"/>
    <col min="2" max="2" width="28.83203125" customWidth="1"/>
    <col min="3" max="3" width="10.33203125" customWidth="1"/>
    <col min="4" max="5" width="17.5" customWidth="1"/>
    <col min="6" max="8" width="17.83203125" style="16" customWidth="1"/>
    <col min="9" max="9" width="17.83203125" customWidth="1"/>
  </cols>
  <sheetData>
    <row r="1" spans="1:15" x14ac:dyDescent="0.2">
      <c r="A1" s="63"/>
      <c r="B1" s="345" t="s">
        <v>0</v>
      </c>
      <c r="C1" s="64"/>
      <c r="D1" s="64"/>
      <c r="E1" s="64"/>
      <c r="F1" s="65"/>
      <c r="G1" s="65"/>
      <c r="H1" s="65"/>
      <c r="I1" s="66"/>
      <c r="J1" s="35"/>
      <c r="K1" s="35"/>
      <c r="L1" s="35"/>
      <c r="M1" s="35"/>
      <c r="N1" s="35"/>
      <c r="O1" s="35"/>
    </row>
    <row r="2" spans="1:15" x14ac:dyDescent="0.2">
      <c r="A2" s="67"/>
      <c r="B2" s="346" t="s">
        <v>210</v>
      </c>
      <c r="C2" s="60"/>
      <c r="D2" s="60"/>
      <c r="E2" s="60"/>
      <c r="F2" s="108"/>
      <c r="G2" s="108"/>
      <c r="H2" s="108"/>
      <c r="I2" s="68"/>
      <c r="J2" s="35"/>
      <c r="K2" s="35"/>
      <c r="L2" s="35"/>
      <c r="M2" s="35"/>
      <c r="N2" s="35"/>
      <c r="O2" s="35"/>
    </row>
    <row r="3" spans="1:15" ht="13.5" thickBot="1" x14ac:dyDescent="0.25">
      <c r="A3" s="69"/>
      <c r="B3" s="346" t="s">
        <v>1</v>
      </c>
      <c r="C3" s="60"/>
      <c r="D3" s="60"/>
      <c r="E3" s="60"/>
      <c r="F3" s="108"/>
      <c r="G3" s="108"/>
      <c r="H3" s="108"/>
      <c r="I3" s="68"/>
      <c r="J3" s="35"/>
      <c r="K3" s="35"/>
      <c r="L3" s="35"/>
      <c r="M3" s="35"/>
      <c r="N3" s="35"/>
      <c r="O3" s="35"/>
    </row>
    <row r="4" spans="1:15" ht="32.25" customHeight="1" x14ac:dyDescent="0.2">
      <c r="A4" s="843" t="s">
        <v>143</v>
      </c>
      <c r="B4" s="843"/>
      <c r="C4" s="843"/>
      <c r="D4" s="843"/>
      <c r="E4" s="843"/>
      <c r="F4" s="843"/>
      <c r="G4" s="843"/>
      <c r="H4" s="843"/>
      <c r="I4" s="843"/>
      <c r="J4" s="35"/>
      <c r="K4" s="35"/>
      <c r="L4" s="35"/>
      <c r="M4" s="35"/>
      <c r="N4" s="35"/>
      <c r="O4" s="35"/>
    </row>
    <row r="5" spans="1:15"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c r="O5" s="35"/>
    </row>
    <row r="6" spans="1:15" ht="22.5" customHeight="1" thickBot="1" x14ac:dyDescent="0.25">
      <c r="A6" s="844" t="s">
        <v>2</v>
      </c>
      <c r="B6" s="844"/>
      <c r="C6" s="844"/>
      <c r="D6" s="844"/>
      <c r="E6" s="844"/>
      <c r="F6" s="844"/>
      <c r="G6" s="844"/>
      <c r="H6" s="844"/>
      <c r="I6" s="844"/>
      <c r="J6" s="35"/>
      <c r="K6" s="35"/>
      <c r="L6" s="35"/>
      <c r="M6" s="35"/>
      <c r="N6" s="35"/>
      <c r="O6" s="35"/>
    </row>
    <row r="7" spans="1:15" ht="30" customHeight="1" thickBot="1" x14ac:dyDescent="0.25">
      <c r="A7" s="852" t="str">
        <f>Dados!B15&amp;" - "&amp;D10</f>
        <v>Assistente de Apoio Financeiro (Nível Superior) - 200</v>
      </c>
      <c r="B7" s="853"/>
      <c r="C7" s="853"/>
      <c r="D7" s="853"/>
      <c r="E7" s="854"/>
      <c r="F7" s="845" t="s">
        <v>144</v>
      </c>
      <c r="G7" s="855" t="s">
        <v>471</v>
      </c>
      <c r="H7" s="846" t="s">
        <v>145</v>
      </c>
      <c r="I7" s="847" t="s">
        <v>146</v>
      </c>
      <c r="J7" s="35"/>
      <c r="K7" s="35"/>
      <c r="L7" s="35"/>
      <c r="M7" s="35"/>
      <c r="N7" s="35"/>
      <c r="O7" s="35"/>
    </row>
    <row r="8" spans="1:15" ht="18" customHeight="1" thickBot="1" x14ac:dyDescent="0.25">
      <c r="A8" s="848" t="s">
        <v>147</v>
      </c>
      <c r="B8" s="848"/>
      <c r="C8" s="848"/>
      <c r="D8" s="848"/>
      <c r="E8" s="228" t="s">
        <v>88</v>
      </c>
      <c r="F8" s="845"/>
      <c r="G8" s="856"/>
      <c r="H8" s="846"/>
      <c r="I8" s="847"/>
      <c r="J8" s="35"/>
      <c r="K8" s="35"/>
      <c r="L8" s="35"/>
      <c r="M8" s="35"/>
      <c r="N8" s="35"/>
      <c r="O8" s="35"/>
    </row>
    <row r="9" spans="1:15" ht="24.75" customHeight="1" x14ac:dyDescent="0.2">
      <c r="A9" s="229" t="s">
        <v>148</v>
      </c>
      <c r="B9" s="835" t="s">
        <v>149</v>
      </c>
      <c r="C9" s="835"/>
      <c r="D9" s="230" t="s">
        <v>150</v>
      </c>
      <c r="E9" s="70" t="s">
        <v>151</v>
      </c>
      <c r="F9" s="836" t="s">
        <v>152</v>
      </c>
      <c r="G9" s="836"/>
      <c r="H9" s="836"/>
      <c r="I9" s="836"/>
      <c r="J9" s="35"/>
      <c r="K9" s="35"/>
      <c r="L9" s="35"/>
      <c r="M9" s="35"/>
      <c r="N9" s="35"/>
      <c r="O9" s="35"/>
    </row>
    <row r="10" spans="1:15" ht="26.25" customHeight="1" x14ac:dyDescent="0.2">
      <c r="A10" s="837">
        <v>1</v>
      </c>
      <c r="B10" s="838" t="str">
        <f>A7</f>
        <v>Assistente de Apoio Financeiro (Nível Superior) - 200</v>
      </c>
      <c r="C10" s="838"/>
      <c r="D10" s="231">
        <f>Dados!C15</f>
        <v>200</v>
      </c>
      <c r="E10" s="125">
        <f>Dados!$E15</f>
        <v>5362.5</v>
      </c>
      <c r="F10" s="113">
        <f>ROUND(E10/220*D10,2)</f>
        <v>4875</v>
      </c>
      <c r="G10" s="613"/>
      <c r="H10" s="114"/>
      <c r="I10" s="115"/>
      <c r="J10" s="35"/>
      <c r="K10" s="35"/>
      <c r="L10" s="35"/>
      <c r="M10" s="35"/>
      <c r="N10" s="35"/>
      <c r="O10" s="35"/>
    </row>
    <row r="11" spans="1:15" ht="24" customHeight="1" x14ac:dyDescent="0.2">
      <c r="A11" s="837"/>
      <c r="B11" s="841"/>
      <c r="C11" s="842"/>
      <c r="D11" s="233"/>
      <c r="E11" s="234"/>
      <c r="F11" s="113">
        <f>ROUND(((E11/220*D10)*C11)*D11,2)</f>
        <v>0</v>
      </c>
      <c r="G11" s="613"/>
      <c r="H11" s="114"/>
      <c r="I11" s="115"/>
      <c r="J11" s="35"/>
      <c r="K11" s="35"/>
      <c r="L11" s="35"/>
      <c r="M11" s="35"/>
      <c r="N11" s="35"/>
      <c r="O11" s="35"/>
    </row>
    <row r="12" spans="1:15" ht="19.5" customHeight="1" x14ac:dyDescent="0.2">
      <c r="A12" s="837"/>
      <c r="B12" s="860" t="s">
        <v>153</v>
      </c>
      <c r="C12" s="860"/>
      <c r="D12" s="860"/>
      <c r="E12" s="860"/>
      <c r="F12" s="236">
        <f>F10+F11</f>
        <v>4875</v>
      </c>
      <c r="G12" s="614"/>
      <c r="H12" s="237"/>
      <c r="I12" s="286"/>
      <c r="J12" s="35"/>
      <c r="K12" s="35"/>
      <c r="L12" s="35"/>
      <c r="M12" s="35"/>
      <c r="N12" s="35"/>
      <c r="O12" s="35"/>
    </row>
    <row r="13" spans="1:15" ht="19.5" customHeight="1" x14ac:dyDescent="0.2">
      <c r="A13" s="837"/>
      <c r="B13" s="840" t="s">
        <v>154</v>
      </c>
      <c r="C13" s="840"/>
      <c r="D13" s="840"/>
      <c r="E13" s="287">
        <f>Dados!G28</f>
        <v>0.79049999999999998</v>
      </c>
      <c r="F13" s="113">
        <f>(ROUND((E13*F12),2))</f>
        <v>3853.69</v>
      </c>
      <c r="G13" s="613"/>
      <c r="H13" s="114"/>
      <c r="I13" s="115"/>
      <c r="J13" s="35"/>
      <c r="K13" s="35"/>
      <c r="L13" s="35"/>
      <c r="M13" s="35"/>
      <c r="N13" s="35"/>
      <c r="O13" s="35"/>
    </row>
    <row r="14" spans="1:15" ht="24.75" customHeight="1" x14ac:dyDescent="0.2">
      <c r="A14" s="858" t="s">
        <v>155</v>
      </c>
      <c r="B14" s="858"/>
      <c r="C14" s="858"/>
      <c r="D14" s="858"/>
      <c r="E14" s="858"/>
      <c r="F14" s="236">
        <f>ROUND(SUM(F12:F13),2)</f>
        <v>8728.69</v>
      </c>
      <c r="G14" s="615"/>
      <c r="H14" s="240"/>
      <c r="I14" s="238"/>
      <c r="J14" s="35"/>
      <c r="K14" s="35"/>
      <c r="L14" s="35"/>
      <c r="M14" s="35"/>
      <c r="N14" s="35"/>
      <c r="O14" s="35"/>
    </row>
    <row r="15" spans="1:15" ht="19.5" customHeight="1" x14ac:dyDescent="0.2">
      <c r="A15" s="822" t="s">
        <v>156</v>
      </c>
      <c r="B15" s="822"/>
      <c r="C15" s="822"/>
      <c r="D15" s="822"/>
      <c r="E15" s="822"/>
      <c r="F15" s="822"/>
      <c r="G15" s="822"/>
      <c r="H15" s="822"/>
      <c r="I15" s="822"/>
      <c r="J15" s="35"/>
      <c r="K15" s="35"/>
      <c r="L15" s="35"/>
      <c r="M15" s="35"/>
      <c r="N15" s="35"/>
      <c r="O15" s="35"/>
    </row>
    <row r="16" spans="1:15" ht="19.5" customHeight="1" x14ac:dyDescent="0.2">
      <c r="A16" s="832" t="s">
        <v>157</v>
      </c>
      <c r="B16" s="832"/>
      <c r="C16" s="241" t="s">
        <v>158</v>
      </c>
      <c r="D16" s="833" t="s">
        <v>152</v>
      </c>
      <c r="E16" s="833"/>
      <c r="F16" s="833"/>
      <c r="G16" s="834"/>
      <c r="H16" s="833"/>
      <c r="I16" s="833"/>
      <c r="J16" s="35"/>
      <c r="K16" s="35"/>
      <c r="L16" s="35"/>
      <c r="M16" s="35"/>
      <c r="N16" s="35"/>
      <c r="O16" s="35"/>
    </row>
    <row r="17" spans="1:15" ht="19.5" customHeight="1" x14ac:dyDescent="0.2">
      <c r="A17" s="829" t="s">
        <v>93</v>
      </c>
      <c r="B17" s="829"/>
      <c r="C17" s="242"/>
      <c r="D17" s="124"/>
      <c r="E17" s="125"/>
      <c r="F17" s="113">
        <f>Dados!I15</f>
        <v>74.23</v>
      </c>
      <c r="G17" s="613"/>
      <c r="H17" s="114"/>
      <c r="I17" s="115"/>
      <c r="J17" s="35"/>
      <c r="K17" s="35"/>
      <c r="L17" s="35"/>
      <c r="M17" s="35"/>
      <c r="N17" s="35"/>
      <c r="O17" s="35"/>
    </row>
    <row r="18" spans="1:15" ht="19.5" customHeight="1" x14ac:dyDescent="0.2">
      <c r="A18" s="829" t="s">
        <v>160</v>
      </c>
      <c r="B18" s="829"/>
      <c r="C18" s="242"/>
      <c r="D18" s="124"/>
      <c r="E18" s="243"/>
      <c r="F18" s="113">
        <f>Dados!G35</f>
        <v>2.2000000000000002</v>
      </c>
      <c r="G18" s="613"/>
      <c r="H18" s="114"/>
      <c r="I18" s="115"/>
      <c r="J18" s="35"/>
      <c r="K18" s="35"/>
      <c r="L18" s="35"/>
      <c r="M18" s="35"/>
      <c r="N18" s="35"/>
      <c r="O18" s="35"/>
    </row>
    <row r="19" spans="1:15" ht="25.5" customHeight="1" x14ac:dyDescent="0.2">
      <c r="A19" s="830" t="s">
        <v>103</v>
      </c>
      <c r="B19" s="830"/>
      <c r="C19" s="242"/>
      <c r="D19" s="124"/>
      <c r="E19" s="244"/>
      <c r="F19" s="113">
        <f>Dados!G36</f>
        <v>66.099999999999994</v>
      </c>
      <c r="G19" s="613"/>
      <c r="H19" s="114"/>
      <c r="I19" s="115"/>
      <c r="J19" s="35"/>
      <c r="K19" s="35"/>
      <c r="L19" s="35"/>
      <c r="M19" s="35"/>
      <c r="N19" s="35"/>
      <c r="O19" s="35"/>
    </row>
    <row r="20" spans="1:15" ht="25.5" customHeight="1" x14ac:dyDescent="0.2">
      <c r="A20" s="831" t="s">
        <v>105</v>
      </c>
      <c r="B20" s="831"/>
      <c r="C20" s="114">
        <f>Dados!$G$38</f>
        <v>22</v>
      </c>
      <c r="D20" s="242">
        <f>Dados!$G$37</f>
        <v>24.54</v>
      </c>
      <c r="E20" s="245">
        <f>Dados!$G$39</f>
        <v>0.2</v>
      </c>
      <c r="F20" s="113">
        <f>ROUND((IF(D10&gt;150,((C20*D20)-(E20*(C20*D20))),0)),2)</f>
        <v>431.9</v>
      </c>
      <c r="G20" s="613">
        <f>F20</f>
        <v>431.9</v>
      </c>
      <c r="H20" s="114"/>
      <c r="I20" s="115"/>
      <c r="J20" s="35"/>
      <c r="K20" s="35"/>
      <c r="L20" s="35"/>
      <c r="M20" s="35"/>
      <c r="N20" s="35"/>
      <c r="O20" s="35"/>
    </row>
    <row r="21" spans="1:15" ht="19.5" customHeight="1" x14ac:dyDescent="0.2">
      <c r="A21" s="829" t="s">
        <v>207</v>
      </c>
      <c r="B21" s="829"/>
      <c r="C21" s="114">
        <f>Dados!$G$44</f>
        <v>22</v>
      </c>
      <c r="D21" s="114">
        <f>Dados!$G$43</f>
        <v>7.1</v>
      </c>
      <c r="E21" s="125">
        <f>Dados!$G$41</f>
        <v>4.5</v>
      </c>
      <c r="F21" s="113">
        <f>ROUND((($C$21*$D$21*Dados!$G$42)+($C$21*$E$21*Dados!$G$40) -(F10*Dados!$G$45)),2)</f>
        <v>217.9</v>
      </c>
      <c r="G21" s="613"/>
      <c r="H21" s="114"/>
      <c r="I21" s="115">
        <f>F21</f>
        <v>217.9</v>
      </c>
      <c r="J21" s="35"/>
      <c r="K21" s="35"/>
      <c r="L21" s="35"/>
      <c r="M21" s="35"/>
      <c r="N21" s="35"/>
      <c r="O21" s="35"/>
    </row>
    <row r="22" spans="1:15"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c r="M22" s="35"/>
      <c r="N22" s="35"/>
      <c r="O22" s="35"/>
    </row>
    <row r="23" spans="1:15"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c r="M23" s="35"/>
      <c r="N23" s="35"/>
      <c r="O23" s="35"/>
    </row>
    <row r="24" spans="1:15" ht="24.75" customHeight="1" x14ac:dyDescent="0.2">
      <c r="A24" s="821" t="s">
        <v>163</v>
      </c>
      <c r="B24" s="821"/>
      <c r="C24" s="821"/>
      <c r="D24" s="821"/>
      <c r="E24" s="821"/>
      <c r="F24" s="236">
        <f>SUM(F17:F23)</f>
        <v>792.32999999999993</v>
      </c>
      <c r="G24" s="236">
        <f>SUM(G17:G23)</f>
        <v>431.9</v>
      </c>
      <c r="H24" s="240">
        <f>SUM($H$17:$H$23)</f>
        <v>0</v>
      </c>
      <c r="I24" s="238">
        <f>SUM($I$17:$I$23)</f>
        <v>217.9</v>
      </c>
      <c r="J24" s="35"/>
      <c r="K24" s="35"/>
      <c r="L24" s="35"/>
      <c r="M24" s="35"/>
      <c r="N24" s="35"/>
      <c r="O24" s="35"/>
    </row>
    <row r="25" spans="1:15" ht="24.75" customHeight="1" x14ac:dyDescent="0.2">
      <c r="A25" s="821" t="s">
        <v>164</v>
      </c>
      <c r="B25" s="821"/>
      <c r="C25" s="821"/>
      <c r="D25" s="821"/>
      <c r="E25" s="821"/>
      <c r="F25" s="236">
        <f>F14+F24</f>
        <v>9521.02</v>
      </c>
      <c r="G25" s="236">
        <f>$G$14+$G$24</f>
        <v>431.9</v>
      </c>
      <c r="H25" s="240">
        <f>$H$14+$H$24</f>
        <v>0</v>
      </c>
      <c r="I25" s="238">
        <f>$I$14+$I$24</f>
        <v>217.9</v>
      </c>
      <c r="J25" s="35"/>
      <c r="K25" s="35"/>
      <c r="L25" s="35"/>
      <c r="M25" s="35"/>
      <c r="N25" s="35"/>
      <c r="O25" s="35"/>
    </row>
    <row r="26" spans="1:15" ht="19.5" customHeight="1" x14ac:dyDescent="0.2">
      <c r="A26" s="822" t="s">
        <v>165</v>
      </c>
      <c r="B26" s="822"/>
      <c r="C26" s="822"/>
      <c r="D26" s="822"/>
      <c r="E26" s="822"/>
      <c r="F26" s="822"/>
      <c r="G26" s="822"/>
      <c r="H26" s="822">
        <f>SUM($H$17:$H$25)</f>
        <v>0</v>
      </c>
      <c r="I26" s="822">
        <f>SUM($I$17:$I$25)</f>
        <v>653.70000000000005</v>
      </c>
      <c r="J26" s="35"/>
      <c r="K26" s="35"/>
      <c r="L26" s="35"/>
      <c r="M26" s="35"/>
      <c r="N26" s="35"/>
      <c r="O26" s="35"/>
    </row>
    <row r="27" spans="1:15" ht="19.5" customHeight="1" x14ac:dyDescent="0.2">
      <c r="A27" s="825" t="s">
        <v>166</v>
      </c>
      <c r="B27" s="825"/>
      <c r="C27" s="825"/>
      <c r="D27" s="826" t="s">
        <v>167</v>
      </c>
      <c r="E27" s="826"/>
      <c r="F27" s="827" t="s">
        <v>152</v>
      </c>
      <c r="G27" s="828"/>
      <c r="H27" s="827"/>
      <c r="I27" s="827"/>
      <c r="J27" s="35"/>
      <c r="K27" s="35"/>
      <c r="L27" s="35"/>
      <c r="M27" s="35"/>
      <c r="N27" s="35"/>
      <c r="O27" s="35"/>
    </row>
    <row r="28" spans="1:15" ht="19.5" customHeight="1" x14ac:dyDescent="0.2">
      <c r="A28" s="121" t="s">
        <v>168</v>
      </c>
      <c r="B28" s="122"/>
      <c r="C28" s="122"/>
      <c r="D28" s="124">
        <f>Dados!$G$50</f>
        <v>0.03</v>
      </c>
      <c r="E28" s="288"/>
      <c r="F28" s="113">
        <f>ROUND((F25*D28),2)</f>
        <v>285.63</v>
      </c>
      <c r="G28" s="613">
        <f>ROUND(($G$25*$D$28),2)</f>
        <v>12.96</v>
      </c>
      <c r="H28" s="114">
        <f>ROUND((H25*D28),2)</f>
        <v>0</v>
      </c>
      <c r="I28" s="115">
        <f>ROUND((I25*D28),2)</f>
        <v>6.54</v>
      </c>
      <c r="J28" s="35"/>
      <c r="K28" s="35"/>
      <c r="L28" s="35"/>
      <c r="M28" s="35"/>
      <c r="N28" s="35"/>
      <c r="O28" s="35"/>
    </row>
    <row r="29" spans="1:15" ht="19.5" customHeight="1" x14ac:dyDescent="0.2">
      <c r="A29" s="820" t="s">
        <v>169</v>
      </c>
      <c r="B29" s="820"/>
      <c r="C29" s="820"/>
      <c r="D29" s="124"/>
      <c r="E29" s="288"/>
      <c r="F29" s="113">
        <f>F25+F28</f>
        <v>9806.65</v>
      </c>
      <c r="G29" s="613">
        <f>$G$28+$G$25</f>
        <v>444.85999999999996</v>
      </c>
      <c r="H29" s="114">
        <f>H25+H28</f>
        <v>0</v>
      </c>
      <c r="I29" s="115">
        <f>I25+I28</f>
        <v>224.44</v>
      </c>
      <c r="J29" s="35"/>
      <c r="K29" s="35"/>
      <c r="L29" s="35"/>
      <c r="M29" s="35"/>
      <c r="N29" s="35"/>
      <c r="O29" s="35"/>
    </row>
    <row r="30" spans="1:15" ht="19.5" customHeight="1" x14ac:dyDescent="0.2">
      <c r="A30" s="121" t="s">
        <v>108</v>
      </c>
      <c r="B30" s="122"/>
      <c r="C30" s="122"/>
      <c r="D30" s="124">
        <f>Dados!$G$51</f>
        <v>6.7900000000000002E-2</v>
      </c>
      <c r="E30" s="288">
        <f>F25+F28</f>
        <v>9806.65</v>
      </c>
      <c r="F30" s="113">
        <f>ROUND((E30*D30),2)</f>
        <v>665.87</v>
      </c>
      <c r="G30" s="613">
        <f>ROUND(($G$29*$D$30),2)</f>
        <v>30.21</v>
      </c>
      <c r="H30" s="114">
        <f>ROUND((H29*D30),2)</f>
        <v>0</v>
      </c>
      <c r="I30" s="115">
        <f>ROUND((I29*D30),2)</f>
        <v>15.24</v>
      </c>
      <c r="J30" s="35"/>
      <c r="K30" s="35"/>
      <c r="L30" s="35"/>
      <c r="M30" s="35"/>
      <c r="N30" s="35"/>
      <c r="O30" s="35"/>
    </row>
    <row r="31" spans="1:15" ht="24.75" customHeight="1" x14ac:dyDescent="0.2">
      <c r="A31" s="246" t="s">
        <v>170</v>
      </c>
      <c r="B31" s="247"/>
      <c r="C31" s="247"/>
      <c r="D31" s="248">
        <f>SUM(D28:D30)</f>
        <v>9.7900000000000001E-2</v>
      </c>
      <c r="E31" s="289"/>
      <c r="F31" s="236">
        <f>F28+F30</f>
        <v>951.5</v>
      </c>
      <c r="G31" s="615">
        <f>$G$28+$G$30</f>
        <v>43.17</v>
      </c>
      <c r="H31" s="240">
        <f>H28+H30</f>
        <v>0</v>
      </c>
      <c r="I31" s="238">
        <f>I28+I30</f>
        <v>21.78</v>
      </c>
      <c r="J31" s="35"/>
      <c r="K31" s="35"/>
      <c r="L31" s="35"/>
      <c r="M31" s="35"/>
      <c r="N31" s="35"/>
      <c r="O31" s="35"/>
    </row>
    <row r="32" spans="1:15" ht="24.75" customHeight="1" x14ac:dyDescent="0.2">
      <c r="A32" s="858" t="s">
        <v>171</v>
      </c>
      <c r="B32" s="858"/>
      <c r="C32" s="858"/>
      <c r="D32" s="858"/>
      <c r="E32" s="858"/>
      <c r="F32" s="236">
        <f>F14+F24+F31</f>
        <v>10472.52</v>
      </c>
      <c r="G32" s="615">
        <f>$G$14+$G$24+$G$31</f>
        <v>475.07</v>
      </c>
      <c r="H32" s="240">
        <f>H14+H24+H31</f>
        <v>0</v>
      </c>
      <c r="I32" s="238">
        <f>I14+I24+I31</f>
        <v>239.68</v>
      </c>
      <c r="J32" s="35"/>
      <c r="K32" s="35"/>
      <c r="L32" s="35"/>
      <c r="M32" s="35"/>
      <c r="N32" s="35"/>
      <c r="O32" s="35"/>
    </row>
    <row r="33" spans="1:15" ht="19.5" customHeight="1" x14ac:dyDescent="0.2">
      <c r="A33" s="822" t="s">
        <v>172</v>
      </c>
      <c r="B33" s="822"/>
      <c r="C33" s="822"/>
      <c r="D33" s="822"/>
      <c r="E33" s="822"/>
      <c r="F33" s="822"/>
      <c r="G33" s="822"/>
      <c r="H33" s="822"/>
      <c r="I33" s="822"/>
      <c r="J33" s="35"/>
      <c r="K33" s="35"/>
      <c r="L33" s="35"/>
      <c r="M33" s="35"/>
      <c r="N33" s="35"/>
      <c r="O33" s="35"/>
    </row>
    <row r="34" spans="1:15" ht="19.5" customHeight="1" x14ac:dyDescent="0.2">
      <c r="A34" s="121" t="s">
        <v>109</v>
      </c>
      <c r="B34" s="122"/>
      <c r="C34" s="123"/>
      <c r="D34" s="124">
        <f>Dados!$G$58</f>
        <v>7.5999999999999998E-2</v>
      </c>
      <c r="E34" s="125"/>
      <c r="F34" s="113">
        <f>ROUND((F39*D34),2)</f>
        <v>928.18</v>
      </c>
      <c r="G34" s="613">
        <f>ROUND(($G$39*$D$34),2)</f>
        <v>42.11</v>
      </c>
      <c r="H34" s="114">
        <f>ROUND((H39*D34),2)</f>
        <v>0</v>
      </c>
      <c r="I34" s="115">
        <f>ROUND((I39*D34),2)</f>
        <v>21.24</v>
      </c>
      <c r="J34" s="35"/>
      <c r="K34" s="35"/>
      <c r="L34" s="35"/>
      <c r="M34" s="35"/>
      <c r="N34" s="35"/>
      <c r="O34" s="35"/>
    </row>
    <row r="35" spans="1:15" ht="19.5" customHeight="1" x14ac:dyDescent="0.2">
      <c r="A35" s="121" t="s">
        <v>110</v>
      </c>
      <c r="B35" s="122"/>
      <c r="C35" s="123"/>
      <c r="D35" s="124">
        <f>Dados!$G$59</f>
        <v>1.6500000000000001E-2</v>
      </c>
      <c r="E35" s="125"/>
      <c r="F35" s="113">
        <f>ROUND((F39*D35),2)</f>
        <v>201.51</v>
      </c>
      <c r="G35" s="613">
        <f>ROUND(($G$39*$D$35),2)</f>
        <v>9.14</v>
      </c>
      <c r="H35" s="114">
        <f>ROUND((H39*D35),2)</f>
        <v>0</v>
      </c>
      <c r="I35" s="115">
        <f>ROUND((I39*D35),2)</f>
        <v>4.6100000000000003</v>
      </c>
      <c r="J35" s="35"/>
      <c r="K35" s="35"/>
      <c r="L35" s="35"/>
      <c r="M35" s="35"/>
      <c r="N35" s="35"/>
      <c r="O35" s="35"/>
    </row>
    <row r="36" spans="1:15" ht="19.5" customHeight="1" x14ac:dyDescent="0.2">
      <c r="A36" s="121" t="s">
        <v>111</v>
      </c>
      <c r="B36" s="122"/>
      <c r="C36" s="123"/>
      <c r="D36" s="124">
        <f>Dados!$G$60</f>
        <v>0.05</v>
      </c>
      <c r="E36" s="125"/>
      <c r="F36" s="113">
        <f>ROUND((F39*D36),2)</f>
        <v>610.64</v>
      </c>
      <c r="G36" s="613">
        <f>ROUND(($G$39*$D$36),2)</f>
        <v>27.7</v>
      </c>
      <c r="H36" s="114">
        <f>ROUND((H39*D36),2)</f>
        <v>0</v>
      </c>
      <c r="I36" s="115">
        <f>ROUND((I39*D36),2)</f>
        <v>13.98</v>
      </c>
      <c r="J36" s="35"/>
      <c r="K36" s="35"/>
      <c r="L36" s="35"/>
      <c r="M36" s="35"/>
      <c r="N36" s="35"/>
      <c r="O36" s="35"/>
    </row>
    <row r="37" spans="1:15"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c r="O37" s="35"/>
    </row>
    <row r="38" spans="1:15" ht="30" customHeight="1" thickBot="1" x14ac:dyDescent="0.25">
      <c r="A38" s="246" t="s">
        <v>173</v>
      </c>
      <c r="B38" s="247"/>
      <c r="C38" s="250"/>
      <c r="D38" s="248">
        <f>SUM(D34:D37)</f>
        <v>0.14250000000000002</v>
      </c>
      <c r="E38" s="251"/>
      <c r="F38" s="236">
        <f>SUM(F34:F37)</f>
        <v>1740.33</v>
      </c>
      <c r="G38" s="236">
        <f>SUM(G34:G37)</f>
        <v>78.95</v>
      </c>
      <c r="H38" s="236">
        <f t="shared" ref="H38:I38" si="1">SUM(H34:H37)</f>
        <v>0</v>
      </c>
      <c r="I38" s="252">
        <f t="shared" si="1"/>
        <v>39.83</v>
      </c>
      <c r="J38" s="35"/>
      <c r="K38" s="35"/>
      <c r="L38" s="35"/>
      <c r="M38" s="35"/>
      <c r="N38" s="35"/>
      <c r="O38" s="35"/>
    </row>
    <row r="39" spans="1:15" ht="34.5" hidden="1" customHeight="1" thickBot="1" x14ac:dyDescent="0.25">
      <c r="A39" s="823" t="str">
        <f>A7</f>
        <v>Assistente de Apoio Financeiro (Nível Superior) - 200</v>
      </c>
      <c r="B39" s="823"/>
      <c r="C39" s="823"/>
      <c r="D39" s="823"/>
      <c r="E39" s="823"/>
      <c r="F39" s="253">
        <f>ROUND(F32/(1-D38),2)</f>
        <v>12212.85</v>
      </c>
      <c r="G39" s="616">
        <f>ROUND($G$32/(1-$D$38),2)</f>
        <v>554.02</v>
      </c>
      <c r="H39" s="254">
        <f>ROUND(H32/(1-D38),2)</f>
        <v>0</v>
      </c>
      <c r="I39" s="255">
        <f>ROUND(I32/(1-D38),2)</f>
        <v>279.51</v>
      </c>
      <c r="J39" s="35"/>
      <c r="K39" s="35"/>
      <c r="L39" s="35"/>
      <c r="M39" s="35"/>
      <c r="N39" s="35"/>
      <c r="O39" s="35"/>
    </row>
    <row r="40" spans="1:15" ht="30" customHeight="1" thickBot="1" x14ac:dyDescent="0.25">
      <c r="A40" s="859" t="str">
        <f>A7</f>
        <v>Assistente de Apoio Financeiro (Nível Superior) - 200</v>
      </c>
      <c r="B40" s="859"/>
      <c r="C40" s="859"/>
      <c r="D40" s="859"/>
      <c r="E40" s="859"/>
      <c r="F40" s="79">
        <f>F39</f>
        <v>12212.85</v>
      </c>
      <c r="G40" s="630">
        <f>$G$39</f>
        <v>554.02</v>
      </c>
      <c r="H40" s="79">
        <f>H39</f>
        <v>0</v>
      </c>
      <c r="I40" s="80">
        <f>I39</f>
        <v>279.51</v>
      </c>
      <c r="J40" s="35"/>
      <c r="K40" s="35"/>
      <c r="L40" s="35"/>
      <c r="M40" s="35"/>
      <c r="N40" s="35"/>
      <c r="O40" s="35"/>
    </row>
    <row r="41" spans="1:15" ht="29.25" customHeight="1" thickBot="1" x14ac:dyDescent="0.25">
      <c r="A41" s="857" t="s">
        <v>174</v>
      </c>
      <c r="B41" s="857"/>
      <c r="C41" s="857"/>
      <c r="D41" s="857"/>
      <c r="E41" s="857"/>
      <c r="F41" s="81">
        <f>($F$40/$F$12)/100</f>
        <v>2.5051999999999998E-2</v>
      </c>
      <c r="G41" s="82"/>
      <c r="H41" s="82"/>
      <c r="I41" s="83"/>
      <c r="J41" s="35"/>
      <c r="K41" s="35"/>
      <c r="L41" s="35"/>
      <c r="M41" s="35"/>
      <c r="N41" s="35"/>
      <c r="O41" s="35"/>
    </row>
    <row r="42" spans="1:15" ht="24" customHeight="1" x14ac:dyDescent="0.2">
      <c r="A42" s="35"/>
      <c r="B42" s="35"/>
      <c r="C42" s="35"/>
      <c r="D42" s="35"/>
      <c r="E42" s="35"/>
      <c r="F42" s="77"/>
      <c r="G42" s="77"/>
      <c r="H42" s="77"/>
      <c r="I42" s="35"/>
      <c r="J42" s="35"/>
      <c r="K42" s="35"/>
      <c r="L42" s="35"/>
      <c r="M42" s="35"/>
      <c r="N42" s="35"/>
      <c r="O42" s="35"/>
    </row>
    <row r="43" spans="1:15" x14ac:dyDescent="0.2">
      <c r="A43" s="35"/>
      <c r="B43" s="35"/>
      <c r="C43" s="35"/>
      <c r="D43" s="35"/>
      <c r="E43" s="35"/>
      <c r="F43" s="77"/>
      <c r="G43" s="77"/>
      <c r="H43" s="77"/>
      <c r="I43" s="35"/>
      <c r="J43" s="35"/>
      <c r="K43" s="35"/>
      <c r="L43" s="35"/>
      <c r="M43" s="35"/>
      <c r="N43" s="35"/>
      <c r="O43" s="35"/>
    </row>
    <row r="44" spans="1:15" x14ac:dyDescent="0.2">
      <c r="A44" s="35"/>
      <c r="B44" s="35"/>
      <c r="C44" s="35"/>
      <c r="D44" s="35"/>
      <c r="E44" s="35"/>
      <c r="F44" s="77"/>
      <c r="G44" s="77"/>
      <c r="H44" s="77"/>
      <c r="I44" s="35"/>
      <c r="J44" s="35"/>
      <c r="K44" s="35"/>
      <c r="L44" s="35"/>
      <c r="M44" s="35"/>
      <c r="N44" s="35"/>
      <c r="O44" s="35"/>
    </row>
    <row r="45" spans="1:15" x14ac:dyDescent="0.2">
      <c r="A45" s="35"/>
      <c r="B45" s="35"/>
      <c r="C45" s="35"/>
      <c r="D45" s="35"/>
      <c r="E45" s="35"/>
      <c r="F45" s="77"/>
      <c r="G45" s="77"/>
      <c r="H45" s="77"/>
      <c r="I45" s="35"/>
      <c r="J45" s="35"/>
      <c r="K45" s="35"/>
      <c r="L45" s="35"/>
      <c r="M45" s="35"/>
      <c r="N45" s="35"/>
      <c r="O45" s="35"/>
    </row>
    <row r="46" spans="1:15" x14ac:dyDescent="0.2">
      <c r="A46" s="35"/>
      <c r="B46" s="35"/>
      <c r="C46" s="35"/>
      <c r="D46" s="35"/>
      <c r="E46" s="35"/>
      <c r="F46" s="77"/>
      <c r="G46" s="77"/>
      <c r="H46" s="77"/>
      <c r="I46" s="35"/>
      <c r="J46" s="35"/>
      <c r="K46" s="35"/>
      <c r="L46" s="35"/>
      <c r="M46" s="35"/>
      <c r="N46" s="35"/>
      <c r="O46" s="35"/>
    </row>
    <row r="47" spans="1:15" x14ac:dyDescent="0.2">
      <c r="A47" s="35"/>
      <c r="B47" s="35"/>
      <c r="C47" s="35"/>
      <c r="D47" s="35"/>
      <c r="E47" s="35"/>
      <c r="F47" s="77"/>
      <c r="G47" s="77"/>
      <c r="H47" s="77"/>
      <c r="I47" s="35"/>
      <c r="J47" s="35"/>
      <c r="K47" s="35"/>
      <c r="L47" s="35"/>
      <c r="M47" s="35"/>
      <c r="N47" s="35"/>
      <c r="O47" s="35"/>
    </row>
    <row r="48" spans="1:15" x14ac:dyDescent="0.2">
      <c r="A48" s="35"/>
      <c r="B48" s="35"/>
      <c r="C48" s="35"/>
      <c r="D48" s="35"/>
      <c r="E48" s="35"/>
      <c r="F48" s="77"/>
      <c r="G48" s="77"/>
      <c r="H48" s="77"/>
      <c r="I48" s="35"/>
      <c r="J48" s="35"/>
      <c r="K48" s="35"/>
      <c r="L48" s="35"/>
      <c r="M48" s="35"/>
      <c r="N48" s="35"/>
      <c r="O48" s="35"/>
    </row>
    <row r="49" spans="1:15" x14ac:dyDescent="0.2">
      <c r="A49" s="35"/>
      <c r="B49" s="35"/>
      <c r="C49" s="35"/>
      <c r="D49" s="35"/>
      <c r="E49" s="35"/>
      <c r="F49" s="77"/>
      <c r="G49" s="77"/>
      <c r="H49" s="77"/>
      <c r="I49" s="35"/>
      <c r="J49" s="35"/>
      <c r="K49" s="35"/>
      <c r="L49" s="35"/>
      <c r="M49" s="35"/>
      <c r="N49" s="35"/>
      <c r="O49" s="35"/>
    </row>
    <row r="50" spans="1:15" x14ac:dyDescent="0.2">
      <c r="A50" s="35"/>
      <c r="B50" s="35"/>
      <c r="C50" s="35"/>
      <c r="D50" s="35"/>
      <c r="E50" s="35"/>
      <c r="F50" s="77"/>
      <c r="G50" s="77"/>
      <c r="H50" s="77"/>
      <c r="I50" s="35"/>
      <c r="J50" s="35"/>
      <c r="K50" s="35"/>
      <c r="L50" s="35"/>
      <c r="M50" s="35"/>
      <c r="N50" s="35"/>
      <c r="O50" s="35"/>
    </row>
    <row r="51" spans="1:15" x14ac:dyDescent="0.2">
      <c r="A51" s="35"/>
      <c r="B51" s="35"/>
      <c r="C51" s="35"/>
      <c r="D51" s="35"/>
      <c r="E51" s="35"/>
      <c r="F51" s="77"/>
      <c r="G51" s="77"/>
      <c r="H51" s="77"/>
      <c r="I51" s="35"/>
      <c r="J51" s="35"/>
      <c r="K51" s="35"/>
      <c r="L51" s="35"/>
      <c r="M51" s="35"/>
      <c r="N51" s="35"/>
      <c r="O51" s="35"/>
    </row>
  </sheetData>
  <sheetProtection algorithmName="SHA-512" hashValue="98jXR8NQYE9OOQQEbPZo3OFXzY1R0zWGus5KUVYCYManR7B8NCisQ4jQpdLvTxP37cTDubrv0clbTC7TfLiIiw==" saltValue="9K8Y5nQyzxeHpLPe1U4FCQ=="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8"/>
  <sheetViews>
    <sheetView showGridLines="0" zoomScale="80" zoomScaleNormal="80" workbookViewId="0">
      <selection activeCell="L10" sqref="L10"/>
    </sheetView>
  </sheetViews>
  <sheetFormatPr defaultColWidth="9" defaultRowHeight="12.75" x14ac:dyDescent="0.2"/>
  <cols>
    <col min="1" max="1" width="11.33203125" customWidth="1"/>
    <col min="2" max="2" width="28.83203125" customWidth="1"/>
    <col min="3" max="3" width="10.6640625" customWidth="1"/>
    <col min="4" max="5" width="17.5" customWidth="1"/>
    <col min="6" max="8" width="17.83203125" style="16" customWidth="1"/>
    <col min="9" max="9" width="17.83203125" customWidth="1"/>
  </cols>
  <sheetData>
    <row r="1" spans="1:15" x14ac:dyDescent="0.2">
      <c r="A1" s="63"/>
      <c r="B1" s="345" t="s">
        <v>0</v>
      </c>
      <c r="C1" s="64"/>
      <c r="D1" s="64"/>
      <c r="E1" s="64"/>
      <c r="F1" s="65"/>
      <c r="G1" s="65"/>
      <c r="H1" s="65"/>
      <c r="I1" s="66"/>
      <c r="J1" s="35"/>
      <c r="K1" s="35"/>
      <c r="L1" s="35"/>
      <c r="M1" s="35"/>
      <c r="N1" s="35"/>
      <c r="O1" s="35"/>
    </row>
    <row r="2" spans="1:15" x14ac:dyDescent="0.2">
      <c r="A2" s="67"/>
      <c r="B2" s="346" t="s">
        <v>210</v>
      </c>
      <c r="C2" s="60"/>
      <c r="D2" s="60"/>
      <c r="E2" s="60"/>
      <c r="F2" s="108"/>
      <c r="G2" s="108"/>
      <c r="H2" s="108"/>
      <c r="I2" s="68"/>
      <c r="J2" s="35"/>
      <c r="K2" s="35"/>
      <c r="L2" s="35"/>
      <c r="M2" s="35"/>
      <c r="N2" s="35"/>
      <c r="O2" s="35"/>
    </row>
    <row r="3" spans="1:15" ht="13.5" thickBot="1" x14ac:dyDescent="0.25">
      <c r="A3" s="69"/>
      <c r="B3" s="346" t="s">
        <v>1</v>
      </c>
      <c r="C3" s="60"/>
      <c r="D3" s="60"/>
      <c r="E3" s="60"/>
      <c r="F3" s="108"/>
      <c r="G3" s="108"/>
      <c r="H3" s="108"/>
      <c r="I3" s="68"/>
      <c r="J3" s="35"/>
      <c r="K3" s="35"/>
      <c r="L3" s="35"/>
      <c r="M3" s="35"/>
      <c r="N3" s="35"/>
      <c r="O3" s="35"/>
    </row>
    <row r="4" spans="1:15" ht="32.25" customHeight="1" x14ac:dyDescent="0.2">
      <c r="A4" s="843" t="s">
        <v>143</v>
      </c>
      <c r="B4" s="843"/>
      <c r="C4" s="843"/>
      <c r="D4" s="843"/>
      <c r="E4" s="843"/>
      <c r="F4" s="843"/>
      <c r="G4" s="843"/>
      <c r="H4" s="843"/>
      <c r="I4" s="843"/>
      <c r="J4" s="35"/>
      <c r="K4" s="35"/>
      <c r="L4" s="35"/>
      <c r="M4" s="35"/>
      <c r="N4" s="35"/>
      <c r="O4" s="35"/>
    </row>
    <row r="5" spans="1:15"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c r="O5" s="35"/>
    </row>
    <row r="6" spans="1:15" ht="22.5" customHeight="1" thickBot="1" x14ac:dyDescent="0.25">
      <c r="A6" s="844" t="s">
        <v>2</v>
      </c>
      <c r="B6" s="844"/>
      <c r="C6" s="844"/>
      <c r="D6" s="844"/>
      <c r="E6" s="844"/>
      <c r="F6" s="844"/>
      <c r="G6" s="844"/>
      <c r="H6" s="844"/>
      <c r="I6" s="844"/>
      <c r="J6" s="35"/>
      <c r="K6" s="35"/>
      <c r="L6" s="35"/>
      <c r="M6" s="35"/>
      <c r="N6" s="35"/>
      <c r="O6" s="35"/>
    </row>
    <row r="7" spans="1:15" ht="30" customHeight="1" thickBot="1" x14ac:dyDescent="0.25">
      <c r="A7" s="852" t="str">
        <f>Dados!$B$14&amp;" - "&amp;$D$10</f>
        <v>Auxiliar Administrativo - Classe IV (Nível Superior) - 200</v>
      </c>
      <c r="B7" s="853"/>
      <c r="C7" s="853"/>
      <c r="D7" s="853"/>
      <c r="E7" s="854"/>
      <c r="F7" s="845" t="s">
        <v>144</v>
      </c>
      <c r="G7" s="855" t="s">
        <v>471</v>
      </c>
      <c r="H7" s="846" t="s">
        <v>145</v>
      </c>
      <c r="I7" s="847" t="s">
        <v>146</v>
      </c>
      <c r="J7" s="35"/>
      <c r="K7" s="35"/>
      <c r="L7" s="35"/>
      <c r="M7" s="35"/>
      <c r="N7" s="35"/>
      <c r="O7" s="35"/>
    </row>
    <row r="8" spans="1:15" ht="18" customHeight="1" thickBot="1" x14ac:dyDescent="0.25">
      <c r="A8" s="848" t="s">
        <v>147</v>
      </c>
      <c r="B8" s="848"/>
      <c r="C8" s="848"/>
      <c r="D8" s="848"/>
      <c r="E8" s="228" t="s">
        <v>88</v>
      </c>
      <c r="F8" s="845"/>
      <c r="G8" s="856"/>
      <c r="H8" s="846"/>
      <c r="I8" s="847"/>
      <c r="J8" s="35"/>
      <c r="K8" s="35"/>
      <c r="L8" s="35"/>
      <c r="M8" s="35"/>
      <c r="N8" s="35"/>
      <c r="O8" s="35"/>
    </row>
    <row r="9" spans="1:15" ht="24.75" customHeight="1" x14ac:dyDescent="0.2">
      <c r="A9" s="229" t="s">
        <v>148</v>
      </c>
      <c r="B9" s="835" t="s">
        <v>149</v>
      </c>
      <c r="C9" s="835"/>
      <c r="D9" s="230" t="s">
        <v>150</v>
      </c>
      <c r="E9" s="70" t="s">
        <v>151</v>
      </c>
      <c r="F9" s="864" t="s">
        <v>152</v>
      </c>
      <c r="G9" s="865"/>
      <c r="H9" s="864"/>
      <c r="I9" s="864"/>
      <c r="J9" s="35"/>
      <c r="K9" s="35"/>
      <c r="L9" s="35"/>
      <c r="M9" s="35"/>
      <c r="N9" s="35"/>
      <c r="O9" s="35"/>
    </row>
    <row r="10" spans="1:15" ht="27.75" customHeight="1" x14ac:dyDescent="0.2">
      <c r="A10" s="837">
        <v>1</v>
      </c>
      <c r="B10" s="838" t="str">
        <f>A7</f>
        <v>Auxiliar Administrativo - Classe IV (Nível Superior) - 200</v>
      </c>
      <c r="C10" s="838"/>
      <c r="D10" s="231">
        <f>Dados!$C$14</f>
        <v>200</v>
      </c>
      <c r="E10" s="125">
        <f>Dados!$E$14</f>
        <v>3289</v>
      </c>
      <c r="F10" s="113">
        <f>ROUND(E10/220*D10,2)</f>
        <v>2990</v>
      </c>
      <c r="G10" s="613"/>
      <c r="H10" s="114"/>
      <c r="I10" s="115"/>
      <c r="J10" s="35"/>
      <c r="K10" s="35"/>
      <c r="L10" s="35"/>
      <c r="M10" s="35"/>
      <c r="N10" s="35"/>
      <c r="O10" s="35"/>
    </row>
    <row r="11" spans="1:15" ht="24" customHeight="1" x14ac:dyDescent="0.2">
      <c r="A11" s="837"/>
      <c r="B11" s="841"/>
      <c r="C11" s="842"/>
      <c r="D11" s="233"/>
      <c r="E11" s="234"/>
      <c r="F11" s="113">
        <f>ROUND(((E11/220*D10)*C11)*D11,2)</f>
        <v>0</v>
      </c>
      <c r="G11" s="613"/>
      <c r="H11" s="114"/>
      <c r="I11" s="235"/>
      <c r="J11" s="35"/>
      <c r="K11" s="35"/>
      <c r="L11" s="35"/>
      <c r="M11" s="35"/>
      <c r="N11" s="35"/>
      <c r="O11" s="35"/>
    </row>
    <row r="12" spans="1:15" ht="19.5" customHeight="1" x14ac:dyDescent="0.2">
      <c r="A12" s="837"/>
      <c r="B12" s="839" t="s">
        <v>153</v>
      </c>
      <c r="C12" s="839"/>
      <c r="D12" s="839"/>
      <c r="E12" s="839"/>
      <c r="F12" s="236">
        <f>F10+F11</f>
        <v>2990</v>
      </c>
      <c r="G12" s="615"/>
      <c r="H12" s="240"/>
      <c r="I12" s="238"/>
      <c r="J12" s="35"/>
      <c r="K12" s="35"/>
      <c r="L12" s="35"/>
      <c r="M12" s="35"/>
      <c r="N12" s="35"/>
      <c r="O12" s="35"/>
    </row>
    <row r="13" spans="1:15" ht="19.5" customHeight="1" x14ac:dyDescent="0.2">
      <c r="A13" s="837"/>
      <c r="B13" s="840" t="s">
        <v>154</v>
      </c>
      <c r="C13" s="840"/>
      <c r="D13" s="840"/>
      <c r="E13" s="239">
        <f>Dados!G28</f>
        <v>0.79049999999999998</v>
      </c>
      <c r="F13" s="113">
        <f>(ROUND((E13*F12),2))</f>
        <v>2363.6</v>
      </c>
      <c r="G13" s="613"/>
      <c r="H13" s="114"/>
      <c r="I13" s="115"/>
      <c r="J13" s="35"/>
      <c r="K13" s="35"/>
      <c r="L13" s="35"/>
      <c r="M13" s="35"/>
      <c r="N13" s="35"/>
      <c r="O13" s="35"/>
    </row>
    <row r="14" spans="1:15" ht="24.75" customHeight="1" x14ac:dyDescent="0.2">
      <c r="A14" s="821" t="s">
        <v>155</v>
      </c>
      <c r="B14" s="821"/>
      <c r="C14" s="821"/>
      <c r="D14" s="821"/>
      <c r="E14" s="821"/>
      <c r="F14" s="236">
        <f>ROUND(SUM(F12:F13),2)</f>
        <v>5353.6</v>
      </c>
      <c r="G14" s="615"/>
      <c r="H14" s="240"/>
      <c r="I14" s="238"/>
      <c r="J14" s="35"/>
      <c r="K14" s="35"/>
      <c r="L14" s="35"/>
      <c r="M14" s="35"/>
      <c r="N14" s="35"/>
      <c r="O14" s="35"/>
    </row>
    <row r="15" spans="1:15" ht="19.5" customHeight="1" x14ac:dyDescent="0.2">
      <c r="A15" s="822" t="s">
        <v>156</v>
      </c>
      <c r="B15" s="822"/>
      <c r="C15" s="822"/>
      <c r="D15" s="822"/>
      <c r="E15" s="822"/>
      <c r="F15" s="822"/>
      <c r="G15" s="822"/>
      <c r="H15" s="822"/>
      <c r="I15" s="822"/>
      <c r="J15" s="35"/>
      <c r="K15" s="35"/>
      <c r="L15" s="35"/>
      <c r="M15" s="35"/>
      <c r="N15" s="35"/>
      <c r="O15" s="35"/>
    </row>
    <row r="16" spans="1:15" ht="19.5" customHeight="1" x14ac:dyDescent="0.2">
      <c r="A16" s="832" t="s">
        <v>157</v>
      </c>
      <c r="B16" s="832"/>
      <c r="C16" s="241" t="s">
        <v>158</v>
      </c>
      <c r="D16" s="833" t="s">
        <v>159</v>
      </c>
      <c r="E16" s="833"/>
      <c r="F16" s="833"/>
      <c r="G16" s="834"/>
      <c r="H16" s="833"/>
      <c r="I16" s="833"/>
      <c r="J16" s="35"/>
      <c r="K16" s="35"/>
      <c r="L16" s="35"/>
      <c r="M16" s="35"/>
      <c r="N16" s="35"/>
      <c r="O16" s="35"/>
    </row>
    <row r="17" spans="1:15" ht="19.5" customHeight="1" x14ac:dyDescent="0.2">
      <c r="A17" s="829" t="s">
        <v>93</v>
      </c>
      <c r="B17" s="829"/>
      <c r="C17" s="242"/>
      <c r="D17" s="124"/>
      <c r="E17" s="125"/>
      <c r="F17" s="113">
        <f>Dados!$I$14</f>
        <v>72.650000000000006</v>
      </c>
      <c r="G17" s="613"/>
      <c r="H17" s="114"/>
      <c r="I17" s="115"/>
      <c r="J17" s="35"/>
      <c r="K17" s="35"/>
      <c r="L17" s="35"/>
      <c r="M17" s="35"/>
      <c r="N17" s="35"/>
      <c r="O17" s="35"/>
    </row>
    <row r="18" spans="1:15" ht="19.5" customHeight="1" x14ac:dyDescent="0.2">
      <c r="A18" s="829" t="s">
        <v>160</v>
      </c>
      <c r="B18" s="829"/>
      <c r="C18" s="242"/>
      <c r="D18" s="124"/>
      <c r="E18" s="243"/>
      <c r="F18" s="113">
        <f>Dados!$G$35</f>
        <v>2.2000000000000002</v>
      </c>
      <c r="G18" s="613"/>
      <c r="H18" s="114"/>
      <c r="I18" s="115"/>
      <c r="J18" s="35"/>
      <c r="K18" s="35"/>
      <c r="L18" s="35"/>
      <c r="M18" s="35"/>
      <c r="N18" s="35"/>
      <c r="O18" s="35"/>
    </row>
    <row r="19" spans="1:15" ht="25.5" customHeight="1" x14ac:dyDescent="0.2">
      <c r="A19" s="830" t="s">
        <v>103</v>
      </c>
      <c r="B19" s="830"/>
      <c r="C19" s="242"/>
      <c r="D19" s="124"/>
      <c r="E19" s="244"/>
      <c r="F19" s="113">
        <f>Dados!$G$36</f>
        <v>66.099999999999994</v>
      </c>
      <c r="G19" s="613"/>
      <c r="H19" s="114"/>
      <c r="I19" s="115"/>
      <c r="J19" s="35"/>
      <c r="K19" s="35"/>
      <c r="L19" s="35"/>
      <c r="M19" s="35"/>
      <c r="N19" s="35"/>
      <c r="O19" s="35"/>
    </row>
    <row r="20" spans="1:15" ht="25.5" customHeight="1" x14ac:dyDescent="0.2">
      <c r="A20" s="831" t="s">
        <v>105</v>
      </c>
      <c r="B20" s="831"/>
      <c r="C20" s="114">
        <f>Dados!$G$38</f>
        <v>22</v>
      </c>
      <c r="D20" s="242">
        <f>Dados!$G$37</f>
        <v>24.54</v>
      </c>
      <c r="E20" s="245">
        <f>Dados!$G$39</f>
        <v>0.2</v>
      </c>
      <c r="F20" s="113">
        <f>ROUND((IF(D10&gt;150,((C20*D20)-(E20*(C20*D20))),0)),2)</f>
        <v>431.9</v>
      </c>
      <c r="G20" s="613">
        <f>F20</f>
        <v>431.9</v>
      </c>
      <c r="H20" s="114"/>
      <c r="I20" s="115"/>
      <c r="J20" s="35"/>
      <c r="K20" s="35"/>
      <c r="L20" s="35"/>
      <c r="M20" s="35"/>
      <c r="N20" s="35"/>
      <c r="O20" s="35"/>
    </row>
    <row r="21" spans="1:15" ht="19.5" customHeight="1" x14ac:dyDescent="0.2">
      <c r="A21" s="829" t="s">
        <v>207</v>
      </c>
      <c r="B21" s="829"/>
      <c r="C21" s="114">
        <f>Dados!$G$44</f>
        <v>22</v>
      </c>
      <c r="D21" s="114">
        <f>Dados!$G$43</f>
        <v>7.1</v>
      </c>
      <c r="E21" s="125">
        <f>Dados!$G$41</f>
        <v>4.5</v>
      </c>
      <c r="F21" s="113">
        <f>ROUND((($C$21*$D$21*Dados!$G$42)+($C$21*$E$21*Dados!$G$40) -(F10*Dados!$G$45)),2)</f>
        <v>331</v>
      </c>
      <c r="G21" s="613"/>
      <c r="H21" s="114"/>
      <c r="I21" s="115">
        <f>F21</f>
        <v>331</v>
      </c>
      <c r="J21" s="35"/>
      <c r="K21" s="35"/>
      <c r="L21" s="35"/>
      <c r="M21" s="35"/>
      <c r="N21" s="35"/>
      <c r="O21" s="35"/>
    </row>
    <row r="22" spans="1:15"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c r="M22" s="35"/>
      <c r="N22" s="35"/>
      <c r="O22" s="35"/>
    </row>
    <row r="23" spans="1:15"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c r="M23" s="35"/>
      <c r="N23" s="35"/>
      <c r="O23" s="35"/>
    </row>
    <row r="24" spans="1:15" ht="24.75" customHeight="1" x14ac:dyDescent="0.2">
      <c r="A24" s="821" t="s">
        <v>163</v>
      </c>
      <c r="B24" s="821"/>
      <c r="C24" s="821"/>
      <c r="D24" s="821"/>
      <c r="E24" s="821"/>
      <c r="F24" s="236">
        <f>SUM(F17:F23)</f>
        <v>903.84999999999991</v>
      </c>
      <c r="G24" s="236">
        <f>SUM(G17:G23)</f>
        <v>431.9</v>
      </c>
      <c r="H24" s="240">
        <f>SUM($H$17:$H$23)</f>
        <v>0</v>
      </c>
      <c r="I24" s="238">
        <f>SUM($I$17:$I$23)</f>
        <v>331</v>
      </c>
      <c r="J24" s="35"/>
      <c r="K24" s="35"/>
      <c r="L24" s="35"/>
      <c r="M24" s="35"/>
      <c r="N24" s="35"/>
      <c r="O24" s="35"/>
    </row>
    <row r="25" spans="1:15" ht="24.75" customHeight="1" x14ac:dyDescent="0.2">
      <c r="A25" s="821" t="s">
        <v>164</v>
      </c>
      <c r="B25" s="821"/>
      <c r="C25" s="821"/>
      <c r="D25" s="821"/>
      <c r="E25" s="821"/>
      <c r="F25" s="236">
        <f>$F$14+$F$24</f>
        <v>6257.4500000000007</v>
      </c>
      <c r="G25" s="236">
        <f>$G$14+$G$24</f>
        <v>431.9</v>
      </c>
      <c r="H25" s="240">
        <f>$H$14+$H$24</f>
        <v>0</v>
      </c>
      <c r="I25" s="238">
        <f>$I$14+$I$24</f>
        <v>331</v>
      </c>
      <c r="J25" s="35"/>
      <c r="K25" s="35"/>
      <c r="L25" s="35"/>
      <c r="M25" s="35"/>
      <c r="N25" s="35"/>
      <c r="O25" s="35"/>
    </row>
    <row r="26" spans="1:15" ht="19.5" customHeight="1" x14ac:dyDescent="0.2">
      <c r="A26" s="822" t="s">
        <v>165</v>
      </c>
      <c r="B26" s="822"/>
      <c r="C26" s="822"/>
      <c r="D26" s="822"/>
      <c r="E26" s="822"/>
      <c r="F26" s="822"/>
      <c r="G26" s="822"/>
      <c r="H26" s="822"/>
      <c r="I26" s="822"/>
      <c r="J26" s="35"/>
      <c r="K26" s="35"/>
      <c r="L26" s="35"/>
      <c r="M26" s="35"/>
      <c r="N26" s="35"/>
      <c r="O26" s="35"/>
    </row>
    <row r="27" spans="1:15" ht="19.5" customHeight="1" x14ac:dyDescent="0.2">
      <c r="A27" s="825" t="s">
        <v>166</v>
      </c>
      <c r="B27" s="825"/>
      <c r="C27" s="825"/>
      <c r="D27" s="863" t="s">
        <v>167</v>
      </c>
      <c r="E27" s="863"/>
      <c r="F27" s="827" t="s">
        <v>152</v>
      </c>
      <c r="G27" s="828"/>
      <c r="H27" s="827"/>
      <c r="I27" s="827"/>
      <c r="J27" s="35"/>
      <c r="K27" s="35"/>
      <c r="L27" s="35"/>
      <c r="M27" s="35"/>
      <c r="N27" s="35"/>
      <c r="O27" s="35"/>
    </row>
    <row r="28" spans="1:15" ht="19.5" customHeight="1" x14ac:dyDescent="0.2">
      <c r="A28" s="121" t="s">
        <v>168</v>
      </c>
      <c r="B28" s="122"/>
      <c r="C28" s="122"/>
      <c r="D28" s="124">
        <f>Dados!$G$50</f>
        <v>0.03</v>
      </c>
      <c r="E28" s="112"/>
      <c r="F28" s="113">
        <f>ROUND(($F$25*$D$28),2)</f>
        <v>187.72</v>
      </c>
      <c r="G28" s="613">
        <f>ROUND(($G$25*$D$28),2)</f>
        <v>12.96</v>
      </c>
      <c r="H28" s="114">
        <f>ROUND((H25*D28),2)</f>
        <v>0</v>
      </c>
      <c r="I28" s="115">
        <f>ROUND(($I$25*$D$28),2)</f>
        <v>9.93</v>
      </c>
      <c r="J28" s="35"/>
      <c r="K28" s="35"/>
      <c r="L28" s="35"/>
      <c r="M28" s="35"/>
      <c r="N28" s="35"/>
      <c r="O28" s="35"/>
    </row>
    <row r="29" spans="1:15" ht="19.5" customHeight="1" x14ac:dyDescent="0.2">
      <c r="A29" s="820" t="s">
        <v>169</v>
      </c>
      <c r="B29" s="820"/>
      <c r="C29" s="820"/>
      <c r="D29" s="124"/>
      <c r="E29" s="112"/>
      <c r="F29" s="113">
        <f>$F$25+$F$28</f>
        <v>6445.170000000001</v>
      </c>
      <c r="G29" s="613">
        <f>$G$28+$G$25</f>
        <v>444.85999999999996</v>
      </c>
      <c r="H29" s="114">
        <f>H25+H28</f>
        <v>0</v>
      </c>
      <c r="I29" s="115">
        <f>$I$25+$I$28</f>
        <v>340.93</v>
      </c>
      <c r="J29" s="35"/>
      <c r="K29" s="35"/>
      <c r="L29" s="35"/>
      <c r="M29" s="35"/>
      <c r="N29" s="35"/>
      <c r="O29" s="35"/>
    </row>
    <row r="30" spans="1:15" ht="19.5" customHeight="1" x14ac:dyDescent="0.2">
      <c r="A30" s="121" t="s">
        <v>108</v>
      </c>
      <c r="B30" s="122"/>
      <c r="C30" s="122"/>
      <c r="D30" s="124">
        <f>Dados!$G$51</f>
        <v>6.7900000000000002E-2</v>
      </c>
      <c r="E30" s="112">
        <f>$F$25+$F$28</f>
        <v>6445.170000000001</v>
      </c>
      <c r="F30" s="113">
        <f>ROUND(($E$30*$D$30),2)</f>
        <v>437.63</v>
      </c>
      <c r="G30" s="613">
        <f>ROUND(($G$29*$D$30),2)</f>
        <v>30.21</v>
      </c>
      <c r="H30" s="114">
        <f>ROUND((H29*D30),2)</f>
        <v>0</v>
      </c>
      <c r="I30" s="115">
        <f>ROUND(($I$29*$D$30),2)</f>
        <v>23.15</v>
      </c>
      <c r="J30" s="35"/>
      <c r="K30" s="35"/>
      <c r="L30" s="35"/>
      <c r="M30" s="35"/>
      <c r="N30" s="35"/>
      <c r="O30" s="35"/>
    </row>
    <row r="31" spans="1:15" ht="24.75" customHeight="1" x14ac:dyDescent="0.2">
      <c r="A31" s="246" t="s">
        <v>170</v>
      </c>
      <c r="B31" s="247"/>
      <c r="C31" s="247"/>
      <c r="D31" s="248">
        <f>SUM($D$28:$D$30)</f>
        <v>9.7900000000000001E-2</v>
      </c>
      <c r="E31" s="249"/>
      <c r="F31" s="236">
        <f>$F$28+$F$30</f>
        <v>625.35</v>
      </c>
      <c r="G31" s="615">
        <f>$G$28+$G$30</f>
        <v>43.17</v>
      </c>
      <c r="H31" s="240">
        <f>H28+H30</f>
        <v>0</v>
      </c>
      <c r="I31" s="238">
        <f>$I$28+$I$30</f>
        <v>33.08</v>
      </c>
      <c r="J31" s="35"/>
      <c r="K31" s="35"/>
      <c r="L31" s="35"/>
      <c r="M31" s="35"/>
      <c r="N31" s="35"/>
      <c r="O31" s="35"/>
    </row>
    <row r="32" spans="1:15" ht="24.75" customHeight="1" x14ac:dyDescent="0.2">
      <c r="A32" s="821" t="s">
        <v>171</v>
      </c>
      <c r="B32" s="821"/>
      <c r="C32" s="821"/>
      <c r="D32" s="821"/>
      <c r="E32" s="821"/>
      <c r="F32" s="236">
        <f>$F$14+$F$24+$F$31</f>
        <v>6882.8000000000011</v>
      </c>
      <c r="G32" s="615">
        <f>$G$14+$G$24+$G$31</f>
        <v>475.07</v>
      </c>
      <c r="H32" s="240">
        <f>H14+H24+H31</f>
        <v>0</v>
      </c>
      <c r="I32" s="238">
        <f>$I$14+$I$24+$I$31</f>
        <v>364.08</v>
      </c>
      <c r="J32" s="35"/>
      <c r="K32" s="35"/>
      <c r="L32" s="35"/>
      <c r="M32" s="35"/>
      <c r="N32" s="35"/>
      <c r="O32" s="35"/>
    </row>
    <row r="33" spans="1:15" ht="19.5" customHeight="1" x14ac:dyDescent="0.2">
      <c r="A33" s="822" t="s">
        <v>172</v>
      </c>
      <c r="B33" s="822"/>
      <c r="C33" s="822"/>
      <c r="D33" s="822"/>
      <c r="E33" s="822"/>
      <c r="F33" s="822"/>
      <c r="G33" s="822"/>
      <c r="H33" s="822"/>
      <c r="I33" s="822"/>
      <c r="J33" s="35"/>
      <c r="K33" s="35"/>
      <c r="L33" s="35"/>
      <c r="M33" s="35"/>
      <c r="N33" s="35"/>
      <c r="O33" s="35"/>
    </row>
    <row r="34" spans="1:15" ht="19.5" customHeight="1" x14ac:dyDescent="0.2">
      <c r="A34" s="121" t="s">
        <v>109</v>
      </c>
      <c r="B34" s="122"/>
      <c r="C34" s="123"/>
      <c r="D34" s="124">
        <f>Dados!$G$58</f>
        <v>7.5999999999999998E-2</v>
      </c>
      <c r="E34" s="125"/>
      <c r="F34" s="113">
        <f>ROUND(($F$39*$D$34),2)</f>
        <v>610.02</v>
      </c>
      <c r="G34" s="613">
        <f>ROUND(($G$39*$D$34),2)</f>
        <v>42.11</v>
      </c>
      <c r="H34" s="114">
        <f>ROUND(($H$39*$D$34),2)</f>
        <v>0</v>
      </c>
      <c r="I34" s="115">
        <f>ROUND(($I$39*$D$34),2)</f>
        <v>32.270000000000003</v>
      </c>
      <c r="J34" s="35"/>
      <c r="K34" s="35"/>
      <c r="L34" s="35"/>
      <c r="M34" s="35"/>
      <c r="N34" s="35"/>
      <c r="O34" s="35"/>
    </row>
    <row r="35" spans="1:15" ht="19.5" customHeight="1" x14ac:dyDescent="0.2">
      <c r="A35" s="121" t="s">
        <v>110</v>
      </c>
      <c r="B35" s="122"/>
      <c r="C35" s="123"/>
      <c r="D35" s="124">
        <f>Dados!$G$59</f>
        <v>1.6500000000000001E-2</v>
      </c>
      <c r="E35" s="125"/>
      <c r="F35" s="113">
        <f>ROUND(($F$39*$D$35),2)</f>
        <v>132.44</v>
      </c>
      <c r="G35" s="613">
        <f>ROUND(($G$39*$D$35),2)</f>
        <v>9.14</v>
      </c>
      <c r="H35" s="114">
        <f>ROUND(($H$39*$D$35),2)</f>
        <v>0</v>
      </c>
      <c r="I35" s="115">
        <f>ROUND(($I$39*$D$35),2)</f>
        <v>7.01</v>
      </c>
      <c r="J35" s="35"/>
      <c r="K35" s="35"/>
      <c r="L35" s="35"/>
      <c r="M35" s="35"/>
      <c r="N35" s="35"/>
      <c r="O35" s="35"/>
    </row>
    <row r="36" spans="1:15" ht="19.5" customHeight="1" x14ac:dyDescent="0.2">
      <c r="A36" s="121" t="s">
        <v>111</v>
      </c>
      <c r="B36" s="122"/>
      <c r="C36" s="123"/>
      <c r="D36" s="124">
        <f>Dados!$G$60</f>
        <v>0.05</v>
      </c>
      <c r="E36" s="125"/>
      <c r="F36" s="113">
        <f>ROUND(($F$39*$D$36),2)</f>
        <v>401.33</v>
      </c>
      <c r="G36" s="613">
        <f>ROUND(($G$39*$D$36),2)</f>
        <v>27.7</v>
      </c>
      <c r="H36" s="114">
        <f>ROUND(($H$39*$D$36),2)</f>
        <v>0</v>
      </c>
      <c r="I36" s="115">
        <f>ROUND(($I$39*$D$36),2)</f>
        <v>21.23</v>
      </c>
      <c r="J36" s="35"/>
      <c r="K36" s="35"/>
      <c r="L36" s="35"/>
      <c r="M36" s="35"/>
      <c r="N36" s="35"/>
      <c r="O36" s="35"/>
    </row>
    <row r="37" spans="1:15"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c r="O37" s="35"/>
    </row>
    <row r="38" spans="1:15" ht="30" customHeight="1" thickBot="1" x14ac:dyDescent="0.25">
      <c r="A38" s="246" t="s">
        <v>173</v>
      </c>
      <c r="B38" s="247"/>
      <c r="C38" s="250"/>
      <c r="D38" s="248">
        <f>SUM(D34:D37)</f>
        <v>0.14250000000000002</v>
      </c>
      <c r="E38" s="251"/>
      <c r="F38" s="236">
        <f>SUM(F34:F37)</f>
        <v>1143.79</v>
      </c>
      <c r="G38" s="236">
        <f>SUM(G34:G37)</f>
        <v>78.95</v>
      </c>
      <c r="H38" s="236">
        <f t="shared" ref="H38:I38" si="1">SUM(H34:H37)</f>
        <v>0</v>
      </c>
      <c r="I38" s="252">
        <f t="shared" si="1"/>
        <v>60.510000000000005</v>
      </c>
      <c r="J38" s="35"/>
      <c r="K38" s="35"/>
      <c r="L38" s="35"/>
      <c r="M38" s="35"/>
      <c r="N38" s="35"/>
      <c r="O38" s="35"/>
    </row>
    <row r="39" spans="1:15" ht="34.5" hidden="1" customHeight="1" thickBot="1" x14ac:dyDescent="0.25">
      <c r="A39" s="823" t="str">
        <f>A7</f>
        <v>Auxiliar Administrativo - Classe IV (Nível Superior) - 200</v>
      </c>
      <c r="B39" s="823"/>
      <c r="C39" s="823"/>
      <c r="D39" s="823"/>
      <c r="E39" s="823"/>
      <c r="F39" s="253">
        <f>ROUND($F$32/(1-$D$38),2)</f>
        <v>8026.59</v>
      </c>
      <c r="G39" s="616">
        <f>ROUND($G$32/(1-$D$38),2)</f>
        <v>554.02</v>
      </c>
      <c r="H39" s="254">
        <f>ROUND($H$32/(1-$D$38),2)</f>
        <v>0</v>
      </c>
      <c r="I39" s="255">
        <f>ROUND($I$32/(1-$D$38),2)</f>
        <v>424.58</v>
      </c>
      <c r="J39" s="35"/>
      <c r="K39" s="35"/>
      <c r="L39" s="35"/>
      <c r="M39" s="35"/>
      <c r="N39" s="35"/>
      <c r="O39" s="35"/>
    </row>
    <row r="40" spans="1:15" ht="30" customHeight="1" thickBot="1" x14ac:dyDescent="0.25">
      <c r="A40" s="862" t="str">
        <f>A7</f>
        <v>Auxiliar Administrativo - Classe IV (Nível Superior) - 200</v>
      </c>
      <c r="B40" s="862"/>
      <c r="C40" s="862"/>
      <c r="D40" s="862"/>
      <c r="E40" s="862"/>
      <c r="F40" s="84">
        <f>$F$39</f>
        <v>8026.59</v>
      </c>
      <c r="G40" s="621">
        <f>$G$39</f>
        <v>554.02</v>
      </c>
      <c r="H40" s="79">
        <f>$H$39</f>
        <v>0</v>
      </c>
      <c r="I40" s="80">
        <f>$I$39</f>
        <v>424.58</v>
      </c>
      <c r="J40" s="35"/>
      <c r="K40" s="35"/>
      <c r="L40" s="35"/>
      <c r="M40" s="35"/>
      <c r="N40" s="35"/>
      <c r="O40" s="35"/>
    </row>
    <row r="41" spans="1:15" ht="29.25" customHeight="1" thickBot="1" x14ac:dyDescent="0.25">
      <c r="A41" s="861" t="s">
        <v>174</v>
      </c>
      <c r="B41" s="861"/>
      <c r="C41" s="861"/>
      <c r="D41" s="861"/>
      <c r="E41" s="861"/>
      <c r="F41" s="85">
        <f>($F$40/$F$12)/100</f>
        <v>2.6844782608695654E-2</v>
      </c>
      <c r="G41" s="622"/>
      <c r="H41" s="82"/>
      <c r="I41" s="83"/>
      <c r="J41" s="35"/>
      <c r="K41" s="35"/>
      <c r="L41" s="35"/>
      <c r="M41" s="35"/>
      <c r="N41" s="35"/>
      <c r="O41" s="35"/>
    </row>
    <row r="42" spans="1:15" ht="24" customHeight="1" x14ac:dyDescent="0.2">
      <c r="A42" s="35"/>
      <c r="B42" s="35"/>
      <c r="C42" s="35"/>
      <c r="D42" s="35"/>
      <c r="E42" s="35"/>
      <c r="F42" s="77"/>
      <c r="G42" s="77"/>
      <c r="H42" s="77"/>
      <c r="I42" s="35"/>
      <c r="J42" s="35"/>
      <c r="K42" s="35"/>
      <c r="L42" s="35"/>
      <c r="M42" s="35"/>
      <c r="N42" s="35"/>
      <c r="O42" s="35"/>
    </row>
    <row r="43" spans="1:15" x14ac:dyDescent="0.2">
      <c r="A43" s="35"/>
      <c r="B43" s="35"/>
      <c r="C43" s="35"/>
      <c r="D43" s="35"/>
      <c r="E43" s="35"/>
      <c r="F43" s="77"/>
      <c r="G43" s="77"/>
      <c r="H43" s="77"/>
      <c r="I43" s="35"/>
      <c r="J43" s="35"/>
      <c r="K43" s="35"/>
      <c r="L43" s="35"/>
      <c r="M43" s="35"/>
      <c r="N43" s="35"/>
      <c r="O43" s="35"/>
    </row>
    <row r="44" spans="1:15" x14ac:dyDescent="0.2">
      <c r="A44" s="35"/>
      <c r="B44" s="35"/>
      <c r="C44" s="35"/>
      <c r="D44" s="35"/>
      <c r="E44" s="35"/>
      <c r="F44" s="77"/>
      <c r="G44" s="77"/>
      <c r="H44" s="77"/>
      <c r="I44" s="35"/>
      <c r="J44" s="35"/>
      <c r="K44" s="35"/>
      <c r="L44" s="35"/>
      <c r="M44" s="35"/>
      <c r="N44" s="35"/>
      <c r="O44" s="35"/>
    </row>
    <row r="45" spans="1:15" x14ac:dyDescent="0.2">
      <c r="A45" s="35"/>
      <c r="B45" s="35"/>
      <c r="C45" s="35"/>
      <c r="D45" s="35"/>
      <c r="E45" s="35"/>
      <c r="F45" s="77"/>
      <c r="G45" s="77"/>
      <c r="H45" s="77"/>
      <c r="I45" s="35"/>
      <c r="J45" s="35"/>
      <c r="K45" s="35"/>
      <c r="L45" s="35"/>
      <c r="M45" s="35"/>
      <c r="N45" s="35"/>
      <c r="O45" s="35"/>
    </row>
    <row r="46" spans="1:15" x14ac:dyDescent="0.2">
      <c r="A46" s="35"/>
      <c r="B46" s="35"/>
      <c r="C46" s="35"/>
      <c r="D46" s="35"/>
      <c r="E46" s="35"/>
      <c r="F46" s="77"/>
      <c r="G46" s="77"/>
      <c r="H46" s="77"/>
      <c r="I46" s="35"/>
      <c r="J46" s="35"/>
      <c r="K46" s="35"/>
      <c r="L46" s="35"/>
      <c r="M46" s="35"/>
      <c r="N46" s="35"/>
      <c r="O46" s="35"/>
    </row>
    <row r="47" spans="1:15" x14ac:dyDescent="0.2">
      <c r="A47" s="35"/>
      <c r="B47" s="35"/>
      <c r="C47" s="35"/>
      <c r="D47" s="35"/>
      <c r="E47" s="35"/>
      <c r="F47" s="77"/>
      <c r="G47" s="77"/>
      <c r="H47" s="77"/>
      <c r="I47" s="35"/>
      <c r="J47" s="35"/>
      <c r="K47" s="35"/>
      <c r="L47" s="35"/>
      <c r="M47" s="35"/>
      <c r="N47" s="35"/>
      <c r="O47" s="35"/>
    </row>
    <row r="48" spans="1:15" x14ac:dyDescent="0.2">
      <c r="A48" s="35"/>
      <c r="B48" s="35"/>
      <c r="C48" s="35"/>
      <c r="D48" s="35"/>
      <c r="E48" s="35"/>
      <c r="F48" s="77"/>
      <c r="G48" s="77"/>
      <c r="H48" s="77"/>
      <c r="I48" s="35"/>
      <c r="J48" s="35"/>
      <c r="K48" s="35"/>
      <c r="L48" s="35"/>
      <c r="M48" s="35"/>
      <c r="N48" s="35"/>
      <c r="O48" s="35"/>
    </row>
  </sheetData>
  <sheetProtection algorithmName="SHA-512" hashValue="wmyX0ohzS1Ws9/P+1bQaInTdweBIgUUaSLsqR5AyORUu0CrASZrYxliQukE67Fz42QpLQs2ilEDLDG/cVdpW/w==" saltValue="YR5eMD0VZAh4e6Q9YjkL5w=="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8"/>
  <sheetViews>
    <sheetView showGridLines="0" zoomScale="80" zoomScaleNormal="80" workbookViewId="0">
      <selection activeCell="K9" sqref="K9"/>
    </sheetView>
  </sheetViews>
  <sheetFormatPr defaultColWidth="9" defaultRowHeight="12.75" x14ac:dyDescent="0.2"/>
  <cols>
    <col min="1" max="1" width="11.33203125" customWidth="1"/>
    <col min="2" max="2" width="28.83203125" customWidth="1"/>
    <col min="3" max="3" width="11" customWidth="1"/>
    <col min="4" max="5" width="17.5" customWidth="1"/>
    <col min="6" max="8" width="17.83203125" style="16" customWidth="1"/>
    <col min="9" max="9" width="17.83203125" customWidth="1"/>
  </cols>
  <sheetData>
    <row r="1" spans="1:14" x14ac:dyDescent="0.2">
      <c r="A1" s="63"/>
      <c r="B1" s="345" t="s">
        <v>0</v>
      </c>
      <c r="C1" s="64"/>
      <c r="D1" s="64"/>
      <c r="E1" s="64"/>
      <c r="F1" s="65"/>
      <c r="G1" s="65"/>
      <c r="H1" s="65"/>
      <c r="I1" s="66"/>
      <c r="J1" s="35"/>
      <c r="K1" s="35"/>
      <c r="L1" s="35"/>
      <c r="M1" s="35"/>
      <c r="N1" s="35"/>
    </row>
    <row r="2" spans="1:14" x14ac:dyDescent="0.2">
      <c r="A2" s="67"/>
      <c r="B2" s="346" t="s">
        <v>210</v>
      </c>
      <c r="C2" s="60"/>
      <c r="D2" s="60"/>
      <c r="E2" s="60"/>
      <c r="F2" s="108"/>
      <c r="G2" s="108"/>
      <c r="H2" s="108"/>
      <c r="I2" s="68"/>
      <c r="J2" s="35"/>
      <c r="K2" s="35"/>
      <c r="L2" s="35"/>
      <c r="M2" s="35"/>
      <c r="N2" s="35"/>
    </row>
    <row r="3" spans="1:14" ht="13.5" thickBot="1" x14ac:dyDescent="0.25">
      <c r="A3" s="69"/>
      <c r="B3" s="346" t="s">
        <v>1</v>
      </c>
      <c r="C3" s="60"/>
      <c r="D3" s="60"/>
      <c r="E3" s="60"/>
      <c r="F3" s="108"/>
      <c r="G3" s="108"/>
      <c r="H3" s="108"/>
      <c r="I3" s="68"/>
      <c r="J3" s="35"/>
      <c r="K3" s="35"/>
      <c r="L3" s="35"/>
      <c r="M3" s="35"/>
      <c r="N3" s="35"/>
    </row>
    <row r="4" spans="1:14" ht="32.25" customHeight="1" x14ac:dyDescent="0.2">
      <c r="A4" s="843" t="s">
        <v>143</v>
      </c>
      <c r="B4" s="843"/>
      <c r="C4" s="843"/>
      <c r="D4" s="843"/>
      <c r="E4" s="843"/>
      <c r="F4" s="843"/>
      <c r="G4" s="843"/>
      <c r="H4" s="843"/>
      <c r="I4" s="843"/>
      <c r="J4" s="35"/>
      <c r="K4" s="35"/>
      <c r="L4" s="35"/>
      <c r="M4" s="35"/>
      <c r="N4" s="35"/>
    </row>
    <row r="5" spans="1:14"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row>
    <row r="6" spans="1:14" ht="22.5" customHeight="1" thickBot="1" x14ac:dyDescent="0.25">
      <c r="A6" s="844" t="s">
        <v>2</v>
      </c>
      <c r="B6" s="844"/>
      <c r="C6" s="844"/>
      <c r="D6" s="844"/>
      <c r="E6" s="844"/>
      <c r="F6" s="844"/>
      <c r="G6" s="844"/>
      <c r="H6" s="844"/>
      <c r="I6" s="844"/>
      <c r="J6" s="35"/>
      <c r="K6" s="35"/>
      <c r="L6" s="35"/>
      <c r="M6" s="35"/>
      <c r="N6" s="35"/>
    </row>
    <row r="7" spans="1:14" ht="30" customHeight="1" thickBot="1" x14ac:dyDescent="0.25">
      <c r="A7" s="852" t="str">
        <f>Dados!$B$16&amp;" - "&amp;$D$10</f>
        <v>Encarregado Geral - 220</v>
      </c>
      <c r="B7" s="853"/>
      <c r="C7" s="853"/>
      <c r="D7" s="853"/>
      <c r="E7" s="854"/>
      <c r="F7" s="845" t="s">
        <v>144</v>
      </c>
      <c r="G7" s="855" t="s">
        <v>471</v>
      </c>
      <c r="H7" s="846" t="s">
        <v>145</v>
      </c>
      <c r="I7" s="847" t="s">
        <v>146</v>
      </c>
      <c r="J7" s="35"/>
      <c r="K7" s="35"/>
      <c r="L7" s="35"/>
      <c r="M7" s="35"/>
      <c r="N7" s="35"/>
    </row>
    <row r="8" spans="1:14" ht="18" customHeight="1" thickBot="1" x14ac:dyDescent="0.25">
      <c r="A8" s="848" t="s">
        <v>147</v>
      </c>
      <c r="B8" s="848"/>
      <c r="C8" s="848"/>
      <c r="D8" s="848"/>
      <c r="E8" s="228" t="s">
        <v>88</v>
      </c>
      <c r="F8" s="845"/>
      <c r="G8" s="856"/>
      <c r="H8" s="846"/>
      <c r="I8" s="847"/>
      <c r="J8" s="35"/>
      <c r="K8" s="35"/>
      <c r="L8" s="35"/>
      <c r="M8" s="35"/>
      <c r="N8" s="35"/>
    </row>
    <row r="9" spans="1:14" ht="24.75" customHeight="1" x14ac:dyDescent="0.2">
      <c r="A9" s="229" t="s">
        <v>148</v>
      </c>
      <c r="B9" s="835" t="s">
        <v>149</v>
      </c>
      <c r="C9" s="835"/>
      <c r="D9" s="230" t="s">
        <v>150</v>
      </c>
      <c r="E9" s="70" t="s">
        <v>151</v>
      </c>
      <c r="F9" s="864" t="s">
        <v>152</v>
      </c>
      <c r="G9" s="865"/>
      <c r="H9" s="864"/>
      <c r="I9" s="864"/>
      <c r="J9" s="35"/>
      <c r="K9" s="35"/>
      <c r="L9" s="35"/>
      <c r="M9" s="35"/>
      <c r="N9" s="35"/>
    </row>
    <row r="10" spans="1:14" ht="26.25" customHeight="1" x14ac:dyDescent="0.2">
      <c r="A10" s="837">
        <v>1</v>
      </c>
      <c r="B10" s="838" t="str">
        <f>A7</f>
        <v>Encarregado Geral - 220</v>
      </c>
      <c r="C10" s="838"/>
      <c r="D10" s="231">
        <f>Dados!$C$16</f>
        <v>220</v>
      </c>
      <c r="E10" s="125">
        <f>Dados!$E$16</f>
        <v>2753.93</v>
      </c>
      <c r="F10" s="113">
        <f>ROUND(E10/220*D10,2)</f>
        <v>2753.93</v>
      </c>
      <c r="G10" s="619"/>
      <c r="H10" s="232"/>
      <c r="I10" s="115"/>
      <c r="J10" s="35"/>
      <c r="K10" s="35"/>
      <c r="L10" s="35"/>
      <c r="M10" s="35"/>
      <c r="N10" s="35"/>
    </row>
    <row r="11" spans="1:14" ht="24" customHeight="1" x14ac:dyDescent="0.2">
      <c r="A11" s="837"/>
      <c r="B11" s="841"/>
      <c r="C11" s="842"/>
      <c r="D11" s="233"/>
      <c r="E11" s="234"/>
      <c r="F11" s="113">
        <f>ROUND(((E11/220*D10)*C11)*D11,2)</f>
        <v>0</v>
      </c>
      <c r="G11" s="613"/>
      <c r="H11" s="114"/>
      <c r="I11" s="235"/>
      <c r="J11" s="35"/>
      <c r="K11" s="35"/>
      <c r="L11" s="35"/>
      <c r="M11" s="35"/>
      <c r="N11" s="35"/>
    </row>
    <row r="12" spans="1:14" ht="19.5" customHeight="1" x14ac:dyDescent="0.2">
      <c r="A12" s="837"/>
      <c r="B12" s="839" t="s">
        <v>153</v>
      </c>
      <c r="C12" s="839"/>
      <c r="D12" s="839"/>
      <c r="E12" s="839"/>
      <c r="F12" s="236">
        <f>F10+F11</f>
        <v>2753.93</v>
      </c>
      <c r="G12" s="614"/>
      <c r="H12" s="237"/>
      <c r="I12" s="238"/>
      <c r="J12" s="35"/>
      <c r="K12" s="35"/>
      <c r="L12" s="35"/>
      <c r="M12" s="35"/>
      <c r="N12" s="35"/>
    </row>
    <row r="13" spans="1:14" ht="19.5" customHeight="1" x14ac:dyDescent="0.2">
      <c r="A13" s="837"/>
      <c r="B13" s="840" t="s">
        <v>154</v>
      </c>
      <c r="C13" s="840"/>
      <c r="D13" s="840"/>
      <c r="E13" s="239">
        <f>Dados!G28</f>
        <v>0.79049999999999998</v>
      </c>
      <c r="F13" s="113">
        <f>(ROUND((E13*F12),2))</f>
        <v>2176.98</v>
      </c>
      <c r="G13" s="613"/>
      <c r="H13" s="114"/>
      <c r="I13" s="115"/>
      <c r="J13" s="35"/>
      <c r="K13" s="35"/>
      <c r="L13" s="35"/>
      <c r="M13" s="35"/>
      <c r="N13" s="35"/>
    </row>
    <row r="14" spans="1:14" ht="24.75" customHeight="1" x14ac:dyDescent="0.2">
      <c r="A14" s="821" t="s">
        <v>155</v>
      </c>
      <c r="B14" s="821"/>
      <c r="C14" s="821"/>
      <c r="D14" s="821"/>
      <c r="E14" s="821"/>
      <c r="F14" s="236">
        <f>ROUND(SUM(F12:F13),2)</f>
        <v>4930.91</v>
      </c>
      <c r="G14" s="615"/>
      <c r="H14" s="240"/>
      <c r="I14" s="238"/>
      <c r="J14" s="35"/>
      <c r="K14" s="35"/>
      <c r="L14" s="35"/>
      <c r="M14" s="35"/>
      <c r="N14" s="35"/>
    </row>
    <row r="15" spans="1:14" ht="19.5" customHeight="1" x14ac:dyDescent="0.2">
      <c r="A15" s="822" t="s">
        <v>156</v>
      </c>
      <c r="B15" s="822"/>
      <c r="C15" s="822"/>
      <c r="D15" s="822"/>
      <c r="E15" s="822"/>
      <c r="F15" s="822"/>
      <c r="G15" s="822"/>
      <c r="H15" s="822"/>
      <c r="I15" s="822"/>
      <c r="J15" s="35"/>
      <c r="K15" s="35"/>
      <c r="L15" s="35"/>
      <c r="M15" s="35"/>
      <c r="N15" s="35"/>
    </row>
    <row r="16" spans="1:14" ht="19.5" customHeight="1" x14ac:dyDescent="0.2">
      <c r="A16" s="832" t="s">
        <v>157</v>
      </c>
      <c r="B16" s="832"/>
      <c r="C16" s="241" t="s">
        <v>158</v>
      </c>
      <c r="D16" s="833" t="s">
        <v>152</v>
      </c>
      <c r="E16" s="833"/>
      <c r="F16" s="833"/>
      <c r="G16" s="834"/>
      <c r="H16" s="833"/>
      <c r="I16" s="833"/>
      <c r="J16" s="35"/>
      <c r="K16" s="35"/>
      <c r="L16" s="35"/>
      <c r="M16" s="35"/>
      <c r="N16" s="35"/>
    </row>
    <row r="17" spans="1:14" ht="19.5" customHeight="1" x14ac:dyDescent="0.2">
      <c r="A17" s="829" t="s">
        <v>93</v>
      </c>
      <c r="B17" s="829"/>
      <c r="C17" s="242"/>
      <c r="D17" s="124"/>
      <c r="E17" s="125"/>
      <c r="F17" s="113">
        <f>Dados!$I$16</f>
        <v>72.650000000000006</v>
      </c>
      <c r="G17" s="613"/>
      <c r="H17" s="114"/>
      <c r="I17" s="115"/>
      <c r="J17" s="35"/>
      <c r="K17" s="35"/>
      <c r="L17" s="35"/>
      <c r="M17" s="35"/>
      <c r="N17" s="35"/>
    </row>
    <row r="18" spans="1:14" ht="19.5" customHeight="1" x14ac:dyDescent="0.2">
      <c r="A18" s="829" t="s">
        <v>160</v>
      </c>
      <c r="B18" s="829"/>
      <c r="C18" s="242"/>
      <c r="D18" s="124"/>
      <c r="E18" s="243"/>
      <c r="F18" s="113">
        <f>Dados!$G$35</f>
        <v>2.2000000000000002</v>
      </c>
      <c r="G18" s="613"/>
      <c r="H18" s="114"/>
      <c r="I18" s="115"/>
      <c r="J18" s="35"/>
      <c r="K18" s="35"/>
      <c r="L18" s="35"/>
      <c r="M18" s="35"/>
      <c r="N18" s="35"/>
    </row>
    <row r="19" spans="1:14" ht="25.5" customHeight="1" x14ac:dyDescent="0.2">
      <c r="A19" s="830" t="s">
        <v>103</v>
      </c>
      <c r="B19" s="830"/>
      <c r="C19" s="242"/>
      <c r="D19" s="124"/>
      <c r="E19" s="244"/>
      <c r="F19" s="113">
        <f>Dados!$G$36</f>
        <v>66.099999999999994</v>
      </c>
      <c r="G19" s="613"/>
      <c r="H19" s="114"/>
      <c r="I19" s="115"/>
      <c r="J19" s="35"/>
      <c r="K19" s="35"/>
      <c r="L19" s="35"/>
      <c r="M19" s="35"/>
      <c r="N19" s="35"/>
    </row>
    <row r="20" spans="1:14" ht="25.5" customHeight="1" x14ac:dyDescent="0.2">
      <c r="A20" s="831" t="s">
        <v>105</v>
      </c>
      <c r="B20" s="831"/>
      <c r="C20" s="114">
        <f>Dados!$G$38</f>
        <v>22</v>
      </c>
      <c r="D20" s="242">
        <f>Dados!$G$37</f>
        <v>24.54</v>
      </c>
      <c r="E20" s="245">
        <f>Dados!$G$39</f>
        <v>0.2</v>
      </c>
      <c r="F20" s="116">
        <f>ROUND((IF(D10&gt;150,((C20*D20)-(E20*(C20*D20))),0)),2)</f>
        <v>431.9</v>
      </c>
      <c r="G20" s="620">
        <f>F20</f>
        <v>431.9</v>
      </c>
      <c r="H20" s="114"/>
      <c r="I20" s="115"/>
      <c r="J20" s="35"/>
      <c r="K20" s="35"/>
      <c r="L20" s="35"/>
      <c r="M20" s="35"/>
      <c r="N20" s="35"/>
    </row>
    <row r="21" spans="1:14" ht="19.5" customHeight="1" x14ac:dyDescent="0.2">
      <c r="A21" s="829" t="s">
        <v>207</v>
      </c>
      <c r="B21" s="829"/>
      <c r="C21" s="114">
        <f>Dados!$G$44</f>
        <v>22</v>
      </c>
      <c r="D21" s="114">
        <f>Dados!$G$43</f>
        <v>7.1</v>
      </c>
      <c r="E21" s="125">
        <f>Dados!$G$41</f>
        <v>4.5</v>
      </c>
      <c r="F21" s="116">
        <f>ROUND((($C$21*$D$21*Dados!$G$42)+($C$21*$E$21*Dados!$G$40) -(F10*Dados!$G$45)),2)</f>
        <v>345.16</v>
      </c>
      <c r="G21" s="620"/>
      <c r="H21" s="114"/>
      <c r="I21" s="115">
        <f>F21</f>
        <v>345.16</v>
      </c>
      <c r="J21" s="35"/>
      <c r="K21" s="35"/>
      <c r="L21" s="35"/>
      <c r="M21" s="35"/>
      <c r="N21" s="35"/>
    </row>
    <row r="22" spans="1:14" ht="19.5" customHeight="1" x14ac:dyDescent="0.2">
      <c r="A22" s="829" t="str">
        <f>Dados!B46</f>
        <v>Outros (inserir somente com a justificativa legal)</v>
      </c>
      <c r="B22" s="829"/>
      <c r="C22" s="114">
        <v>1</v>
      </c>
      <c r="D22" s="114">
        <f>Dados!$G$46</f>
        <v>0</v>
      </c>
      <c r="E22" s="125"/>
      <c r="F22" s="116">
        <f>ROUND((C22*D22),2)</f>
        <v>0</v>
      </c>
      <c r="G22" s="620"/>
      <c r="H22" s="114"/>
      <c r="I22" s="115"/>
      <c r="J22" s="35"/>
      <c r="K22" s="35"/>
      <c r="L22" s="35"/>
      <c r="M22" s="35"/>
      <c r="N22" s="35"/>
    </row>
    <row r="23" spans="1:14" ht="19.5" customHeight="1" x14ac:dyDescent="0.2">
      <c r="A23" s="829" t="str">
        <f>Dados!B47</f>
        <v>Outros (inserir somente com a justificativa legal)</v>
      </c>
      <c r="B23" s="829"/>
      <c r="C23" s="114">
        <v>1</v>
      </c>
      <c r="D23" s="114">
        <f>Dados!$G$47</f>
        <v>0</v>
      </c>
      <c r="E23" s="125"/>
      <c r="F23" s="116">
        <f>ROUND((C23*D23),2)</f>
        <v>0</v>
      </c>
      <c r="G23" s="620"/>
      <c r="H23" s="114"/>
      <c r="I23" s="115"/>
      <c r="J23" s="35"/>
      <c r="K23" s="35"/>
      <c r="L23" s="35"/>
      <c r="M23" s="35"/>
      <c r="N23" s="35"/>
    </row>
    <row r="24" spans="1:14" ht="24.75" customHeight="1" x14ac:dyDescent="0.2">
      <c r="A24" s="821" t="s">
        <v>163</v>
      </c>
      <c r="B24" s="821"/>
      <c r="C24" s="821"/>
      <c r="D24" s="821"/>
      <c r="E24" s="821"/>
      <c r="F24" s="236">
        <f>SUM(F17:F23)</f>
        <v>918.01</v>
      </c>
      <c r="G24" s="236">
        <f>SUM(G17:G23)</f>
        <v>431.9</v>
      </c>
      <c r="H24" s="240">
        <f>SUM($H$17:$H$23)</f>
        <v>0</v>
      </c>
      <c r="I24" s="238">
        <f>SUM($I$17:$I$23)</f>
        <v>345.16</v>
      </c>
      <c r="J24" s="35"/>
      <c r="K24" s="35"/>
      <c r="L24" s="35"/>
      <c r="M24" s="35"/>
      <c r="N24" s="35"/>
    </row>
    <row r="25" spans="1:14" ht="24.75" customHeight="1" x14ac:dyDescent="0.2">
      <c r="A25" s="821" t="s">
        <v>164</v>
      </c>
      <c r="B25" s="821"/>
      <c r="C25" s="821"/>
      <c r="D25" s="821"/>
      <c r="E25" s="821"/>
      <c r="F25" s="236">
        <f>$F$14+$F$24</f>
        <v>5848.92</v>
      </c>
      <c r="G25" s="236">
        <f>$G$14+$G$24</f>
        <v>431.9</v>
      </c>
      <c r="H25" s="240">
        <f>$H$14+$H$24</f>
        <v>0</v>
      </c>
      <c r="I25" s="238">
        <f>$I$14+$I$24</f>
        <v>345.16</v>
      </c>
      <c r="J25" s="35"/>
      <c r="K25" s="35"/>
      <c r="L25" s="35"/>
      <c r="M25" s="35"/>
      <c r="N25" s="35"/>
    </row>
    <row r="26" spans="1:14" ht="19.5" customHeight="1" x14ac:dyDescent="0.2">
      <c r="A26" s="822" t="s">
        <v>165</v>
      </c>
      <c r="B26" s="822"/>
      <c r="C26" s="822"/>
      <c r="D26" s="822"/>
      <c r="E26" s="822"/>
      <c r="F26" s="822"/>
      <c r="G26" s="822"/>
      <c r="H26" s="822"/>
      <c r="I26" s="822"/>
      <c r="J26" s="35"/>
      <c r="K26" s="35"/>
      <c r="L26" s="35"/>
      <c r="M26" s="35"/>
      <c r="N26" s="35"/>
    </row>
    <row r="27" spans="1:14" ht="19.5" customHeight="1" x14ac:dyDescent="0.2">
      <c r="A27" s="825" t="s">
        <v>166</v>
      </c>
      <c r="B27" s="825"/>
      <c r="C27" s="825"/>
      <c r="D27" s="866" t="s">
        <v>167</v>
      </c>
      <c r="E27" s="866"/>
      <c r="F27" s="827" t="s">
        <v>152</v>
      </c>
      <c r="G27" s="828"/>
      <c r="H27" s="827"/>
      <c r="I27" s="827"/>
      <c r="J27" s="35"/>
      <c r="K27" s="35"/>
      <c r="L27" s="35"/>
      <c r="M27" s="35"/>
      <c r="N27" s="35"/>
    </row>
    <row r="28" spans="1:14" ht="19.5" customHeight="1" x14ac:dyDescent="0.2">
      <c r="A28" s="121" t="s">
        <v>168</v>
      </c>
      <c r="B28" s="122"/>
      <c r="C28" s="122"/>
      <c r="D28" s="124">
        <f>Dados!$G$50</f>
        <v>0.03</v>
      </c>
      <c r="E28" s="112"/>
      <c r="F28" s="113">
        <f>ROUND(($F$25*$D$28),2)</f>
        <v>175.47</v>
      </c>
      <c r="G28" s="613">
        <f>ROUND(($G$25*$D$28),2)</f>
        <v>12.96</v>
      </c>
      <c r="H28" s="114">
        <f>ROUND((H25*D28),2)</f>
        <v>0</v>
      </c>
      <c r="I28" s="115">
        <f>ROUND(($I$25*$D$28),2)</f>
        <v>10.35</v>
      </c>
      <c r="J28" s="35"/>
      <c r="K28" s="35"/>
      <c r="L28" s="35"/>
      <c r="M28" s="35"/>
      <c r="N28" s="35"/>
    </row>
    <row r="29" spans="1:14" ht="19.5" customHeight="1" x14ac:dyDescent="0.2">
      <c r="A29" s="820" t="s">
        <v>169</v>
      </c>
      <c r="B29" s="820"/>
      <c r="C29" s="820"/>
      <c r="D29" s="124"/>
      <c r="E29" s="112"/>
      <c r="F29" s="113">
        <f>$F$25+$F$28</f>
        <v>6024.39</v>
      </c>
      <c r="G29" s="613">
        <f>$G$28+$G$25</f>
        <v>444.85999999999996</v>
      </c>
      <c r="H29" s="114">
        <f>H25+H28</f>
        <v>0</v>
      </c>
      <c r="I29" s="115">
        <f>$I$25+$I$28</f>
        <v>355.51000000000005</v>
      </c>
      <c r="J29" s="35"/>
      <c r="K29" s="35"/>
      <c r="L29" s="35"/>
      <c r="M29" s="35"/>
      <c r="N29" s="35"/>
    </row>
    <row r="30" spans="1:14" ht="19.5" customHeight="1" x14ac:dyDescent="0.2">
      <c r="A30" s="121" t="s">
        <v>108</v>
      </c>
      <c r="B30" s="122"/>
      <c r="C30" s="122"/>
      <c r="D30" s="124">
        <f>Dados!$G$51</f>
        <v>6.7900000000000002E-2</v>
      </c>
      <c r="E30" s="112">
        <f>$F$25+$F$28</f>
        <v>6024.39</v>
      </c>
      <c r="F30" s="113">
        <f>ROUND(($E$30*$D$30),2)</f>
        <v>409.06</v>
      </c>
      <c r="G30" s="613">
        <f>ROUND(($G$29*$D$30),2)</f>
        <v>30.21</v>
      </c>
      <c r="H30" s="114">
        <f>ROUND((H29*D30),2)</f>
        <v>0</v>
      </c>
      <c r="I30" s="115">
        <f>ROUND(($I$29*$D$30),2)</f>
        <v>24.14</v>
      </c>
      <c r="J30" s="35"/>
      <c r="K30" s="35"/>
      <c r="L30" s="35"/>
      <c r="M30" s="35"/>
      <c r="N30" s="35"/>
    </row>
    <row r="31" spans="1:14" ht="24.75" customHeight="1" x14ac:dyDescent="0.2">
      <c r="A31" s="246" t="s">
        <v>170</v>
      </c>
      <c r="B31" s="247"/>
      <c r="C31" s="247"/>
      <c r="D31" s="248">
        <f>SUM($D$28:$D$30)</f>
        <v>9.7900000000000001E-2</v>
      </c>
      <c r="E31" s="249"/>
      <c r="F31" s="236">
        <f>$F$28+$F$30</f>
        <v>584.53</v>
      </c>
      <c r="G31" s="615">
        <f>$G$28+$G$30</f>
        <v>43.17</v>
      </c>
      <c r="H31" s="240">
        <f>H28+H30</f>
        <v>0</v>
      </c>
      <c r="I31" s="238">
        <f>$I$28+$I$30</f>
        <v>34.49</v>
      </c>
      <c r="J31" s="35"/>
      <c r="K31" s="35"/>
      <c r="L31" s="35"/>
      <c r="M31" s="35"/>
      <c r="N31" s="35"/>
    </row>
    <row r="32" spans="1:14" ht="24.75" customHeight="1" x14ac:dyDescent="0.2">
      <c r="A32" s="821" t="s">
        <v>171</v>
      </c>
      <c r="B32" s="821"/>
      <c r="C32" s="821"/>
      <c r="D32" s="821"/>
      <c r="E32" s="821"/>
      <c r="F32" s="236">
        <f>$F$14+$F$24+$F$31</f>
        <v>6433.45</v>
      </c>
      <c r="G32" s="615">
        <f>$G$14+$G$24+$G$31</f>
        <v>475.07</v>
      </c>
      <c r="H32" s="240">
        <f>H14+H24+H31</f>
        <v>0</v>
      </c>
      <c r="I32" s="238">
        <f>$I$14+$I$24+$I$31</f>
        <v>379.65000000000003</v>
      </c>
      <c r="J32" s="35"/>
      <c r="K32" s="35"/>
      <c r="L32" s="35"/>
      <c r="M32" s="35"/>
      <c r="N32" s="35"/>
    </row>
    <row r="33" spans="1:14" ht="19.5" customHeight="1" x14ac:dyDescent="0.2">
      <c r="A33" s="822" t="s">
        <v>172</v>
      </c>
      <c r="B33" s="822"/>
      <c r="C33" s="822"/>
      <c r="D33" s="822"/>
      <c r="E33" s="822"/>
      <c r="F33" s="822"/>
      <c r="G33" s="822"/>
      <c r="H33" s="822"/>
      <c r="I33" s="822"/>
      <c r="J33" s="35"/>
      <c r="K33" s="35"/>
      <c r="L33" s="35"/>
      <c r="M33" s="35"/>
      <c r="N33" s="35"/>
    </row>
    <row r="34" spans="1:14" ht="19.5" customHeight="1" x14ac:dyDescent="0.2">
      <c r="A34" s="121" t="s">
        <v>109</v>
      </c>
      <c r="B34" s="122"/>
      <c r="C34" s="123"/>
      <c r="D34" s="124">
        <f>Dados!$G$58</f>
        <v>7.5999999999999998E-2</v>
      </c>
      <c r="E34" s="125"/>
      <c r="F34" s="113">
        <f>ROUND(($F$39*$D$34),2)</f>
        <v>570.20000000000005</v>
      </c>
      <c r="G34" s="613">
        <f>ROUND(($G$39*$D$34),2)</f>
        <v>42.11</v>
      </c>
      <c r="H34" s="114">
        <f>ROUND(($H$39*$D$34),2)</f>
        <v>0</v>
      </c>
      <c r="I34" s="115">
        <f>ROUND(($I$39*$D$34),2)</f>
        <v>33.65</v>
      </c>
      <c r="J34" s="35"/>
      <c r="K34" s="35"/>
      <c r="L34" s="35"/>
      <c r="M34" s="35"/>
      <c r="N34" s="35"/>
    </row>
    <row r="35" spans="1:14" ht="19.5" customHeight="1" x14ac:dyDescent="0.2">
      <c r="A35" s="121" t="s">
        <v>110</v>
      </c>
      <c r="B35" s="122"/>
      <c r="C35" s="123"/>
      <c r="D35" s="124">
        <f>Dados!$G$59</f>
        <v>1.6500000000000001E-2</v>
      </c>
      <c r="E35" s="125"/>
      <c r="F35" s="113">
        <f>ROUND(($F$39*$D$35),2)</f>
        <v>123.79</v>
      </c>
      <c r="G35" s="613">
        <f>ROUND(($G$39*$D$35),2)</f>
        <v>9.14</v>
      </c>
      <c r="H35" s="114">
        <f>ROUND(($H$39*$D$35),2)</f>
        <v>0</v>
      </c>
      <c r="I35" s="115">
        <f>ROUND(($I$39*$D$35),2)</f>
        <v>7.31</v>
      </c>
      <c r="J35" s="35"/>
      <c r="K35" s="35"/>
      <c r="L35" s="35"/>
      <c r="M35" s="35"/>
      <c r="N35" s="35"/>
    </row>
    <row r="36" spans="1:14" ht="19.5" customHeight="1" x14ac:dyDescent="0.2">
      <c r="A36" s="121" t="s">
        <v>111</v>
      </c>
      <c r="B36" s="122"/>
      <c r="C36" s="123"/>
      <c r="D36" s="124">
        <f>Dados!$G$60</f>
        <v>0.05</v>
      </c>
      <c r="E36" s="125"/>
      <c r="F36" s="113">
        <f>ROUND(($F$39*$D$36),2)</f>
        <v>375.13</v>
      </c>
      <c r="G36" s="613">
        <f>ROUND(($G$39*$D$36),2)</f>
        <v>27.7</v>
      </c>
      <c r="H36" s="114">
        <f>ROUND(($H$39*$D$36),2)</f>
        <v>0</v>
      </c>
      <c r="I36" s="115">
        <f>ROUND(($I$39*$D$36),2)</f>
        <v>22.14</v>
      </c>
      <c r="J36" s="35"/>
      <c r="K36" s="35"/>
      <c r="L36" s="35"/>
      <c r="M36" s="35"/>
      <c r="N36" s="35"/>
    </row>
    <row r="37" spans="1:14"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row>
    <row r="38" spans="1:14" ht="30" customHeight="1" thickBot="1" x14ac:dyDescent="0.25">
      <c r="A38" s="246" t="s">
        <v>173</v>
      </c>
      <c r="B38" s="247"/>
      <c r="C38" s="250"/>
      <c r="D38" s="248">
        <f>SUM(D34:D37)</f>
        <v>0.14250000000000002</v>
      </c>
      <c r="E38" s="251"/>
      <c r="F38" s="236">
        <f>SUM(F34:F37)</f>
        <v>1069.1199999999999</v>
      </c>
      <c r="G38" s="236">
        <f>SUM(G34:G37)</f>
        <v>78.95</v>
      </c>
      <c r="H38" s="236">
        <f t="shared" ref="H38:I38" si="1">SUM(H34:H37)</f>
        <v>0</v>
      </c>
      <c r="I38" s="252">
        <f t="shared" si="1"/>
        <v>63.1</v>
      </c>
      <c r="J38" s="35"/>
      <c r="K38" s="35"/>
      <c r="L38" s="35"/>
      <c r="M38" s="35"/>
      <c r="N38" s="35"/>
    </row>
    <row r="39" spans="1:14" ht="34.5" hidden="1" customHeight="1" thickBot="1" x14ac:dyDescent="0.25">
      <c r="A39" s="823" t="str">
        <f>A7</f>
        <v>Encarregado Geral - 220</v>
      </c>
      <c r="B39" s="823"/>
      <c r="C39" s="823"/>
      <c r="D39" s="823"/>
      <c r="E39" s="823"/>
      <c r="F39" s="253">
        <f>ROUND($F$32/(1-$D$38),2)</f>
        <v>7502.57</v>
      </c>
      <c r="G39" s="616">
        <f>ROUND($G$32/(1-$D$38),2)</f>
        <v>554.02</v>
      </c>
      <c r="H39" s="254">
        <f>ROUND($H$32/(1-$D$38),2)</f>
        <v>0</v>
      </c>
      <c r="I39" s="255">
        <f>ROUND($I$32/(1-$D$38),2)</f>
        <v>442.74</v>
      </c>
      <c r="J39" s="35"/>
      <c r="K39" s="35"/>
      <c r="L39" s="35"/>
      <c r="M39" s="35"/>
      <c r="N39" s="35"/>
    </row>
    <row r="40" spans="1:14" ht="30" customHeight="1" thickBot="1" x14ac:dyDescent="0.25">
      <c r="A40" s="862" t="str">
        <f>A7</f>
        <v>Encarregado Geral - 220</v>
      </c>
      <c r="B40" s="862"/>
      <c r="C40" s="862"/>
      <c r="D40" s="862"/>
      <c r="E40" s="862"/>
      <c r="F40" s="84">
        <f>$F$39</f>
        <v>7502.57</v>
      </c>
      <c r="G40" s="621">
        <f>$G$39</f>
        <v>554.02</v>
      </c>
      <c r="H40" s="79">
        <f>$H$39</f>
        <v>0</v>
      </c>
      <c r="I40" s="80">
        <f>$I$39</f>
        <v>442.74</v>
      </c>
      <c r="J40" s="35"/>
      <c r="K40" s="35"/>
      <c r="L40" s="35"/>
      <c r="M40" s="35"/>
      <c r="N40" s="35"/>
    </row>
    <row r="41" spans="1:14" ht="29.25" customHeight="1" thickBot="1" x14ac:dyDescent="0.25">
      <c r="A41" s="861" t="s">
        <v>174</v>
      </c>
      <c r="B41" s="861"/>
      <c r="C41" s="861"/>
      <c r="D41" s="861"/>
      <c r="E41" s="861"/>
      <c r="F41" s="85">
        <f>($F$40/$F$12)/100</f>
        <v>2.7243139803843963E-2</v>
      </c>
      <c r="G41" s="622"/>
      <c r="H41" s="82"/>
      <c r="I41" s="83"/>
      <c r="J41" s="35"/>
      <c r="K41" s="35"/>
      <c r="L41" s="35"/>
      <c r="M41" s="35"/>
      <c r="N41" s="35"/>
    </row>
    <row r="42" spans="1:14" ht="24" customHeight="1" x14ac:dyDescent="0.2">
      <c r="A42" s="35"/>
      <c r="B42" s="35"/>
      <c r="C42" s="35"/>
      <c r="D42" s="35"/>
      <c r="E42" s="35"/>
      <c r="F42" s="77"/>
      <c r="G42" s="77"/>
      <c r="H42" s="77"/>
      <c r="I42" s="35"/>
      <c r="J42" s="35"/>
      <c r="K42" s="35"/>
      <c r="L42" s="35"/>
      <c r="M42" s="35"/>
      <c r="N42" s="35"/>
    </row>
    <row r="43" spans="1:14" x14ac:dyDescent="0.2">
      <c r="A43" s="35"/>
      <c r="B43" s="35"/>
      <c r="C43" s="35"/>
      <c r="D43" s="35"/>
      <c r="E43" s="35"/>
      <c r="F43" s="77"/>
      <c r="G43" s="77"/>
      <c r="H43" s="77"/>
      <c r="I43" s="35"/>
      <c r="J43" s="35"/>
      <c r="K43" s="35"/>
      <c r="L43" s="35"/>
      <c r="M43" s="35"/>
      <c r="N43" s="35"/>
    </row>
    <row r="44" spans="1:14" x14ac:dyDescent="0.2">
      <c r="A44" s="35"/>
      <c r="B44" s="35"/>
      <c r="C44" s="35"/>
      <c r="D44" s="35"/>
      <c r="E44" s="35"/>
      <c r="F44" s="77"/>
      <c r="G44" s="77"/>
      <c r="H44" s="77"/>
      <c r="I44" s="35"/>
      <c r="J44" s="35"/>
      <c r="K44" s="35"/>
      <c r="L44" s="35"/>
      <c r="M44" s="35"/>
      <c r="N44" s="35"/>
    </row>
    <row r="45" spans="1:14" x14ac:dyDescent="0.2">
      <c r="A45" s="35"/>
      <c r="B45" s="35"/>
      <c r="C45" s="35"/>
      <c r="D45" s="35"/>
      <c r="E45" s="35"/>
      <c r="F45" s="77"/>
      <c r="G45" s="77"/>
      <c r="H45" s="77"/>
      <c r="I45" s="35"/>
      <c r="J45" s="35"/>
      <c r="K45" s="35"/>
      <c r="L45" s="35"/>
      <c r="M45" s="35"/>
      <c r="N45" s="35"/>
    </row>
    <row r="46" spans="1:14" x14ac:dyDescent="0.2">
      <c r="A46" s="35"/>
      <c r="B46" s="35"/>
      <c r="C46" s="35"/>
      <c r="D46" s="35"/>
      <c r="E46" s="35"/>
      <c r="F46" s="77"/>
      <c r="G46" s="77"/>
      <c r="H46" s="77"/>
      <c r="I46" s="35"/>
      <c r="J46" s="35"/>
      <c r="K46" s="35"/>
      <c r="L46" s="35"/>
      <c r="M46" s="35"/>
      <c r="N46" s="35"/>
    </row>
    <row r="47" spans="1:14" x14ac:dyDescent="0.2">
      <c r="A47" s="35"/>
      <c r="B47" s="35"/>
      <c r="C47" s="35"/>
      <c r="D47" s="35"/>
      <c r="E47" s="35"/>
      <c r="F47" s="77"/>
      <c r="G47" s="77"/>
      <c r="H47" s="77"/>
      <c r="I47" s="35"/>
      <c r="J47" s="35"/>
      <c r="K47" s="35"/>
      <c r="L47" s="35"/>
      <c r="M47" s="35"/>
      <c r="N47" s="35"/>
    </row>
    <row r="48" spans="1:14" x14ac:dyDescent="0.2">
      <c r="A48" s="35"/>
      <c r="B48" s="35"/>
      <c r="C48" s="35"/>
      <c r="D48" s="35"/>
      <c r="E48" s="35"/>
      <c r="F48" s="77"/>
      <c r="G48" s="77"/>
      <c r="H48" s="77"/>
      <c r="I48" s="35"/>
      <c r="J48" s="35"/>
      <c r="K48" s="35"/>
      <c r="L48" s="35"/>
      <c r="M48" s="35"/>
      <c r="N48" s="35"/>
    </row>
  </sheetData>
  <sheetProtection algorithmName="SHA-512" hashValue="04KDaZ9DI5SzG3Bpt6ZnrZ/DgGqeQTdThKUw7U4LLBzjjWFbyXOrj3p0sV8sBMeHkxZcTogyUPdcToL0qlxSkg==" saltValue="DT4HHKOuhWQic68UPu95/g=="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2"/>
  <sheetViews>
    <sheetView showGridLines="0" zoomScale="80" zoomScaleNormal="80" workbookViewId="0">
      <selection activeCell="J9" sqref="J9"/>
    </sheetView>
  </sheetViews>
  <sheetFormatPr defaultColWidth="9" defaultRowHeight="12.75" x14ac:dyDescent="0.2"/>
  <cols>
    <col min="1" max="1" width="11.33203125" customWidth="1"/>
    <col min="2" max="2" width="31" customWidth="1"/>
    <col min="3" max="3" width="8.6640625" customWidth="1"/>
    <col min="4" max="5" width="17.5" customWidth="1"/>
    <col min="6" max="8" width="17.83203125" style="16" customWidth="1"/>
    <col min="9" max="9" width="17.83203125" customWidth="1"/>
  </cols>
  <sheetData>
    <row r="1" spans="1:9" x14ac:dyDescent="0.2">
      <c r="A1" s="17"/>
      <c r="B1" s="345" t="s">
        <v>0</v>
      </c>
      <c r="C1" s="18"/>
      <c r="D1" s="18"/>
      <c r="E1" s="18"/>
      <c r="F1" s="19"/>
      <c r="G1" s="19"/>
      <c r="H1" s="19"/>
      <c r="I1" s="20"/>
    </row>
    <row r="2" spans="1:9" x14ac:dyDescent="0.2">
      <c r="A2" s="21"/>
      <c r="B2" s="346" t="s">
        <v>210</v>
      </c>
      <c r="C2" s="256"/>
      <c r="D2" s="256"/>
      <c r="E2" s="256"/>
      <c r="F2" s="257"/>
      <c r="G2" s="257"/>
      <c r="H2" s="257"/>
      <c r="I2" s="22"/>
    </row>
    <row r="3" spans="1:9" ht="13.5" thickBot="1" x14ac:dyDescent="0.25">
      <c r="A3" s="23"/>
      <c r="B3" s="346" t="s">
        <v>1</v>
      </c>
      <c r="C3" s="256"/>
      <c r="D3" s="256"/>
      <c r="E3" s="256"/>
      <c r="F3" s="257"/>
      <c r="G3" s="257"/>
      <c r="H3" s="257"/>
      <c r="I3" s="22"/>
    </row>
    <row r="4" spans="1:9" ht="32.25" customHeight="1" x14ac:dyDescent="0.2">
      <c r="A4" s="892" t="s">
        <v>143</v>
      </c>
      <c r="B4" s="892"/>
      <c r="C4" s="892"/>
      <c r="D4" s="892"/>
      <c r="E4" s="892"/>
      <c r="F4" s="892"/>
      <c r="G4" s="892"/>
      <c r="H4" s="892"/>
      <c r="I4" s="892"/>
    </row>
    <row r="5" spans="1:9" ht="32.25" customHeight="1" x14ac:dyDescent="0.2">
      <c r="A5" s="898" t="str">
        <f>Dados!A5</f>
        <v>Sindicato utilizado - SINDEAC/MG. Vigência: 01/01/2023 à 31/12/2023
Sendo a data base da categoria 01º de Janeiro. Com número de registro no MTE MG000001/2023.</v>
      </c>
      <c r="B5" s="899"/>
      <c r="C5" s="899"/>
      <c r="D5" s="899"/>
      <c r="E5" s="899"/>
      <c r="F5" s="899"/>
      <c r="G5" s="899"/>
      <c r="H5" s="899"/>
      <c r="I5" s="900"/>
    </row>
    <row r="6" spans="1:9" ht="22.5" customHeight="1" thickBot="1" x14ac:dyDescent="0.25">
      <c r="A6" s="893" t="s">
        <v>2</v>
      </c>
      <c r="B6" s="893"/>
      <c r="C6" s="893"/>
      <c r="D6" s="893"/>
      <c r="E6" s="893"/>
      <c r="F6" s="893"/>
      <c r="G6" s="893"/>
      <c r="H6" s="893"/>
      <c r="I6" s="893"/>
    </row>
    <row r="7" spans="1:9" ht="30" customHeight="1" thickBot="1" x14ac:dyDescent="0.25">
      <c r="A7" s="901" t="str">
        <f>Dados!$B$17&amp;" - "&amp;$D$10</f>
        <v>Operador e Editor de Áudio e Vídeo - 150</v>
      </c>
      <c r="B7" s="902"/>
      <c r="C7" s="902"/>
      <c r="D7" s="902"/>
      <c r="E7" s="903"/>
      <c r="F7" s="894" t="s">
        <v>144</v>
      </c>
      <c r="G7" s="904" t="s">
        <v>471</v>
      </c>
      <c r="H7" s="895" t="s">
        <v>145</v>
      </c>
      <c r="I7" s="896" t="s">
        <v>146</v>
      </c>
    </row>
    <row r="8" spans="1:9" ht="18" customHeight="1" thickBot="1" x14ac:dyDescent="0.25">
      <c r="A8" s="897" t="s">
        <v>147</v>
      </c>
      <c r="B8" s="897"/>
      <c r="C8" s="897"/>
      <c r="D8" s="897"/>
      <c r="E8" s="258" t="s">
        <v>88</v>
      </c>
      <c r="F8" s="894"/>
      <c r="G8" s="905"/>
      <c r="H8" s="895"/>
      <c r="I8" s="896"/>
    </row>
    <row r="9" spans="1:9" ht="24.75" customHeight="1" x14ac:dyDescent="0.2">
      <c r="A9" s="259" t="s">
        <v>148</v>
      </c>
      <c r="B9" s="883" t="s">
        <v>149</v>
      </c>
      <c r="C9" s="883"/>
      <c r="D9" s="260" t="s">
        <v>150</v>
      </c>
      <c r="E9" s="24" t="s">
        <v>151</v>
      </c>
      <c r="F9" s="884" t="s">
        <v>152</v>
      </c>
      <c r="G9" s="885"/>
      <c r="H9" s="884"/>
      <c r="I9" s="884"/>
    </row>
    <row r="10" spans="1:9" ht="28.5" customHeight="1" x14ac:dyDescent="0.2">
      <c r="A10" s="886">
        <v>1</v>
      </c>
      <c r="B10" s="887" t="str">
        <f>A7</f>
        <v>Operador e Editor de Áudio e Vídeo - 150</v>
      </c>
      <c r="C10" s="887"/>
      <c r="D10" s="261">
        <f>Dados!$C$17</f>
        <v>150</v>
      </c>
      <c r="E10" s="130">
        <f>Dados!$E$17</f>
        <v>4789.71</v>
      </c>
      <c r="F10" s="262">
        <f>ROUND(E10/200*D10,2)</f>
        <v>3592.28</v>
      </c>
      <c r="G10" s="623"/>
      <c r="H10" s="119"/>
      <c r="I10" s="120"/>
    </row>
    <row r="11" spans="1:9" ht="24" customHeight="1" x14ac:dyDescent="0.2">
      <c r="A11" s="886"/>
      <c r="B11" s="890"/>
      <c r="C11" s="891"/>
      <c r="D11" s="263"/>
      <c r="E11" s="264"/>
      <c r="F11" s="262">
        <f>ROUND(((E11/220*D10)*C11)*D11,2)</f>
        <v>0</v>
      </c>
      <c r="G11" s="623"/>
      <c r="H11" s="119"/>
      <c r="I11" s="120"/>
    </row>
    <row r="12" spans="1:9" ht="19.5" customHeight="1" x14ac:dyDescent="0.2">
      <c r="A12" s="886"/>
      <c r="B12" s="888" t="s">
        <v>153</v>
      </c>
      <c r="C12" s="888"/>
      <c r="D12" s="888"/>
      <c r="E12" s="888"/>
      <c r="F12" s="265">
        <f>F10+F11</f>
        <v>3592.28</v>
      </c>
      <c r="G12" s="624"/>
      <c r="H12" s="266"/>
      <c r="I12" s="267"/>
    </row>
    <row r="13" spans="1:9" ht="19.5" customHeight="1" x14ac:dyDescent="0.2">
      <c r="A13" s="886"/>
      <c r="B13" s="889" t="s">
        <v>154</v>
      </c>
      <c r="C13" s="889"/>
      <c r="D13" s="889"/>
      <c r="E13" s="268">
        <f>Dados!G28</f>
        <v>0.79049999999999998</v>
      </c>
      <c r="F13" s="118">
        <f>(ROUND((E13*F12),2))</f>
        <v>2839.7</v>
      </c>
      <c r="G13" s="625"/>
      <c r="H13" s="119"/>
      <c r="I13" s="120"/>
    </row>
    <row r="14" spans="1:9" ht="24.75" customHeight="1" x14ac:dyDescent="0.2">
      <c r="A14" s="869" t="s">
        <v>155</v>
      </c>
      <c r="B14" s="869"/>
      <c r="C14" s="869"/>
      <c r="D14" s="869"/>
      <c r="E14" s="869"/>
      <c r="F14" s="265">
        <f>ROUND(SUM(F12:F13),2)</f>
        <v>6431.98</v>
      </c>
      <c r="G14" s="626"/>
      <c r="H14" s="269"/>
      <c r="I14" s="270"/>
    </row>
    <row r="15" spans="1:9" ht="19.5" customHeight="1" x14ac:dyDescent="0.2">
      <c r="A15" s="870" t="s">
        <v>156</v>
      </c>
      <c r="B15" s="870"/>
      <c r="C15" s="870"/>
      <c r="D15" s="870"/>
      <c r="E15" s="870"/>
      <c r="F15" s="870"/>
      <c r="G15" s="870"/>
      <c r="H15" s="870"/>
      <c r="I15" s="870"/>
    </row>
    <row r="16" spans="1:9" ht="19.5" customHeight="1" x14ac:dyDescent="0.2">
      <c r="A16" s="880" t="s">
        <v>157</v>
      </c>
      <c r="B16" s="880"/>
      <c r="C16" s="271" t="s">
        <v>158</v>
      </c>
      <c r="D16" s="881" t="s">
        <v>159</v>
      </c>
      <c r="E16" s="881"/>
      <c r="F16" s="881"/>
      <c r="G16" s="882"/>
      <c r="H16" s="881"/>
      <c r="I16" s="881"/>
    </row>
    <row r="17" spans="1:9" ht="19.5" customHeight="1" x14ac:dyDescent="0.2">
      <c r="A17" s="877" t="s">
        <v>93</v>
      </c>
      <c r="B17" s="877"/>
      <c r="C17" s="272"/>
      <c r="D17" s="129"/>
      <c r="E17" s="130"/>
      <c r="F17" s="118">
        <f>Dados!$I$17</f>
        <v>53.87</v>
      </c>
      <c r="G17" s="625"/>
      <c r="H17" s="119"/>
      <c r="I17" s="120"/>
    </row>
    <row r="18" spans="1:9" ht="19.5" customHeight="1" x14ac:dyDescent="0.2">
      <c r="A18" s="877" t="s">
        <v>160</v>
      </c>
      <c r="B18" s="877"/>
      <c r="C18" s="272"/>
      <c r="D18" s="129"/>
      <c r="E18" s="273"/>
      <c r="F18" s="118">
        <f>Dados!G35</f>
        <v>2.2000000000000002</v>
      </c>
      <c r="G18" s="625"/>
      <c r="H18" s="119"/>
      <c r="I18" s="120"/>
    </row>
    <row r="19" spans="1:9" ht="25.5" customHeight="1" x14ac:dyDescent="0.2">
      <c r="A19" s="878" t="s">
        <v>103</v>
      </c>
      <c r="B19" s="878"/>
      <c r="C19" s="272"/>
      <c r="D19" s="129"/>
      <c r="E19" s="274"/>
      <c r="F19" s="118">
        <f>Dados!$G$36</f>
        <v>66.099999999999994</v>
      </c>
      <c r="G19" s="625"/>
      <c r="H19" s="119"/>
      <c r="I19" s="120"/>
    </row>
    <row r="20" spans="1:9" ht="25.5" customHeight="1" x14ac:dyDescent="0.2">
      <c r="A20" s="879" t="s">
        <v>105</v>
      </c>
      <c r="B20" s="879"/>
      <c r="C20" s="119">
        <f>Dados!$G$38</f>
        <v>22</v>
      </c>
      <c r="D20" s="272">
        <f>Dados!$G$37</f>
        <v>24.54</v>
      </c>
      <c r="E20" s="275">
        <f>Dados!$G$39</f>
        <v>0.2</v>
      </c>
      <c r="F20" s="118">
        <f>ROUND((IF(D10&gt;150,((C20*D20)-(E20*(C20*D20))),0)),2)</f>
        <v>0</v>
      </c>
      <c r="G20" s="625">
        <f>F20</f>
        <v>0</v>
      </c>
      <c r="H20" s="119"/>
      <c r="I20" s="120"/>
    </row>
    <row r="21" spans="1:9" ht="19.5" customHeight="1" x14ac:dyDescent="0.2">
      <c r="A21" s="877" t="s">
        <v>207</v>
      </c>
      <c r="B21" s="877"/>
      <c r="C21" s="119">
        <f>Dados!$G$44</f>
        <v>22</v>
      </c>
      <c r="D21" s="119">
        <f>Dados!$G$43</f>
        <v>7.1</v>
      </c>
      <c r="E21" s="130">
        <f>Dados!$G$41</f>
        <v>4.5</v>
      </c>
      <c r="F21" s="118">
        <f>ROUND((($C$21*$D$21*Dados!$G$42)+($C$21*$E$21*Dados!$G$40) -(F10*Dados!$G$45)),2)</f>
        <v>294.86</v>
      </c>
      <c r="G21" s="625"/>
      <c r="H21" s="119"/>
      <c r="I21" s="120">
        <f>F21</f>
        <v>294.86</v>
      </c>
    </row>
    <row r="22" spans="1:9" ht="19.5" customHeight="1" x14ac:dyDescent="0.2">
      <c r="A22" s="877" t="str">
        <f>Dados!B46</f>
        <v>Outros (inserir somente com a justificativa legal)</v>
      </c>
      <c r="B22" s="877"/>
      <c r="C22" s="119">
        <v>1</v>
      </c>
      <c r="D22" s="119">
        <f>Dados!$G$46</f>
        <v>0</v>
      </c>
      <c r="E22" s="130"/>
      <c r="F22" s="118">
        <f>ROUND((C22*D22),2)</f>
        <v>0</v>
      </c>
      <c r="G22" s="625"/>
      <c r="H22" s="119"/>
      <c r="I22" s="120"/>
    </row>
    <row r="23" spans="1:9" ht="19.5" customHeight="1" x14ac:dyDescent="0.2">
      <c r="A23" s="877" t="str">
        <f>Dados!B47</f>
        <v>Outros (inserir somente com a justificativa legal)</v>
      </c>
      <c r="B23" s="877"/>
      <c r="C23" s="119">
        <v>1</v>
      </c>
      <c r="D23" s="119">
        <f>Dados!$G$47</f>
        <v>0</v>
      </c>
      <c r="E23" s="130"/>
      <c r="F23" s="118">
        <f>ROUND((C23*D23),2)</f>
        <v>0</v>
      </c>
      <c r="G23" s="625"/>
      <c r="H23" s="119"/>
      <c r="I23" s="120"/>
    </row>
    <row r="24" spans="1:9" ht="24.75" customHeight="1" x14ac:dyDescent="0.2">
      <c r="A24" s="869" t="s">
        <v>163</v>
      </c>
      <c r="B24" s="869"/>
      <c r="C24" s="869"/>
      <c r="D24" s="869"/>
      <c r="E24" s="869"/>
      <c r="F24" s="265">
        <f>SUM(F17:F23)</f>
        <v>417.03</v>
      </c>
      <c r="G24" s="265">
        <f>SUM(G17:G23)</f>
        <v>0</v>
      </c>
      <c r="H24" s="269">
        <f>SUM($H$17:$H$23)</f>
        <v>0</v>
      </c>
      <c r="I24" s="270">
        <f>SUM($I$17:$I$23)</f>
        <v>294.86</v>
      </c>
    </row>
    <row r="25" spans="1:9" ht="24.75" customHeight="1" x14ac:dyDescent="0.2">
      <c r="A25" s="869" t="s">
        <v>164</v>
      </c>
      <c r="B25" s="869"/>
      <c r="C25" s="869"/>
      <c r="D25" s="869"/>
      <c r="E25" s="869"/>
      <c r="F25" s="265">
        <f>$F$14+$F$24</f>
        <v>6849.0099999999993</v>
      </c>
      <c r="G25" s="265">
        <f>$G$14+$G$24</f>
        <v>0</v>
      </c>
      <c r="H25" s="269">
        <f>$H$14+$H$24</f>
        <v>0</v>
      </c>
      <c r="I25" s="270">
        <f>$I$14+$I$24</f>
        <v>294.86</v>
      </c>
    </row>
    <row r="26" spans="1:9" ht="19.5" customHeight="1" x14ac:dyDescent="0.2">
      <c r="A26" s="870" t="s">
        <v>165</v>
      </c>
      <c r="B26" s="870"/>
      <c r="C26" s="870"/>
      <c r="D26" s="870"/>
      <c r="E26" s="870"/>
      <c r="F26" s="870"/>
      <c r="G26" s="870"/>
      <c r="H26" s="870"/>
      <c r="I26" s="870"/>
    </row>
    <row r="27" spans="1:9" ht="19.5" customHeight="1" x14ac:dyDescent="0.2">
      <c r="A27" s="873" t="s">
        <v>166</v>
      </c>
      <c r="B27" s="873"/>
      <c r="C27" s="873"/>
      <c r="D27" s="874" t="s">
        <v>167</v>
      </c>
      <c r="E27" s="874"/>
      <c r="F27" s="875" t="s">
        <v>152</v>
      </c>
      <c r="G27" s="876"/>
      <c r="H27" s="875"/>
      <c r="I27" s="875"/>
    </row>
    <row r="28" spans="1:9" ht="19.5" customHeight="1" x14ac:dyDescent="0.2">
      <c r="A28" s="126" t="s">
        <v>168</v>
      </c>
      <c r="B28" s="127"/>
      <c r="C28" s="127"/>
      <c r="D28" s="129">
        <f>Dados!$G$50</f>
        <v>0.03</v>
      </c>
      <c r="E28" s="117"/>
      <c r="F28" s="118">
        <f>ROUND(($F$25*$D$28),2)</f>
        <v>205.47</v>
      </c>
      <c r="G28" s="625">
        <f>ROUND(($G$25*$D$28),2)</f>
        <v>0</v>
      </c>
      <c r="H28" s="119">
        <f>ROUND((H25*D28),2)</f>
        <v>0</v>
      </c>
      <c r="I28" s="120">
        <f>ROUND(($I$25*$D$28),2)</f>
        <v>8.85</v>
      </c>
    </row>
    <row r="29" spans="1:9" ht="19.5" customHeight="1" x14ac:dyDescent="0.2">
      <c r="A29" s="868" t="s">
        <v>169</v>
      </c>
      <c r="B29" s="868"/>
      <c r="C29" s="868"/>
      <c r="D29" s="129"/>
      <c r="E29" s="117"/>
      <c r="F29" s="118">
        <f>$F$25+$F$28</f>
        <v>7054.48</v>
      </c>
      <c r="G29" s="625">
        <f>$G$28+$G$25</f>
        <v>0</v>
      </c>
      <c r="H29" s="119">
        <f>H25+H28</f>
        <v>0</v>
      </c>
      <c r="I29" s="120">
        <f>$I$25+$I$28</f>
        <v>303.71000000000004</v>
      </c>
    </row>
    <row r="30" spans="1:9" ht="19.5" customHeight="1" x14ac:dyDescent="0.2">
      <c r="A30" s="126" t="s">
        <v>108</v>
      </c>
      <c r="B30" s="127"/>
      <c r="C30" s="127"/>
      <c r="D30" s="129">
        <f>Dados!$G$51</f>
        <v>6.7900000000000002E-2</v>
      </c>
      <c r="E30" s="117">
        <f>$F$25+$F$28</f>
        <v>7054.48</v>
      </c>
      <c r="F30" s="118">
        <f>ROUND(($E$30*$D$30),2)</f>
        <v>479</v>
      </c>
      <c r="G30" s="625">
        <f>ROUND(($G$29*$D$30),2)</f>
        <v>0</v>
      </c>
      <c r="H30" s="119">
        <f>ROUND((H29*D30),2)</f>
        <v>0</v>
      </c>
      <c r="I30" s="120">
        <f>ROUND(($I$29*$D$30),2)</f>
        <v>20.62</v>
      </c>
    </row>
    <row r="31" spans="1:9" ht="24.75" customHeight="1" x14ac:dyDescent="0.2">
      <c r="A31" s="276" t="s">
        <v>170</v>
      </c>
      <c r="B31" s="277"/>
      <c r="C31" s="277"/>
      <c r="D31" s="278">
        <f>SUM($D$28:$D$30)</f>
        <v>9.7900000000000001E-2</v>
      </c>
      <c r="E31" s="279"/>
      <c r="F31" s="265">
        <f>$F$28+$F$30</f>
        <v>684.47</v>
      </c>
      <c r="G31" s="626">
        <f>$G$28+$G$30</f>
        <v>0</v>
      </c>
      <c r="H31" s="269">
        <f>H28+H30</f>
        <v>0</v>
      </c>
      <c r="I31" s="270">
        <f>$I$28+$I$30</f>
        <v>29.47</v>
      </c>
    </row>
    <row r="32" spans="1:9" ht="24.75" customHeight="1" x14ac:dyDescent="0.2">
      <c r="A32" s="869" t="s">
        <v>171</v>
      </c>
      <c r="B32" s="869"/>
      <c r="C32" s="869"/>
      <c r="D32" s="869"/>
      <c r="E32" s="869"/>
      <c r="F32" s="265">
        <f>$F$14+$F$24+$F$31</f>
        <v>7533.48</v>
      </c>
      <c r="G32" s="626">
        <f>$G$14+$G$24+$G$31</f>
        <v>0</v>
      </c>
      <c r="H32" s="269">
        <f>H14+H24+H31</f>
        <v>0</v>
      </c>
      <c r="I32" s="270">
        <f>$I$14+$I$24+$I$31</f>
        <v>324.33000000000004</v>
      </c>
    </row>
    <row r="33" spans="1:9" ht="19.5" customHeight="1" x14ac:dyDescent="0.2">
      <c r="A33" s="870" t="s">
        <v>172</v>
      </c>
      <c r="B33" s="870"/>
      <c r="C33" s="870"/>
      <c r="D33" s="870"/>
      <c r="E33" s="870"/>
      <c r="F33" s="870"/>
      <c r="G33" s="870"/>
      <c r="H33" s="870"/>
      <c r="I33" s="870"/>
    </row>
    <row r="34" spans="1:9" ht="19.5" customHeight="1" x14ac:dyDescent="0.2">
      <c r="A34" s="126" t="s">
        <v>109</v>
      </c>
      <c r="B34" s="127"/>
      <c r="C34" s="128"/>
      <c r="D34" s="129">
        <f>Dados!$G$58</f>
        <v>7.5999999999999998E-2</v>
      </c>
      <c r="E34" s="130"/>
      <c r="F34" s="118">
        <f>ROUND(($F$39*$D$34),2)</f>
        <v>667.69</v>
      </c>
      <c r="G34" s="625">
        <f>ROUND(($G$39*$D$34),2)</f>
        <v>0</v>
      </c>
      <c r="H34" s="119">
        <f>ROUND(($H$39*$D$34),2)</f>
        <v>0</v>
      </c>
      <c r="I34" s="120">
        <f>ROUND(($I$39*$D$34),2)</f>
        <v>28.75</v>
      </c>
    </row>
    <row r="35" spans="1:9" ht="19.5" customHeight="1" x14ac:dyDescent="0.2">
      <c r="A35" s="126" t="s">
        <v>110</v>
      </c>
      <c r="B35" s="127"/>
      <c r="C35" s="128"/>
      <c r="D35" s="129">
        <f>Dados!$G$59</f>
        <v>1.6500000000000001E-2</v>
      </c>
      <c r="E35" s="130"/>
      <c r="F35" s="118">
        <f>ROUND(($F$39*$D$35),2)</f>
        <v>144.96</v>
      </c>
      <c r="G35" s="625">
        <f>ROUND(($G$39*$D$35),2)</f>
        <v>0</v>
      </c>
      <c r="H35" s="119">
        <f>ROUND(($H$39*$D$35),2)</f>
        <v>0</v>
      </c>
      <c r="I35" s="120">
        <f>ROUND(($I$39*$D$35),2)</f>
        <v>6.24</v>
      </c>
    </row>
    <row r="36" spans="1:9" ht="19.5" customHeight="1" x14ac:dyDescent="0.2">
      <c r="A36" s="126" t="s">
        <v>111</v>
      </c>
      <c r="B36" s="127"/>
      <c r="C36" s="128"/>
      <c r="D36" s="129">
        <f>Dados!$G$60</f>
        <v>0.05</v>
      </c>
      <c r="E36" s="130"/>
      <c r="F36" s="118">
        <f>ROUND(($F$39*$D$36),2)</f>
        <v>439.27</v>
      </c>
      <c r="G36" s="625">
        <f>ROUND(($G$39*$D$36),2)</f>
        <v>0</v>
      </c>
      <c r="H36" s="119">
        <f>ROUND(($H$39*$D$36),2)</f>
        <v>0</v>
      </c>
      <c r="I36" s="120">
        <f>ROUND(($I$39*$D$36),2)</f>
        <v>18.91</v>
      </c>
    </row>
    <row r="37" spans="1:9" ht="19.5" customHeight="1" x14ac:dyDescent="0.2">
      <c r="A37" s="126" t="str">
        <f>Dados!B61</f>
        <v>Outros (inserir somente com a justificativa legal)</v>
      </c>
      <c r="B37" s="127"/>
      <c r="C37" s="128"/>
      <c r="D37" s="129">
        <f>Dados!G61</f>
        <v>0</v>
      </c>
      <c r="E37" s="130"/>
      <c r="F37" s="118">
        <f>ROUND((F39*$D$37),2)</f>
        <v>0</v>
      </c>
      <c r="G37" s="118">
        <f t="shared" ref="G37:I37" si="0">ROUND((G39*$D$37),2)</f>
        <v>0</v>
      </c>
      <c r="H37" s="118">
        <f t="shared" si="0"/>
        <v>0</v>
      </c>
      <c r="I37" s="118">
        <f t="shared" si="0"/>
        <v>0</v>
      </c>
    </row>
    <row r="38" spans="1:9" ht="30" customHeight="1" thickBot="1" x14ac:dyDescent="0.25">
      <c r="A38" s="276" t="s">
        <v>173</v>
      </c>
      <c r="B38" s="277"/>
      <c r="C38" s="280"/>
      <c r="D38" s="278">
        <f>SUM(D34:D37)</f>
        <v>0.14250000000000002</v>
      </c>
      <c r="E38" s="281"/>
      <c r="F38" s="265">
        <f>SUM(F34:F37)</f>
        <v>1251.92</v>
      </c>
      <c r="G38" s="265">
        <f>SUM(G34:G37)</f>
        <v>0</v>
      </c>
      <c r="H38" s="265">
        <f t="shared" ref="H38:I38" si="1">SUM(H34:H37)</f>
        <v>0</v>
      </c>
      <c r="I38" s="282">
        <f t="shared" si="1"/>
        <v>53.900000000000006</v>
      </c>
    </row>
    <row r="39" spans="1:9" ht="34.5" hidden="1" customHeight="1" thickBot="1" x14ac:dyDescent="0.25">
      <c r="A39" s="871" t="str">
        <f>A7</f>
        <v>Operador e Editor de Áudio e Vídeo - 150</v>
      </c>
      <c r="B39" s="871"/>
      <c r="C39" s="871"/>
      <c r="D39" s="871"/>
      <c r="E39" s="871"/>
      <c r="F39" s="283">
        <f>ROUND($F$32/(1-$D$38),2)</f>
        <v>8785.4</v>
      </c>
      <c r="G39" s="627">
        <f>ROUND($G$32/(1-$D$38),2)</f>
        <v>0</v>
      </c>
      <c r="H39" s="284">
        <f>ROUND($H$32/(1-$D$38),2)</f>
        <v>0</v>
      </c>
      <c r="I39" s="285">
        <f>ROUND($I$32/(1-$D$38),2)</f>
        <v>378.23</v>
      </c>
    </row>
    <row r="40" spans="1:9" ht="30" customHeight="1" thickBot="1" x14ac:dyDescent="0.25">
      <c r="A40" s="872" t="str">
        <f>A7</f>
        <v>Operador e Editor de Áudio e Vídeo - 150</v>
      </c>
      <c r="B40" s="872"/>
      <c r="C40" s="872"/>
      <c r="D40" s="872"/>
      <c r="E40" s="872"/>
      <c r="F40" s="29">
        <f>$F$39</f>
        <v>8785.4</v>
      </c>
      <c r="G40" s="628">
        <f>$G$39</f>
        <v>0</v>
      </c>
      <c r="H40" s="25">
        <f>$H$39</f>
        <v>0</v>
      </c>
      <c r="I40" s="26">
        <f>$I$39</f>
        <v>378.23</v>
      </c>
    </row>
    <row r="41" spans="1:9" ht="29.25" customHeight="1" thickBot="1" x14ac:dyDescent="0.25">
      <c r="A41" s="867" t="s">
        <v>174</v>
      </c>
      <c r="B41" s="867"/>
      <c r="C41" s="867"/>
      <c r="D41" s="867"/>
      <c r="E41" s="867"/>
      <c r="F41" s="30">
        <f>($F$40/$F$12)/100</f>
        <v>2.4456334138764236E-2</v>
      </c>
      <c r="G41" s="629"/>
      <c r="H41" s="27"/>
      <c r="I41" s="28"/>
    </row>
    <row r="42" spans="1:9" ht="24" customHeight="1" x14ac:dyDescent="0.2"/>
  </sheetData>
  <sheetProtection algorithmName="SHA-512" hashValue="gI0ghnEHXqWfRsBNEJJjfUxaOVFLZZVHBLdzCv4YamdZ4I58jVQK6Kqkh1gE9iT8IZYPjFxNfRq1mmxqmpcRwg==" saltValue="5VaHZRb+QRfDGPlGuHh2xQ=="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showGridLines="0" zoomScale="80" zoomScaleNormal="80" workbookViewId="0">
      <selection activeCell="H30" sqref="H30"/>
    </sheetView>
  </sheetViews>
  <sheetFormatPr defaultColWidth="9" defaultRowHeight="12.75" x14ac:dyDescent="0.2"/>
  <cols>
    <col min="1" max="1" width="11.33203125" customWidth="1"/>
    <col min="2" max="2" width="28.83203125" customWidth="1"/>
    <col min="3" max="3" width="11" customWidth="1"/>
    <col min="4" max="5" width="17.5" customWidth="1"/>
    <col min="6" max="8" width="17.83203125" style="16" customWidth="1"/>
    <col min="9" max="9" width="17.83203125" customWidth="1"/>
  </cols>
  <sheetData>
    <row r="1" spans="1:16" x14ac:dyDescent="0.2">
      <c r="A1" s="63"/>
      <c r="B1" s="345" t="s">
        <v>0</v>
      </c>
      <c r="C1" s="64"/>
      <c r="D1" s="64"/>
      <c r="E1" s="64"/>
      <c r="F1" s="65"/>
      <c r="G1" s="65"/>
      <c r="H1" s="65"/>
      <c r="I1" s="66"/>
      <c r="J1" s="35"/>
      <c r="K1" s="35"/>
      <c r="L1" s="35"/>
      <c r="M1" s="35"/>
      <c r="N1" s="35"/>
      <c r="O1" s="35"/>
      <c r="P1" s="35"/>
    </row>
    <row r="2" spans="1:16" x14ac:dyDescent="0.2">
      <c r="A2" s="67"/>
      <c r="B2" s="346" t="s">
        <v>210</v>
      </c>
      <c r="C2" s="60"/>
      <c r="D2" s="60"/>
      <c r="E2" s="60"/>
      <c r="F2" s="108"/>
      <c r="G2" s="108"/>
      <c r="H2" s="108"/>
      <c r="I2" s="68"/>
      <c r="J2" s="35"/>
      <c r="K2" s="35"/>
      <c r="L2" s="35"/>
      <c r="M2" s="35"/>
      <c r="N2" s="35"/>
      <c r="O2" s="35"/>
      <c r="P2" s="35"/>
    </row>
    <row r="3" spans="1:16" ht="13.5" thickBot="1" x14ac:dyDescent="0.25">
      <c r="A3" s="69"/>
      <c r="B3" s="346" t="s">
        <v>1</v>
      </c>
      <c r="C3" s="60"/>
      <c r="D3" s="60"/>
      <c r="E3" s="60"/>
      <c r="F3" s="108"/>
      <c r="G3" s="108"/>
      <c r="H3" s="108"/>
      <c r="I3" s="68"/>
      <c r="J3" s="35"/>
      <c r="K3" s="35"/>
      <c r="L3" s="35"/>
      <c r="M3" s="35"/>
      <c r="N3" s="35"/>
      <c r="O3" s="35"/>
      <c r="P3" s="35"/>
    </row>
    <row r="4" spans="1:16" ht="32.25" customHeight="1" x14ac:dyDescent="0.2">
      <c r="A4" s="843" t="s">
        <v>143</v>
      </c>
      <c r="B4" s="843"/>
      <c r="C4" s="843"/>
      <c r="D4" s="843"/>
      <c r="E4" s="843"/>
      <c r="F4" s="843"/>
      <c r="G4" s="843"/>
      <c r="H4" s="843"/>
      <c r="I4" s="843"/>
      <c r="J4" s="35"/>
      <c r="K4" s="35"/>
      <c r="L4" s="35"/>
      <c r="M4" s="35"/>
      <c r="N4" s="35"/>
      <c r="O4" s="35"/>
      <c r="P4" s="35"/>
    </row>
    <row r="5" spans="1:16"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c r="O5" s="35"/>
      <c r="P5" s="35"/>
    </row>
    <row r="6" spans="1:16" ht="22.5" customHeight="1" thickBot="1" x14ac:dyDescent="0.25">
      <c r="A6" s="844" t="s">
        <v>2</v>
      </c>
      <c r="B6" s="844"/>
      <c r="C6" s="844"/>
      <c r="D6" s="844"/>
      <c r="E6" s="844"/>
      <c r="F6" s="844"/>
      <c r="G6" s="844"/>
      <c r="H6" s="844"/>
      <c r="I6" s="844"/>
      <c r="J6" s="35"/>
      <c r="K6" s="35"/>
      <c r="L6" s="35"/>
      <c r="M6" s="35"/>
      <c r="N6" s="35"/>
      <c r="O6" s="35"/>
      <c r="P6" s="35"/>
    </row>
    <row r="7" spans="1:16" ht="30" customHeight="1" thickBot="1" x14ac:dyDescent="0.25">
      <c r="A7" s="852" t="str">
        <f>Dados!$B$18&amp;" - "&amp;$D$10</f>
        <v>Recepcionista  - 220</v>
      </c>
      <c r="B7" s="853"/>
      <c r="C7" s="853"/>
      <c r="D7" s="853"/>
      <c r="E7" s="854"/>
      <c r="F7" s="845" t="s">
        <v>144</v>
      </c>
      <c r="G7" s="855" t="s">
        <v>471</v>
      </c>
      <c r="H7" s="846" t="s">
        <v>145</v>
      </c>
      <c r="I7" s="847" t="s">
        <v>146</v>
      </c>
      <c r="J7" s="35"/>
      <c r="K7" s="35"/>
      <c r="L7" s="35"/>
      <c r="M7" s="35"/>
      <c r="N7" s="35"/>
      <c r="O7" s="35"/>
      <c r="P7" s="35"/>
    </row>
    <row r="8" spans="1:16" ht="18" customHeight="1" thickBot="1" x14ac:dyDescent="0.25">
      <c r="A8" s="848" t="s">
        <v>147</v>
      </c>
      <c r="B8" s="848"/>
      <c r="C8" s="848"/>
      <c r="D8" s="848"/>
      <c r="E8" s="228" t="s">
        <v>88</v>
      </c>
      <c r="F8" s="845"/>
      <c r="G8" s="856"/>
      <c r="H8" s="846"/>
      <c r="I8" s="847"/>
      <c r="J8" s="35"/>
      <c r="K8" s="35"/>
      <c r="L8" s="35"/>
      <c r="M8" s="35"/>
      <c r="N8" s="35"/>
      <c r="O8" s="35"/>
      <c r="P8" s="35"/>
    </row>
    <row r="9" spans="1:16" ht="24.75" customHeight="1" x14ac:dyDescent="0.2">
      <c r="A9" s="229" t="s">
        <v>148</v>
      </c>
      <c r="B9" s="835" t="s">
        <v>149</v>
      </c>
      <c r="C9" s="835"/>
      <c r="D9" s="230" t="s">
        <v>150</v>
      </c>
      <c r="E9" s="70" t="s">
        <v>151</v>
      </c>
      <c r="F9" s="864" t="s">
        <v>152</v>
      </c>
      <c r="G9" s="865"/>
      <c r="H9" s="864"/>
      <c r="I9" s="864"/>
      <c r="J9" s="35"/>
      <c r="K9" s="35"/>
      <c r="L9" s="35"/>
      <c r="M9" s="35"/>
      <c r="N9" s="35"/>
      <c r="O9" s="35"/>
      <c r="P9" s="35"/>
    </row>
    <row r="10" spans="1:16" ht="26.25" customHeight="1" x14ac:dyDescent="0.2">
      <c r="A10" s="837">
        <v>1</v>
      </c>
      <c r="B10" s="838" t="str">
        <f>A7</f>
        <v>Recepcionista  - 220</v>
      </c>
      <c r="C10" s="838"/>
      <c r="D10" s="231">
        <f>Dados!$C$18</f>
        <v>220</v>
      </c>
      <c r="E10" s="125">
        <f>Dados!$E$18</f>
        <v>2472.6799999999998</v>
      </c>
      <c r="F10" s="113">
        <f>ROUND(E10/220*D10,2)</f>
        <v>2472.6799999999998</v>
      </c>
      <c r="G10" s="619"/>
      <c r="H10" s="232"/>
      <c r="I10" s="115"/>
      <c r="J10" s="35"/>
      <c r="K10" s="35"/>
      <c r="L10" s="35"/>
      <c r="M10" s="35"/>
      <c r="N10" s="35"/>
      <c r="O10" s="35"/>
      <c r="P10" s="35"/>
    </row>
    <row r="11" spans="1:16" ht="24" customHeight="1" x14ac:dyDescent="0.2">
      <c r="A11" s="837"/>
      <c r="B11" s="841"/>
      <c r="C11" s="842"/>
      <c r="D11" s="233"/>
      <c r="E11" s="234"/>
      <c r="F11" s="113">
        <f>ROUND(((E11/220*D10)*C11)*D11,2)</f>
        <v>0</v>
      </c>
      <c r="G11" s="613"/>
      <c r="H11" s="114"/>
      <c r="I11" s="235"/>
      <c r="J11" s="35"/>
      <c r="K11" s="35"/>
      <c r="L11" s="35"/>
      <c r="M11" s="35"/>
      <c r="N11" s="35"/>
      <c r="O11" s="35"/>
      <c r="P11" s="35"/>
    </row>
    <row r="12" spans="1:16" ht="19.5" customHeight="1" x14ac:dyDescent="0.2">
      <c r="A12" s="837"/>
      <c r="B12" s="839" t="s">
        <v>153</v>
      </c>
      <c r="C12" s="839"/>
      <c r="D12" s="839"/>
      <c r="E12" s="839"/>
      <c r="F12" s="236">
        <f>F10+F11</f>
        <v>2472.6799999999998</v>
      </c>
      <c r="G12" s="614"/>
      <c r="H12" s="237"/>
      <c r="I12" s="238"/>
      <c r="J12" s="35"/>
      <c r="K12" s="35"/>
      <c r="L12" s="35"/>
      <c r="M12" s="35"/>
      <c r="N12" s="35"/>
      <c r="O12" s="35"/>
      <c r="P12" s="35"/>
    </row>
    <row r="13" spans="1:16" ht="19.5" customHeight="1" x14ac:dyDescent="0.2">
      <c r="A13" s="837"/>
      <c r="B13" s="840" t="s">
        <v>154</v>
      </c>
      <c r="C13" s="840"/>
      <c r="D13" s="840"/>
      <c r="E13" s="239">
        <f>Dados!G28</f>
        <v>0.79049999999999998</v>
      </c>
      <c r="F13" s="113">
        <f>(ROUND((E13*F12),2))</f>
        <v>1954.65</v>
      </c>
      <c r="G13" s="613"/>
      <c r="H13" s="114"/>
      <c r="I13" s="115"/>
      <c r="J13" s="35"/>
      <c r="K13" s="35"/>
      <c r="L13" s="35"/>
      <c r="M13" s="35"/>
      <c r="N13" s="35"/>
      <c r="O13" s="35"/>
      <c r="P13" s="35"/>
    </row>
    <row r="14" spans="1:16" ht="24.75" customHeight="1" x14ac:dyDescent="0.2">
      <c r="A14" s="821" t="s">
        <v>155</v>
      </c>
      <c r="B14" s="821"/>
      <c r="C14" s="821"/>
      <c r="D14" s="821"/>
      <c r="E14" s="821"/>
      <c r="F14" s="236">
        <f>ROUND(SUM(F12:F13),2)</f>
        <v>4427.33</v>
      </c>
      <c r="G14" s="615"/>
      <c r="H14" s="240"/>
      <c r="I14" s="238"/>
      <c r="J14" s="35"/>
      <c r="K14" s="35"/>
      <c r="L14" s="35"/>
      <c r="M14" s="35"/>
      <c r="N14" s="35"/>
      <c r="O14" s="35"/>
      <c r="P14" s="35"/>
    </row>
    <row r="15" spans="1:16" ht="19.5" customHeight="1" x14ac:dyDescent="0.2">
      <c r="A15" s="822" t="s">
        <v>156</v>
      </c>
      <c r="B15" s="822"/>
      <c r="C15" s="822"/>
      <c r="D15" s="822"/>
      <c r="E15" s="822"/>
      <c r="F15" s="822"/>
      <c r="G15" s="822"/>
      <c r="H15" s="822"/>
      <c r="I15" s="822"/>
      <c r="J15" s="35"/>
      <c r="K15" s="35"/>
      <c r="L15" s="35"/>
      <c r="M15" s="35"/>
      <c r="N15" s="35"/>
      <c r="O15" s="35"/>
      <c r="P15" s="35"/>
    </row>
    <row r="16" spans="1:16" ht="19.5" customHeight="1" x14ac:dyDescent="0.2">
      <c r="A16" s="832" t="s">
        <v>157</v>
      </c>
      <c r="B16" s="832"/>
      <c r="C16" s="241" t="s">
        <v>158</v>
      </c>
      <c r="D16" s="833" t="s">
        <v>152</v>
      </c>
      <c r="E16" s="833"/>
      <c r="F16" s="833"/>
      <c r="G16" s="834"/>
      <c r="H16" s="833"/>
      <c r="I16" s="833"/>
      <c r="J16" s="35"/>
      <c r="K16" s="35"/>
      <c r="L16" s="35"/>
      <c r="M16" s="35"/>
      <c r="N16" s="35"/>
      <c r="O16" s="35"/>
      <c r="P16" s="35"/>
    </row>
    <row r="17" spans="1:16" ht="19.5" customHeight="1" x14ac:dyDescent="0.2">
      <c r="A17" s="829" t="s">
        <v>93</v>
      </c>
      <c r="B17" s="829"/>
      <c r="C17" s="242"/>
      <c r="D17" s="124"/>
      <c r="E17" s="125"/>
      <c r="F17" s="113">
        <f>Dados!$I$18</f>
        <v>72.650000000000006</v>
      </c>
      <c r="G17" s="613"/>
      <c r="H17" s="114"/>
      <c r="I17" s="115"/>
      <c r="J17" s="35"/>
      <c r="K17" s="35"/>
      <c r="L17" s="35"/>
      <c r="M17" s="35"/>
      <c r="N17" s="35"/>
      <c r="O17" s="35"/>
      <c r="P17" s="35"/>
    </row>
    <row r="18" spans="1:16" ht="19.5" customHeight="1" x14ac:dyDescent="0.2">
      <c r="A18" s="829" t="s">
        <v>160</v>
      </c>
      <c r="B18" s="829"/>
      <c r="C18" s="242"/>
      <c r="D18" s="124"/>
      <c r="E18" s="243"/>
      <c r="F18" s="113">
        <f>Dados!$G$35</f>
        <v>2.2000000000000002</v>
      </c>
      <c r="G18" s="613"/>
      <c r="H18" s="114"/>
      <c r="I18" s="115"/>
      <c r="J18" s="35"/>
      <c r="K18" s="35"/>
      <c r="L18" s="35"/>
      <c r="M18" s="35"/>
      <c r="N18" s="35"/>
      <c r="O18" s="35"/>
      <c r="P18" s="35"/>
    </row>
    <row r="19" spans="1:16" ht="25.5" customHeight="1" x14ac:dyDescent="0.2">
      <c r="A19" s="830" t="s">
        <v>103</v>
      </c>
      <c r="B19" s="830"/>
      <c r="C19" s="242"/>
      <c r="D19" s="124"/>
      <c r="E19" s="244"/>
      <c r="F19" s="113">
        <f>Dados!$G$36</f>
        <v>66.099999999999994</v>
      </c>
      <c r="G19" s="613"/>
      <c r="H19" s="114"/>
      <c r="I19" s="115"/>
      <c r="J19" s="35"/>
      <c r="K19" s="35"/>
      <c r="L19" s="35"/>
      <c r="M19" s="35"/>
      <c r="N19" s="35"/>
      <c r="O19" s="35"/>
      <c r="P19" s="35"/>
    </row>
    <row r="20" spans="1:16" ht="25.5" customHeight="1" x14ac:dyDescent="0.2">
      <c r="A20" s="831" t="s">
        <v>105</v>
      </c>
      <c r="B20" s="831"/>
      <c r="C20" s="114">
        <f>Dados!$G$38</f>
        <v>22</v>
      </c>
      <c r="D20" s="242">
        <f>Dados!$G$37</f>
        <v>24.54</v>
      </c>
      <c r="E20" s="245">
        <f>Dados!$G$39</f>
        <v>0.2</v>
      </c>
      <c r="F20" s="116">
        <f>ROUND((IF(D10&gt;150,((C20*D20)-(E20*(C20*D20))),0)),2)</f>
        <v>431.9</v>
      </c>
      <c r="G20" s="620">
        <f>F20</f>
        <v>431.9</v>
      </c>
      <c r="H20" s="114"/>
      <c r="I20" s="115"/>
      <c r="J20" s="35"/>
      <c r="K20" s="35"/>
      <c r="L20" s="35"/>
      <c r="M20" s="35"/>
      <c r="N20" s="35"/>
      <c r="O20" s="35"/>
      <c r="P20" s="35"/>
    </row>
    <row r="21" spans="1:16" ht="19.5" customHeight="1" x14ac:dyDescent="0.2">
      <c r="A21" s="829" t="s">
        <v>207</v>
      </c>
      <c r="B21" s="829"/>
      <c r="C21" s="114">
        <f>Dados!$G$44</f>
        <v>22</v>
      </c>
      <c r="D21" s="114">
        <f>Dados!$G$43</f>
        <v>7.1</v>
      </c>
      <c r="E21" s="125">
        <f>Dados!$G$41</f>
        <v>4.5</v>
      </c>
      <c r="F21" s="116">
        <f>ROUND((($C$21*$D$21*Dados!$G$42)+($C$21*$E$21*Dados!$G$40) -(F10*Dados!$G$45)),2)</f>
        <v>362.04</v>
      </c>
      <c r="G21" s="620"/>
      <c r="H21" s="114"/>
      <c r="I21" s="115">
        <f>F21</f>
        <v>362.04</v>
      </c>
      <c r="J21" s="35"/>
      <c r="K21" s="35"/>
      <c r="L21" s="35"/>
      <c r="M21" s="35"/>
      <c r="N21" s="35"/>
      <c r="O21" s="35"/>
      <c r="P21" s="35"/>
    </row>
    <row r="22" spans="1:16" ht="19.5" customHeight="1" x14ac:dyDescent="0.2">
      <c r="A22" s="829" t="str">
        <f>Dados!B46</f>
        <v>Outros (inserir somente com a justificativa legal)</v>
      </c>
      <c r="B22" s="829"/>
      <c r="C22" s="114">
        <v>1</v>
      </c>
      <c r="D22" s="114">
        <f>Dados!$G$46</f>
        <v>0</v>
      </c>
      <c r="E22" s="125"/>
      <c r="F22" s="116">
        <f>ROUND((C22*D22),2)</f>
        <v>0</v>
      </c>
      <c r="G22" s="620"/>
      <c r="H22" s="114"/>
      <c r="I22" s="115"/>
      <c r="J22" s="35"/>
      <c r="K22" s="35"/>
      <c r="L22" s="35"/>
      <c r="M22" s="35"/>
      <c r="N22" s="35"/>
      <c r="O22" s="35"/>
      <c r="P22" s="35"/>
    </row>
    <row r="23" spans="1:16" ht="19.5" customHeight="1" x14ac:dyDescent="0.2">
      <c r="A23" s="829" t="str">
        <f>Dados!B47</f>
        <v>Outros (inserir somente com a justificativa legal)</v>
      </c>
      <c r="B23" s="829"/>
      <c r="C23" s="114">
        <v>1</v>
      </c>
      <c r="D23" s="114">
        <f>Dados!$G$47</f>
        <v>0</v>
      </c>
      <c r="E23" s="125"/>
      <c r="F23" s="116">
        <f>ROUND((C23*D23),2)</f>
        <v>0</v>
      </c>
      <c r="G23" s="620"/>
      <c r="H23" s="114"/>
      <c r="I23" s="115"/>
      <c r="J23" s="35"/>
      <c r="K23" s="35"/>
      <c r="L23" s="35"/>
      <c r="M23" s="35"/>
      <c r="N23" s="35"/>
      <c r="O23" s="35"/>
      <c r="P23" s="35"/>
    </row>
    <row r="24" spans="1:16" ht="24.75" customHeight="1" x14ac:dyDescent="0.2">
      <c r="A24" s="821" t="s">
        <v>163</v>
      </c>
      <c r="B24" s="821"/>
      <c r="C24" s="821"/>
      <c r="D24" s="821"/>
      <c r="E24" s="821"/>
      <c r="F24" s="236">
        <f>SUM(F17:F23)</f>
        <v>934.88999999999987</v>
      </c>
      <c r="G24" s="236">
        <f>SUM(G17:G23)</f>
        <v>431.9</v>
      </c>
      <c r="H24" s="240">
        <f>SUM($H$17:$H$23)</f>
        <v>0</v>
      </c>
      <c r="I24" s="238">
        <f>SUM($I$17:$I$23)</f>
        <v>362.04</v>
      </c>
      <c r="J24" s="35"/>
      <c r="K24" s="35"/>
      <c r="L24" s="35"/>
      <c r="M24" s="35"/>
      <c r="N24" s="35"/>
      <c r="O24" s="35"/>
      <c r="P24" s="35"/>
    </row>
    <row r="25" spans="1:16" ht="24.75" customHeight="1" x14ac:dyDescent="0.2">
      <c r="A25" s="821" t="s">
        <v>164</v>
      </c>
      <c r="B25" s="821"/>
      <c r="C25" s="821"/>
      <c r="D25" s="821"/>
      <c r="E25" s="821"/>
      <c r="F25" s="236">
        <f>$F$14+$F$24</f>
        <v>5362.2199999999993</v>
      </c>
      <c r="G25" s="236">
        <f>$G$14+$G$24</f>
        <v>431.9</v>
      </c>
      <c r="H25" s="240">
        <f>$H$14+$H$24</f>
        <v>0</v>
      </c>
      <c r="I25" s="238">
        <f>$I$14+$I$24</f>
        <v>362.04</v>
      </c>
      <c r="J25" s="35"/>
      <c r="K25" s="35"/>
      <c r="L25" s="35"/>
      <c r="M25" s="35"/>
      <c r="N25" s="35"/>
      <c r="O25" s="35"/>
      <c r="P25" s="35"/>
    </row>
    <row r="26" spans="1:16" ht="19.5" customHeight="1" x14ac:dyDescent="0.2">
      <c r="A26" s="822" t="s">
        <v>165</v>
      </c>
      <c r="B26" s="822"/>
      <c r="C26" s="822"/>
      <c r="D26" s="822"/>
      <c r="E26" s="822"/>
      <c r="F26" s="822"/>
      <c r="G26" s="822"/>
      <c r="H26" s="822"/>
      <c r="I26" s="822"/>
      <c r="J26" s="35"/>
      <c r="K26" s="35"/>
      <c r="L26" s="35"/>
      <c r="M26" s="35"/>
      <c r="N26" s="35"/>
      <c r="O26" s="35"/>
      <c r="P26" s="35"/>
    </row>
    <row r="27" spans="1:16" ht="19.5" customHeight="1" x14ac:dyDescent="0.2">
      <c r="A27" s="825" t="s">
        <v>166</v>
      </c>
      <c r="B27" s="825"/>
      <c r="C27" s="825"/>
      <c r="D27" s="866" t="s">
        <v>167</v>
      </c>
      <c r="E27" s="866"/>
      <c r="F27" s="827" t="s">
        <v>152</v>
      </c>
      <c r="G27" s="828"/>
      <c r="H27" s="827"/>
      <c r="I27" s="827"/>
      <c r="J27" s="35"/>
      <c r="K27" s="35"/>
      <c r="L27" s="35"/>
      <c r="M27" s="35"/>
      <c r="N27" s="35"/>
      <c r="O27" s="35"/>
      <c r="P27" s="35"/>
    </row>
    <row r="28" spans="1:16" ht="19.5" customHeight="1" x14ac:dyDescent="0.2">
      <c r="A28" s="121" t="s">
        <v>168</v>
      </c>
      <c r="B28" s="122"/>
      <c r="C28" s="122"/>
      <c r="D28" s="124">
        <f>Dados!$G$50</f>
        <v>0.03</v>
      </c>
      <c r="E28" s="112"/>
      <c r="F28" s="113">
        <f>ROUND(($F$25*$D$28),2)</f>
        <v>160.87</v>
      </c>
      <c r="G28" s="613">
        <f>ROUND(($G$25*$D$28),2)</f>
        <v>12.96</v>
      </c>
      <c r="H28" s="114">
        <f>ROUND((H25*D28),2)</f>
        <v>0</v>
      </c>
      <c r="I28" s="115">
        <f>ROUND(($I$25*$D$28),2)</f>
        <v>10.86</v>
      </c>
      <c r="J28" s="35"/>
      <c r="K28" s="35"/>
      <c r="L28" s="35"/>
      <c r="M28" s="35"/>
      <c r="N28" s="35"/>
      <c r="O28" s="35"/>
      <c r="P28" s="35"/>
    </row>
    <row r="29" spans="1:16" ht="19.5" customHeight="1" x14ac:dyDescent="0.2">
      <c r="A29" s="820" t="s">
        <v>169</v>
      </c>
      <c r="B29" s="820"/>
      <c r="C29" s="820"/>
      <c r="D29" s="124"/>
      <c r="E29" s="112"/>
      <c r="F29" s="113">
        <f>$F$25+$F$28</f>
        <v>5523.0899999999992</v>
      </c>
      <c r="G29" s="613">
        <f>$G$28+$G$25</f>
        <v>444.85999999999996</v>
      </c>
      <c r="H29" s="114">
        <f>H25+H28</f>
        <v>0</v>
      </c>
      <c r="I29" s="115">
        <f>$I$25+$I$28</f>
        <v>372.90000000000003</v>
      </c>
      <c r="J29" s="35"/>
      <c r="K29" s="35"/>
      <c r="L29" s="35"/>
      <c r="M29" s="35"/>
      <c r="N29" s="35"/>
      <c r="O29" s="35"/>
      <c r="P29" s="35"/>
    </row>
    <row r="30" spans="1:16" ht="19.5" customHeight="1" x14ac:dyDescent="0.2">
      <c r="A30" s="121" t="s">
        <v>108</v>
      </c>
      <c r="B30" s="122"/>
      <c r="C30" s="122"/>
      <c r="D30" s="124">
        <f>Dados!$G$51</f>
        <v>6.7900000000000002E-2</v>
      </c>
      <c r="E30" s="112">
        <f>$F$25+$F$28</f>
        <v>5523.0899999999992</v>
      </c>
      <c r="F30" s="113">
        <f>ROUND(($E$30*$D$30),2)</f>
        <v>375.02</v>
      </c>
      <c r="G30" s="613">
        <f>ROUND(($G$29*$D$30),2)</f>
        <v>30.21</v>
      </c>
      <c r="H30" s="114">
        <f>ROUND((H29*D30),2)</f>
        <v>0</v>
      </c>
      <c r="I30" s="115">
        <f>ROUND(($I$29*$D$30),2)</f>
        <v>25.32</v>
      </c>
      <c r="J30" s="35"/>
      <c r="K30" s="35"/>
      <c r="L30" s="35"/>
      <c r="M30" s="35"/>
      <c r="N30" s="35"/>
      <c r="O30" s="35"/>
      <c r="P30" s="35"/>
    </row>
    <row r="31" spans="1:16" ht="24.75" customHeight="1" x14ac:dyDescent="0.2">
      <c r="A31" s="246" t="s">
        <v>170</v>
      </c>
      <c r="B31" s="247"/>
      <c r="C31" s="247"/>
      <c r="D31" s="248">
        <f>SUM($D$28:$D$30)</f>
        <v>9.7900000000000001E-2</v>
      </c>
      <c r="E31" s="249"/>
      <c r="F31" s="236">
        <f>$F$28+$F$30</f>
        <v>535.89</v>
      </c>
      <c r="G31" s="615">
        <f>$G$28+$G$30</f>
        <v>43.17</v>
      </c>
      <c r="H31" s="240">
        <f>H28+H30</f>
        <v>0</v>
      </c>
      <c r="I31" s="238">
        <f>$I$28+$I$30</f>
        <v>36.18</v>
      </c>
      <c r="J31" s="35"/>
      <c r="K31" s="35"/>
      <c r="L31" s="35"/>
      <c r="M31" s="35"/>
      <c r="N31" s="35"/>
      <c r="O31" s="35"/>
      <c r="P31" s="35"/>
    </row>
    <row r="32" spans="1:16" ht="24.75" customHeight="1" x14ac:dyDescent="0.2">
      <c r="A32" s="821" t="s">
        <v>171</v>
      </c>
      <c r="B32" s="821"/>
      <c r="C32" s="821"/>
      <c r="D32" s="821"/>
      <c r="E32" s="821"/>
      <c r="F32" s="236">
        <f>$F$14+$F$24+$F$31</f>
        <v>5898.11</v>
      </c>
      <c r="G32" s="615">
        <f>$G$14+$G$24+$G$31</f>
        <v>475.07</v>
      </c>
      <c r="H32" s="240">
        <f>H14+H24+H31</f>
        <v>0</v>
      </c>
      <c r="I32" s="238">
        <f>$I$14+$I$24+$I$31</f>
        <v>398.22</v>
      </c>
      <c r="J32" s="35"/>
      <c r="K32" s="35"/>
      <c r="L32" s="35"/>
      <c r="M32" s="35"/>
      <c r="N32" s="35"/>
      <c r="O32" s="35"/>
      <c r="P32" s="35"/>
    </row>
    <row r="33" spans="1:16" ht="19.5" customHeight="1" x14ac:dyDescent="0.2">
      <c r="A33" s="822" t="s">
        <v>172</v>
      </c>
      <c r="B33" s="822"/>
      <c r="C33" s="822"/>
      <c r="D33" s="822"/>
      <c r="E33" s="822"/>
      <c r="F33" s="822"/>
      <c r="G33" s="822"/>
      <c r="H33" s="822"/>
      <c r="I33" s="822"/>
      <c r="J33" s="35"/>
      <c r="K33" s="35"/>
      <c r="L33" s="35"/>
      <c r="M33" s="35"/>
      <c r="N33" s="35"/>
      <c r="O33" s="35"/>
      <c r="P33" s="35"/>
    </row>
    <row r="34" spans="1:16" ht="19.5" customHeight="1" x14ac:dyDescent="0.2">
      <c r="A34" s="121" t="s">
        <v>109</v>
      </c>
      <c r="B34" s="122"/>
      <c r="C34" s="123"/>
      <c r="D34" s="124">
        <f>Dados!$G$58</f>
        <v>7.5999999999999998E-2</v>
      </c>
      <c r="E34" s="125"/>
      <c r="F34" s="113">
        <f>ROUND(($F$39*$D$34),2)</f>
        <v>522.75</v>
      </c>
      <c r="G34" s="613">
        <f>ROUND(($G$39*$D$34),2)</f>
        <v>42.11</v>
      </c>
      <c r="H34" s="114">
        <f>ROUND(($H$39*$D$34),2)</f>
        <v>0</v>
      </c>
      <c r="I34" s="115">
        <f>ROUND(($I$39*$D$34),2)</f>
        <v>35.29</v>
      </c>
      <c r="J34" s="35"/>
      <c r="K34" s="35"/>
      <c r="L34" s="35"/>
      <c r="M34" s="35"/>
      <c r="N34" s="35"/>
      <c r="O34" s="35"/>
      <c r="P34" s="35"/>
    </row>
    <row r="35" spans="1:16" ht="19.5" customHeight="1" x14ac:dyDescent="0.2">
      <c r="A35" s="121" t="s">
        <v>110</v>
      </c>
      <c r="B35" s="122"/>
      <c r="C35" s="123"/>
      <c r="D35" s="124">
        <f>Dados!$G$59</f>
        <v>1.6500000000000001E-2</v>
      </c>
      <c r="E35" s="125"/>
      <c r="F35" s="113">
        <f>ROUND(($F$39*$D$35),2)</f>
        <v>113.49</v>
      </c>
      <c r="G35" s="613">
        <f>ROUND(($G$39*$D$35),2)</f>
        <v>9.14</v>
      </c>
      <c r="H35" s="114">
        <f>ROUND(($H$39*$D$35),2)</f>
        <v>0</v>
      </c>
      <c r="I35" s="115">
        <f>ROUND(($I$39*$D$35),2)</f>
        <v>7.66</v>
      </c>
      <c r="J35" s="35"/>
      <c r="K35" s="35"/>
      <c r="L35" s="35"/>
      <c r="M35" s="35"/>
      <c r="N35" s="35"/>
      <c r="O35" s="35"/>
      <c r="P35" s="35"/>
    </row>
    <row r="36" spans="1:16" ht="19.5" customHeight="1" x14ac:dyDescent="0.2">
      <c r="A36" s="121" t="s">
        <v>111</v>
      </c>
      <c r="B36" s="122"/>
      <c r="C36" s="123"/>
      <c r="D36" s="124">
        <f>Dados!$G$60</f>
        <v>0.05</v>
      </c>
      <c r="E36" s="125"/>
      <c r="F36" s="113">
        <f>ROUND(($F$39*$D$36),2)</f>
        <v>343.91</v>
      </c>
      <c r="G36" s="613">
        <f>ROUND(($G$39*$D$36),2)</f>
        <v>27.7</v>
      </c>
      <c r="H36" s="114">
        <f>ROUND(($H$39*$D$36),2)</f>
        <v>0</v>
      </c>
      <c r="I36" s="115">
        <f>ROUND(($I$39*$D$36),2)</f>
        <v>23.22</v>
      </c>
      <c r="J36" s="35"/>
      <c r="K36" s="35"/>
      <c r="L36" s="35"/>
      <c r="M36" s="35"/>
      <c r="N36" s="35"/>
      <c r="O36" s="35"/>
      <c r="P36" s="35"/>
    </row>
    <row r="37" spans="1:16"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c r="O37" s="35"/>
      <c r="P37" s="35"/>
    </row>
    <row r="38" spans="1:16" ht="30" customHeight="1" thickBot="1" x14ac:dyDescent="0.25">
      <c r="A38" s="246" t="s">
        <v>173</v>
      </c>
      <c r="B38" s="247"/>
      <c r="C38" s="250"/>
      <c r="D38" s="248">
        <f>SUM(D34:D37)</f>
        <v>0.14250000000000002</v>
      </c>
      <c r="E38" s="251"/>
      <c r="F38" s="236">
        <f>SUM(F34:F37)</f>
        <v>980.15000000000009</v>
      </c>
      <c r="G38" s="236">
        <f>SUM(G34:G37)</f>
        <v>78.95</v>
      </c>
      <c r="H38" s="236">
        <f t="shared" ref="H38:I38" si="1">SUM(H34:H37)</f>
        <v>0</v>
      </c>
      <c r="I38" s="252">
        <f t="shared" si="1"/>
        <v>66.17</v>
      </c>
      <c r="J38" s="35"/>
      <c r="K38" s="35"/>
      <c r="L38" s="35"/>
      <c r="M38" s="35"/>
      <c r="N38" s="35"/>
      <c r="O38" s="35"/>
      <c r="P38" s="35"/>
    </row>
    <row r="39" spans="1:16" ht="34.5" hidden="1" customHeight="1" thickBot="1" x14ac:dyDescent="0.25">
      <c r="A39" s="823" t="str">
        <f>A7</f>
        <v>Recepcionista  - 220</v>
      </c>
      <c r="B39" s="823"/>
      <c r="C39" s="823"/>
      <c r="D39" s="823"/>
      <c r="E39" s="823"/>
      <c r="F39" s="253">
        <f>ROUND($F$32/(1-$D$38),2)</f>
        <v>6878.26</v>
      </c>
      <c r="G39" s="616">
        <f>ROUND($G$32/(1-$D$38),2)</f>
        <v>554.02</v>
      </c>
      <c r="H39" s="254">
        <f>ROUND($H$32/(1-$D$38),2)</f>
        <v>0</v>
      </c>
      <c r="I39" s="255">
        <f>ROUND($I$32/(1-$D$38),2)</f>
        <v>464.4</v>
      </c>
      <c r="J39" s="35"/>
      <c r="K39" s="35"/>
      <c r="L39" s="35"/>
      <c r="M39" s="35"/>
      <c r="N39" s="35"/>
      <c r="O39" s="35"/>
      <c r="P39" s="35"/>
    </row>
    <row r="40" spans="1:16" ht="30" customHeight="1" thickBot="1" x14ac:dyDescent="0.25">
      <c r="A40" s="862" t="str">
        <f>A7</f>
        <v>Recepcionista  - 220</v>
      </c>
      <c r="B40" s="862"/>
      <c r="C40" s="862"/>
      <c r="D40" s="862"/>
      <c r="E40" s="862"/>
      <c r="F40" s="84">
        <f>$F$39</f>
        <v>6878.26</v>
      </c>
      <c r="G40" s="621">
        <f>$G$39</f>
        <v>554.02</v>
      </c>
      <c r="H40" s="79">
        <f>$H$39</f>
        <v>0</v>
      </c>
      <c r="I40" s="80">
        <f>$I$39</f>
        <v>464.4</v>
      </c>
      <c r="J40" s="35"/>
      <c r="K40" s="35"/>
      <c r="L40" s="35"/>
      <c r="M40" s="35"/>
      <c r="N40" s="35"/>
      <c r="O40" s="35"/>
      <c r="P40" s="35"/>
    </row>
    <row r="41" spans="1:16" ht="29.25" customHeight="1" thickBot="1" x14ac:dyDescent="0.25">
      <c r="A41" s="861" t="s">
        <v>174</v>
      </c>
      <c r="B41" s="861"/>
      <c r="C41" s="861"/>
      <c r="D41" s="861"/>
      <c r="E41" s="861"/>
      <c r="F41" s="85">
        <f>($F$40/$F$12)/100</f>
        <v>2.7817024443114357E-2</v>
      </c>
      <c r="G41" s="622"/>
      <c r="H41" s="82"/>
      <c r="I41" s="83"/>
      <c r="J41" s="35"/>
      <c r="K41" s="35"/>
      <c r="L41" s="35"/>
      <c r="M41" s="35"/>
      <c r="N41" s="35"/>
      <c r="O41" s="35"/>
      <c r="P41" s="35"/>
    </row>
    <row r="42" spans="1:16" ht="24" customHeight="1" x14ac:dyDescent="0.2">
      <c r="A42" s="35"/>
      <c r="B42" s="35"/>
      <c r="C42" s="35"/>
      <c r="D42" s="35"/>
      <c r="E42" s="35"/>
      <c r="F42" s="77"/>
      <c r="G42" s="77"/>
      <c r="H42" s="77"/>
      <c r="I42" s="35"/>
      <c r="J42" s="35"/>
      <c r="K42" s="35"/>
      <c r="L42" s="35"/>
      <c r="M42" s="35"/>
      <c r="N42" s="35"/>
      <c r="O42" s="35"/>
      <c r="P42" s="35"/>
    </row>
    <row r="43" spans="1:16" x14ac:dyDescent="0.2">
      <c r="A43" s="35"/>
      <c r="B43" s="35"/>
      <c r="C43" s="35"/>
      <c r="D43" s="35"/>
      <c r="E43" s="35"/>
      <c r="F43" s="77"/>
      <c r="G43" s="77"/>
      <c r="H43" s="77"/>
      <c r="I43" s="35"/>
      <c r="J43" s="35"/>
      <c r="K43" s="35"/>
      <c r="L43" s="35"/>
      <c r="M43" s="35"/>
      <c r="N43" s="35"/>
      <c r="O43" s="35"/>
      <c r="P43" s="35"/>
    </row>
    <row r="44" spans="1:16" x14ac:dyDescent="0.2">
      <c r="A44" s="35"/>
      <c r="B44" s="35"/>
      <c r="C44" s="35"/>
      <c r="D44" s="35"/>
      <c r="E44" s="35"/>
      <c r="F44" s="77"/>
      <c r="G44" s="77"/>
      <c r="H44" s="77"/>
      <c r="I44" s="35"/>
      <c r="J44" s="35"/>
      <c r="K44" s="35"/>
      <c r="L44" s="35"/>
      <c r="M44" s="35"/>
      <c r="N44" s="35"/>
      <c r="O44" s="35"/>
      <c r="P44" s="35"/>
    </row>
    <row r="45" spans="1:16" x14ac:dyDescent="0.2">
      <c r="A45" s="35"/>
      <c r="B45" s="35"/>
      <c r="C45" s="35"/>
      <c r="D45" s="35"/>
      <c r="E45" s="35"/>
      <c r="F45" s="77"/>
      <c r="G45" s="77"/>
      <c r="H45" s="77"/>
      <c r="I45" s="35"/>
      <c r="J45" s="35"/>
      <c r="K45" s="35"/>
      <c r="L45" s="35"/>
      <c r="M45" s="35"/>
      <c r="N45" s="35"/>
      <c r="O45" s="35"/>
      <c r="P45" s="35"/>
    </row>
    <row r="46" spans="1:16" x14ac:dyDescent="0.2">
      <c r="A46" s="35"/>
      <c r="B46" s="35"/>
      <c r="C46" s="35"/>
      <c r="D46" s="35"/>
      <c r="E46" s="35"/>
      <c r="F46" s="77"/>
      <c r="G46" s="77"/>
      <c r="H46" s="77"/>
      <c r="I46" s="35"/>
      <c r="J46" s="35"/>
      <c r="K46" s="35"/>
      <c r="L46" s="35"/>
      <c r="M46" s="35"/>
      <c r="N46" s="35"/>
      <c r="O46" s="35"/>
      <c r="P46" s="35"/>
    </row>
  </sheetData>
  <sheetProtection algorithmName="SHA-512" hashValue="RRtI82QcsYDEoPBft/Aw5Kk86ESUFgmixCRYDeBbG8Gh8T0W6N7KcbaeUUB7DmVby0XO68V6qk6Wj5XMP8XTbQ==" saltValue="13kuLTbodY3gZowNCPd87Q==" spinCount="100000" sheet="1" objects="1" scenarios="1"/>
  <autoFilter ref="A1:I4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33"/>
  <sheetViews>
    <sheetView showGridLines="0" workbookViewId="0">
      <selection activeCell="B21" sqref="B21:D21"/>
    </sheetView>
  </sheetViews>
  <sheetFormatPr defaultColWidth="9.33203125" defaultRowHeight="12.75" x14ac:dyDescent="0.2"/>
  <cols>
    <col min="1" max="1" width="8.5" style="194" customWidth="1"/>
    <col min="2" max="3" width="9.33203125" style="194"/>
    <col min="4" max="4" width="38.5" style="194" customWidth="1"/>
    <col min="5" max="5" width="11" style="194" customWidth="1"/>
    <col min="6" max="6" width="14.5" style="194" bestFit="1" customWidth="1"/>
    <col min="7" max="7" width="10.33203125" style="194" customWidth="1"/>
    <col min="8" max="8" width="11.6640625" style="194" customWidth="1"/>
    <col min="9" max="9" width="19.33203125" style="194" customWidth="1"/>
    <col min="10" max="10" width="19.1640625" style="194" customWidth="1"/>
    <col min="11" max="11" width="20.83203125" style="194" customWidth="1"/>
    <col min="12" max="12" width="21.5" style="194" customWidth="1"/>
    <col min="13" max="13" width="22.1640625" style="194" customWidth="1"/>
    <col min="14" max="14" width="11.1640625" style="194" customWidth="1"/>
    <col min="15" max="15" width="15.83203125" style="194" bestFit="1" customWidth="1"/>
    <col min="16" max="16" width="12.33203125" style="194" bestFit="1" customWidth="1"/>
    <col min="17" max="16384" width="9.33203125" style="194"/>
  </cols>
  <sheetData>
    <row r="1" spans="1:20" x14ac:dyDescent="0.2">
      <c r="A1" s="558"/>
      <c r="B1" s="913" t="s">
        <v>0</v>
      </c>
      <c r="C1" s="913"/>
      <c r="D1" s="913"/>
      <c r="E1" s="913"/>
      <c r="F1" s="913"/>
      <c r="G1" s="913"/>
      <c r="H1" s="913"/>
      <c r="I1" s="913"/>
      <c r="J1" s="913"/>
      <c r="K1" s="913"/>
      <c r="L1" s="913"/>
      <c r="M1" s="913"/>
      <c r="N1" s="913"/>
      <c r="O1" s="913"/>
      <c r="P1" s="914"/>
    </row>
    <row r="2" spans="1:20" x14ac:dyDescent="0.2">
      <c r="A2" s="559"/>
      <c r="B2" s="915" t="s">
        <v>210</v>
      </c>
      <c r="C2" s="915"/>
      <c r="D2" s="915"/>
      <c r="E2" s="915"/>
      <c r="F2" s="915"/>
      <c r="G2" s="915"/>
      <c r="H2" s="915"/>
      <c r="I2" s="915"/>
      <c r="J2" s="915"/>
      <c r="K2" s="915"/>
      <c r="L2" s="915"/>
      <c r="M2" s="915"/>
      <c r="N2" s="915"/>
      <c r="O2" s="915"/>
      <c r="P2" s="916"/>
    </row>
    <row r="3" spans="1:20" x14ac:dyDescent="0.2">
      <c r="A3" s="559"/>
      <c r="B3" s="915" t="s">
        <v>267</v>
      </c>
      <c r="C3" s="915"/>
      <c r="D3" s="915"/>
      <c r="E3" s="915"/>
      <c r="F3" s="915"/>
      <c r="G3" s="915"/>
      <c r="H3" s="915"/>
      <c r="I3" s="915"/>
      <c r="J3" s="915"/>
      <c r="K3" s="915"/>
      <c r="L3" s="915"/>
      <c r="M3" s="915"/>
      <c r="N3" s="915"/>
      <c r="O3" s="915"/>
      <c r="P3" s="916"/>
    </row>
    <row r="4" spans="1:20" ht="22.5" customHeight="1" thickBot="1" x14ac:dyDescent="0.25">
      <c r="A4" s="932" t="s">
        <v>266</v>
      </c>
      <c r="B4" s="933"/>
      <c r="C4" s="933"/>
      <c r="D4" s="933"/>
      <c r="E4" s="933"/>
      <c r="F4" s="933"/>
      <c r="G4" s="933"/>
      <c r="H4" s="933"/>
      <c r="I4" s="933"/>
      <c r="J4" s="933"/>
      <c r="K4" s="933"/>
      <c r="L4" s="933"/>
      <c r="M4" s="933"/>
      <c r="N4" s="933"/>
      <c r="O4" s="933"/>
      <c r="P4" s="934"/>
      <c r="Q4" s="195"/>
      <c r="R4" s="195"/>
      <c r="S4" s="195"/>
      <c r="T4" s="195"/>
    </row>
    <row r="5" spans="1:20" s="532" customFormat="1" ht="41.25" customHeight="1" thickBot="1" x14ac:dyDescent="0.25">
      <c r="A5" s="935" t="s">
        <v>175</v>
      </c>
      <c r="B5" s="936"/>
      <c r="C5" s="936"/>
      <c r="D5" s="937"/>
      <c r="E5" s="938" t="s">
        <v>167</v>
      </c>
      <c r="F5" s="535" t="str">
        <f>Dados!B8</f>
        <v>Ascensorista</v>
      </c>
      <c r="G5" s="533" t="str">
        <f>Dados!$B$9</f>
        <v>Atendente</v>
      </c>
      <c r="H5" s="533" t="str">
        <f>Dados!$B$10</f>
        <v>Auxiliar de Almoxarifado</v>
      </c>
      <c r="I5" s="533" t="str">
        <f>Dados!$B$11</f>
        <v>Auxiliar Administrativo - Classe I</v>
      </c>
      <c r="J5" s="533" t="str">
        <f>Dados!$B$12</f>
        <v>Auxiliar Administrativo - Classe II</v>
      </c>
      <c r="K5" s="533" t="str">
        <f>Dados!$B$13</f>
        <v>Auxiliar Administrativo - Classe III (Nível Superior)</v>
      </c>
      <c r="L5" s="533" t="str">
        <f>Dados!$B$14</f>
        <v>Auxiliar Administrativo - Classe IV (Nível Superior)</v>
      </c>
      <c r="M5" s="533" t="str">
        <f>Dados!$B$15</f>
        <v>Assistente de Apoio Financeiro (Nível Superior)</v>
      </c>
      <c r="N5" s="533" t="str">
        <f>Dados!$B$16</f>
        <v>Encarregado Geral</v>
      </c>
      <c r="O5" s="533" t="str">
        <f>Dados!$B$17</f>
        <v>Operador e Editor de Áudio e Vídeo</v>
      </c>
      <c r="P5" s="534" t="str">
        <f>Dados!$B$18</f>
        <v xml:space="preserve">Recepcionista </v>
      </c>
    </row>
    <row r="6" spans="1:20" s="531" customFormat="1" ht="13.5" thickBot="1" x14ac:dyDescent="0.25">
      <c r="A6" s="540" t="s">
        <v>177</v>
      </c>
      <c r="B6" s="940" t="s">
        <v>41</v>
      </c>
      <c r="C6" s="941"/>
      <c r="D6" s="942"/>
      <c r="E6" s="939"/>
      <c r="F6" s="943" t="s">
        <v>176</v>
      </c>
      <c r="G6" s="944"/>
      <c r="H6" s="944"/>
      <c r="I6" s="944"/>
      <c r="J6" s="944"/>
      <c r="K6" s="944"/>
      <c r="L6" s="944"/>
      <c r="M6" s="944"/>
      <c r="N6" s="944"/>
      <c r="O6" s="944"/>
      <c r="P6" s="945"/>
    </row>
    <row r="7" spans="1:20" ht="13.5" thickBot="1" x14ac:dyDescent="0.25">
      <c r="A7" s="545">
        <v>1</v>
      </c>
      <c r="B7" s="946" t="s">
        <v>178</v>
      </c>
      <c r="C7" s="946"/>
      <c r="D7" s="946"/>
      <c r="E7" s="946"/>
      <c r="F7" s="546">
        <f>Dados!$H$8</f>
        <v>1418.18</v>
      </c>
      <c r="G7" s="546">
        <f>Dados!$H$9</f>
        <v>2300</v>
      </c>
      <c r="H7" s="546">
        <f>Dados!$H$10</f>
        <v>2200</v>
      </c>
      <c r="I7" s="546">
        <f>Dados!$H$11</f>
        <v>1725</v>
      </c>
      <c r="J7" s="546">
        <f>Dados!$H$12</f>
        <v>2300</v>
      </c>
      <c r="K7" s="546">
        <f>Dados!$H$13</f>
        <v>2242.5</v>
      </c>
      <c r="L7" s="546">
        <f>Dados!$H$14</f>
        <v>2990</v>
      </c>
      <c r="M7" s="546">
        <f>Dados!$H$15</f>
        <v>4875</v>
      </c>
      <c r="N7" s="546">
        <f>Dados!$H$16</f>
        <v>2753.93</v>
      </c>
      <c r="O7" s="546">
        <f>Dados!$H$17</f>
        <v>3592.28</v>
      </c>
      <c r="P7" s="547">
        <f>Dados!$H$18</f>
        <v>2472.6799999999998</v>
      </c>
    </row>
    <row r="8" spans="1:20" x14ac:dyDescent="0.2">
      <c r="A8" s="541" t="s">
        <v>179</v>
      </c>
      <c r="B8" s="928" t="s">
        <v>42</v>
      </c>
      <c r="C8" s="928"/>
      <c r="D8" s="928"/>
      <c r="E8" s="542">
        <f>Encargos!$C$37</f>
        <v>9.0899999999999995E-2</v>
      </c>
      <c r="F8" s="543">
        <f>ROUND(F7*$E$8,2)</f>
        <v>128.91</v>
      </c>
      <c r="G8" s="543">
        <f t="shared" ref="G8:P8" si="0">ROUND(G7*$E$8,2)</f>
        <v>209.07</v>
      </c>
      <c r="H8" s="543">
        <f t="shared" si="0"/>
        <v>199.98</v>
      </c>
      <c r="I8" s="543">
        <f t="shared" si="0"/>
        <v>156.80000000000001</v>
      </c>
      <c r="J8" s="543">
        <f t="shared" si="0"/>
        <v>209.07</v>
      </c>
      <c r="K8" s="543">
        <f t="shared" si="0"/>
        <v>203.84</v>
      </c>
      <c r="L8" s="543">
        <f t="shared" si="0"/>
        <v>271.79000000000002</v>
      </c>
      <c r="M8" s="543">
        <f t="shared" si="0"/>
        <v>443.14</v>
      </c>
      <c r="N8" s="543">
        <f t="shared" si="0"/>
        <v>250.33</v>
      </c>
      <c r="O8" s="543">
        <f t="shared" si="0"/>
        <v>326.54000000000002</v>
      </c>
      <c r="P8" s="544">
        <f t="shared" si="0"/>
        <v>224.77</v>
      </c>
    </row>
    <row r="9" spans="1:20" x14ac:dyDescent="0.2">
      <c r="A9" s="196" t="s">
        <v>180</v>
      </c>
      <c r="B9" s="929" t="s">
        <v>47</v>
      </c>
      <c r="C9" s="929"/>
      <c r="D9" s="929"/>
      <c r="E9" s="199">
        <f>Encargos!$C$16*E8</f>
        <v>3.6178200000000008E-2</v>
      </c>
      <c r="F9" s="197">
        <f>ROUND(F7*$E$9,2)</f>
        <v>51.31</v>
      </c>
      <c r="G9" s="197">
        <f t="shared" ref="G9:P9" si="1">ROUND(G7*$E$9,2)</f>
        <v>83.21</v>
      </c>
      <c r="H9" s="197">
        <f t="shared" si="1"/>
        <v>79.59</v>
      </c>
      <c r="I9" s="197">
        <f t="shared" si="1"/>
        <v>62.41</v>
      </c>
      <c r="J9" s="197">
        <f t="shared" si="1"/>
        <v>83.21</v>
      </c>
      <c r="K9" s="197">
        <f t="shared" si="1"/>
        <v>81.13</v>
      </c>
      <c r="L9" s="197">
        <f t="shared" si="1"/>
        <v>108.17</v>
      </c>
      <c r="M9" s="197">
        <f t="shared" si="1"/>
        <v>176.37</v>
      </c>
      <c r="N9" s="197">
        <f t="shared" si="1"/>
        <v>99.63</v>
      </c>
      <c r="O9" s="197">
        <f t="shared" si="1"/>
        <v>129.96</v>
      </c>
      <c r="P9" s="198">
        <f t="shared" si="1"/>
        <v>89.46</v>
      </c>
    </row>
    <row r="10" spans="1:20" x14ac:dyDescent="0.2">
      <c r="A10" s="930" t="s">
        <v>181</v>
      </c>
      <c r="B10" s="931"/>
      <c r="C10" s="931"/>
      <c r="D10" s="931"/>
      <c r="E10" s="200">
        <f>SUM(E8:E9)</f>
        <v>0.1270782</v>
      </c>
      <c r="F10" s="201">
        <f>SUM(F8:F9)</f>
        <v>180.22</v>
      </c>
      <c r="G10" s="201">
        <f t="shared" ref="G10:P10" si="2">SUM(G8:G9)</f>
        <v>292.27999999999997</v>
      </c>
      <c r="H10" s="201">
        <f t="shared" si="2"/>
        <v>279.57</v>
      </c>
      <c r="I10" s="201">
        <f t="shared" si="2"/>
        <v>219.21</v>
      </c>
      <c r="J10" s="201">
        <f t="shared" si="2"/>
        <v>292.27999999999997</v>
      </c>
      <c r="K10" s="201">
        <f t="shared" si="2"/>
        <v>284.97000000000003</v>
      </c>
      <c r="L10" s="201">
        <f t="shared" si="2"/>
        <v>379.96000000000004</v>
      </c>
      <c r="M10" s="201">
        <f t="shared" si="2"/>
        <v>619.51</v>
      </c>
      <c r="N10" s="201">
        <f t="shared" si="2"/>
        <v>349.96000000000004</v>
      </c>
      <c r="O10" s="201">
        <f t="shared" si="2"/>
        <v>456.5</v>
      </c>
      <c r="P10" s="202">
        <f t="shared" si="2"/>
        <v>314.23</v>
      </c>
    </row>
    <row r="11" spans="1:20" x14ac:dyDescent="0.2">
      <c r="A11" s="930" t="s">
        <v>182</v>
      </c>
      <c r="B11" s="931"/>
      <c r="C11" s="931"/>
      <c r="D11" s="931"/>
      <c r="E11" s="931"/>
      <c r="F11" s="201">
        <f>F10*12</f>
        <v>2162.64</v>
      </c>
      <c r="G11" s="201">
        <f t="shared" ref="G11:P11" si="3">G10*12</f>
        <v>3507.3599999999997</v>
      </c>
      <c r="H11" s="201">
        <f t="shared" si="3"/>
        <v>3354.84</v>
      </c>
      <c r="I11" s="201">
        <f t="shared" si="3"/>
        <v>2630.52</v>
      </c>
      <c r="J11" s="201">
        <f t="shared" si="3"/>
        <v>3507.3599999999997</v>
      </c>
      <c r="K11" s="201">
        <f t="shared" si="3"/>
        <v>3419.6400000000003</v>
      </c>
      <c r="L11" s="201">
        <f t="shared" si="3"/>
        <v>4559.5200000000004</v>
      </c>
      <c r="M11" s="201">
        <f t="shared" si="3"/>
        <v>7434.12</v>
      </c>
      <c r="N11" s="201">
        <f t="shared" si="3"/>
        <v>4199.5200000000004</v>
      </c>
      <c r="O11" s="201">
        <f t="shared" si="3"/>
        <v>5478</v>
      </c>
      <c r="P11" s="202">
        <f t="shared" si="3"/>
        <v>3770.76</v>
      </c>
    </row>
    <row r="12" spans="1:20" x14ac:dyDescent="0.2">
      <c r="A12" s="203">
        <v>2</v>
      </c>
      <c r="B12" s="204" t="s">
        <v>183</v>
      </c>
      <c r="C12" s="204"/>
      <c r="D12" s="204"/>
      <c r="E12" s="204"/>
      <c r="F12" s="926" t="s">
        <v>88</v>
      </c>
      <c r="G12" s="926"/>
      <c r="H12" s="926"/>
      <c r="I12" s="926"/>
      <c r="J12" s="926"/>
      <c r="K12" s="926"/>
      <c r="L12" s="926"/>
      <c r="M12" s="926"/>
      <c r="N12" s="926"/>
      <c r="O12" s="926"/>
      <c r="P12" s="927"/>
    </row>
    <row r="13" spans="1:20" x14ac:dyDescent="0.2">
      <c r="A13" s="205" t="s">
        <v>179</v>
      </c>
      <c r="B13" s="922" t="s">
        <v>161</v>
      </c>
      <c r="C13" s="922"/>
      <c r="D13" s="922"/>
      <c r="E13" s="206"/>
      <c r="F13" s="207">
        <f>'Ascensorista 150'!F20</f>
        <v>0</v>
      </c>
      <c r="G13" s="208">
        <f>'Atendente 200'!F20</f>
        <v>431.9</v>
      </c>
      <c r="H13" s="208">
        <f>'Aux. Almoxarifado 200'!F20</f>
        <v>431.9</v>
      </c>
      <c r="I13" s="208">
        <f>'Aux Admin I 150'!F20</f>
        <v>0</v>
      </c>
      <c r="J13" s="208">
        <f>'Aux Admin II 200'!F20</f>
        <v>431.9</v>
      </c>
      <c r="K13" s="208">
        <f>'Aux Admin III 150'!F20</f>
        <v>0</v>
      </c>
      <c r="L13" s="208">
        <f>'Aux Admin IV 200'!F20</f>
        <v>431.9</v>
      </c>
      <c r="M13" s="208">
        <f>'Assistente Financeiro 200'!F20</f>
        <v>431.9</v>
      </c>
      <c r="N13" s="208">
        <f>'Encarregado Geral 220'!F20</f>
        <v>431.9</v>
      </c>
      <c r="O13" s="208">
        <f>'Op. Ed. Audio e Video 150'!F20</f>
        <v>0</v>
      </c>
      <c r="P13" s="209">
        <f>'Recepcionista 220'!F20</f>
        <v>431.9</v>
      </c>
    </row>
    <row r="14" spans="1:20" x14ac:dyDescent="0.2">
      <c r="A14" s="205" t="s">
        <v>184</v>
      </c>
      <c r="B14" s="922" t="s">
        <v>162</v>
      </c>
      <c r="C14" s="922"/>
      <c r="D14" s="922"/>
      <c r="E14" s="206"/>
      <c r="F14" s="207">
        <f>'Ascensorista 150'!F21</f>
        <v>425.31</v>
      </c>
      <c r="G14" s="208">
        <f>'Atendente 200'!F21</f>
        <v>372.4</v>
      </c>
      <c r="H14" s="208">
        <f>'Aux. Almoxarifado 200'!F21</f>
        <v>378.4</v>
      </c>
      <c r="I14" s="208">
        <f>'Aux Admin I 150'!F21</f>
        <v>406.9</v>
      </c>
      <c r="J14" s="208">
        <f>'Aux Admin II 200'!F21</f>
        <v>372.4</v>
      </c>
      <c r="K14" s="208">
        <f>'Aux Admin III 150'!F21</f>
        <v>375.85</v>
      </c>
      <c r="L14" s="208">
        <f>'Aux Admin IV 200'!F21</f>
        <v>331</v>
      </c>
      <c r="M14" s="208">
        <f>'Assistente Financeiro 200'!F21</f>
        <v>217.9</v>
      </c>
      <c r="N14" s="208">
        <f>'Encarregado Geral 220'!F21</f>
        <v>345.16</v>
      </c>
      <c r="O14" s="208">
        <f>'Op. Ed. Audio e Video 150'!F21</f>
        <v>294.86</v>
      </c>
      <c r="P14" s="209">
        <f>'Recepcionista 220'!F21</f>
        <v>362.04</v>
      </c>
    </row>
    <row r="15" spans="1:20" x14ac:dyDescent="0.2">
      <c r="A15" s="205" t="s">
        <v>185</v>
      </c>
      <c r="B15" s="206" t="s">
        <v>186</v>
      </c>
      <c r="C15" s="206"/>
      <c r="D15" s="206"/>
      <c r="E15" s="206"/>
      <c r="F15" s="207">
        <v>0</v>
      </c>
      <c r="G15" s="207">
        <v>0</v>
      </c>
      <c r="H15" s="207">
        <v>0</v>
      </c>
      <c r="I15" s="207">
        <v>0</v>
      </c>
      <c r="J15" s="207">
        <v>0</v>
      </c>
      <c r="K15" s="207">
        <v>0</v>
      </c>
      <c r="L15" s="207">
        <v>0</v>
      </c>
      <c r="M15" s="207">
        <v>0</v>
      </c>
      <c r="N15" s="207">
        <v>0</v>
      </c>
      <c r="O15" s="207">
        <v>0</v>
      </c>
      <c r="P15" s="210">
        <v>0</v>
      </c>
    </row>
    <row r="16" spans="1:20" x14ac:dyDescent="0.2">
      <c r="A16" s="923" t="s">
        <v>187</v>
      </c>
      <c r="B16" s="924"/>
      <c r="C16" s="924"/>
      <c r="D16" s="924"/>
      <c r="E16" s="924"/>
      <c r="F16" s="211">
        <f>SUM(F13:F15)</f>
        <v>425.31</v>
      </c>
      <c r="G16" s="211">
        <f t="shared" ref="G16:P16" si="4">SUM(G13:G15)</f>
        <v>804.3</v>
      </c>
      <c r="H16" s="211">
        <f t="shared" si="4"/>
        <v>810.3</v>
      </c>
      <c r="I16" s="211">
        <f t="shared" si="4"/>
        <v>406.9</v>
      </c>
      <c r="J16" s="211">
        <f t="shared" si="4"/>
        <v>804.3</v>
      </c>
      <c r="K16" s="211">
        <f t="shared" si="4"/>
        <v>375.85</v>
      </c>
      <c r="L16" s="211">
        <f t="shared" si="4"/>
        <v>762.9</v>
      </c>
      <c r="M16" s="211">
        <f t="shared" si="4"/>
        <v>649.79999999999995</v>
      </c>
      <c r="N16" s="211">
        <f t="shared" si="4"/>
        <v>777.06</v>
      </c>
      <c r="O16" s="211">
        <f t="shared" si="4"/>
        <v>294.86</v>
      </c>
      <c r="P16" s="212">
        <f t="shared" si="4"/>
        <v>793.94</v>
      </c>
    </row>
    <row r="17" spans="1:16" x14ac:dyDescent="0.2">
      <c r="A17" s="203">
        <v>5</v>
      </c>
      <c r="B17" s="925" t="s">
        <v>188</v>
      </c>
      <c r="C17" s="925"/>
      <c r="D17" s="925"/>
      <c r="E17" s="213" t="s">
        <v>167</v>
      </c>
      <c r="F17" s="926" t="s">
        <v>88</v>
      </c>
      <c r="G17" s="926"/>
      <c r="H17" s="926"/>
      <c r="I17" s="926"/>
      <c r="J17" s="926"/>
      <c r="K17" s="926"/>
      <c r="L17" s="926"/>
      <c r="M17" s="926"/>
      <c r="N17" s="926"/>
      <c r="O17" s="926"/>
      <c r="P17" s="927"/>
    </row>
    <row r="18" spans="1:16" x14ac:dyDescent="0.2">
      <c r="A18" s="205" t="s">
        <v>179</v>
      </c>
      <c r="B18" s="918" t="s">
        <v>189</v>
      </c>
      <c r="C18" s="918"/>
      <c r="D18" s="918"/>
      <c r="E18" s="214">
        <f>Dados!G50</f>
        <v>0.03</v>
      </c>
      <c r="F18" s="215">
        <f>ROUND(($E$18*F31),2)</f>
        <v>77.64</v>
      </c>
      <c r="G18" s="215">
        <f t="shared" ref="G18:P18" si="5">ROUND(($E$18*G31),2)</f>
        <v>129.35</v>
      </c>
      <c r="H18" s="215">
        <f t="shared" si="5"/>
        <v>124.95</v>
      </c>
      <c r="I18" s="215">
        <f t="shared" si="5"/>
        <v>91.12</v>
      </c>
      <c r="J18" s="215">
        <f t="shared" si="5"/>
        <v>129.35</v>
      </c>
      <c r="K18" s="215">
        <f t="shared" si="5"/>
        <v>113.86</v>
      </c>
      <c r="L18" s="215">
        <f t="shared" si="5"/>
        <v>159.66999999999999</v>
      </c>
      <c r="M18" s="215">
        <f t="shared" si="5"/>
        <v>242.52</v>
      </c>
      <c r="N18" s="215">
        <f t="shared" si="5"/>
        <v>149.30000000000001</v>
      </c>
      <c r="O18" s="215">
        <f t="shared" si="5"/>
        <v>173.19</v>
      </c>
      <c r="P18" s="216">
        <f t="shared" si="5"/>
        <v>136.94</v>
      </c>
    </row>
    <row r="19" spans="1:16" x14ac:dyDescent="0.2">
      <c r="A19" s="205" t="s">
        <v>184</v>
      </c>
      <c r="B19" s="918" t="s">
        <v>108</v>
      </c>
      <c r="C19" s="918"/>
      <c r="D19" s="918"/>
      <c r="E19" s="214">
        <f>Dados!G51</f>
        <v>6.7900000000000002E-2</v>
      </c>
      <c r="F19" s="215">
        <f>ROUND(($E$19*(F18+F31)),2)</f>
        <v>180.99</v>
      </c>
      <c r="G19" s="215">
        <f t="shared" ref="G19:P19" si="6">ROUND(($E$19*(G18+G31)),2)</f>
        <v>301.54000000000002</v>
      </c>
      <c r="H19" s="215">
        <f t="shared" si="6"/>
        <v>291.3</v>
      </c>
      <c r="I19" s="215">
        <f t="shared" si="6"/>
        <v>212.43</v>
      </c>
      <c r="J19" s="215">
        <f t="shared" si="6"/>
        <v>301.54000000000002</v>
      </c>
      <c r="K19" s="215">
        <f t="shared" si="6"/>
        <v>265.44</v>
      </c>
      <c r="L19" s="215">
        <f t="shared" si="6"/>
        <v>372.23</v>
      </c>
      <c r="M19" s="215">
        <f t="shared" si="6"/>
        <v>565.37</v>
      </c>
      <c r="N19" s="215">
        <f t="shared" si="6"/>
        <v>348.05</v>
      </c>
      <c r="O19" s="215">
        <f t="shared" si="6"/>
        <v>403.74</v>
      </c>
      <c r="P19" s="216">
        <f t="shared" si="6"/>
        <v>319.24</v>
      </c>
    </row>
    <row r="20" spans="1:16" x14ac:dyDescent="0.2">
      <c r="A20" s="217" t="s">
        <v>185</v>
      </c>
      <c r="B20" s="917" t="s">
        <v>190</v>
      </c>
      <c r="C20" s="917"/>
      <c r="D20" s="917"/>
      <c r="E20" s="218">
        <f>SUM(E21:E24)</f>
        <v>0.14250000000000002</v>
      </c>
      <c r="F20" s="219">
        <f>ROUND((((F31+F18+F19)/(1-$E$20))-(F31+F18+F19)),2)</f>
        <v>473.05</v>
      </c>
      <c r="G20" s="219">
        <f t="shared" ref="G20:P20" si="7">ROUND((((G31+G18+G19)/(1-$E$20))-(G31+G18+G19)),2)</f>
        <v>788.12</v>
      </c>
      <c r="H20" s="219">
        <f t="shared" si="7"/>
        <v>761.34</v>
      </c>
      <c r="I20" s="219">
        <f t="shared" si="7"/>
        <v>555.20000000000005</v>
      </c>
      <c r="J20" s="219">
        <f t="shared" si="7"/>
        <v>788.12</v>
      </c>
      <c r="K20" s="219">
        <f t="shared" si="7"/>
        <v>693.77</v>
      </c>
      <c r="L20" s="219">
        <f t="shared" si="7"/>
        <v>972.88</v>
      </c>
      <c r="M20" s="219">
        <f t="shared" si="7"/>
        <v>1477.65</v>
      </c>
      <c r="N20" s="219">
        <f t="shared" si="7"/>
        <v>909.66</v>
      </c>
      <c r="O20" s="219">
        <f t="shared" si="7"/>
        <v>1055.21</v>
      </c>
      <c r="P20" s="227">
        <f t="shared" si="7"/>
        <v>834.37</v>
      </c>
    </row>
    <row r="21" spans="1:16" x14ac:dyDescent="0.2">
      <c r="A21" s="220" t="s">
        <v>191</v>
      </c>
      <c r="B21" s="918" t="s">
        <v>192</v>
      </c>
      <c r="C21" s="918"/>
      <c r="D21" s="918"/>
      <c r="E21" s="214">
        <f>Dados!G58+Dados!G59</f>
        <v>9.2499999999999999E-2</v>
      </c>
      <c r="F21" s="215">
        <f>ROUND($E$21*F33,2)</f>
        <v>307.07</v>
      </c>
      <c r="G21" s="215">
        <f t="shared" ref="G21:P21" si="8">ROUND($E$21*G33,2)</f>
        <v>511.59</v>
      </c>
      <c r="H21" s="215">
        <f t="shared" si="8"/>
        <v>494.2</v>
      </c>
      <c r="I21" s="215">
        <f t="shared" si="8"/>
        <v>360.4</v>
      </c>
      <c r="J21" s="215">
        <f t="shared" si="8"/>
        <v>511.59</v>
      </c>
      <c r="K21" s="215">
        <f t="shared" si="8"/>
        <v>450.34</v>
      </c>
      <c r="L21" s="215">
        <f t="shared" si="8"/>
        <v>631.52</v>
      </c>
      <c r="M21" s="215">
        <f t="shared" si="8"/>
        <v>959.18</v>
      </c>
      <c r="N21" s="215">
        <f t="shared" si="8"/>
        <v>590.48</v>
      </c>
      <c r="O21" s="215">
        <f t="shared" si="8"/>
        <v>684.96</v>
      </c>
      <c r="P21" s="216">
        <f t="shared" si="8"/>
        <v>541.61</v>
      </c>
    </row>
    <row r="22" spans="1:16" x14ac:dyDescent="0.2">
      <c r="A22" s="205" t="s">
        <v>193</v>
      </c>
      <c r="B22" s="918" t="s">
        <v>194</v>
      </c>
      <c r="C22" s="918"/>
      <c r="D22" s="918"/>
      <c r="E22" s="214">
        <v>0</v>
      </c>
      <c r="F22" s="215">
        <f>ROUND($E$22*F33,2)</f>
        <v>0</v>
      </c>
      <c r="G22" s="215">
        <f t="shared" ref="G22:P22" si="9">ROUND($E$22*G33,2)</f>
        <v>0</v>
      </c>
      <c r="H22" s="215">
        <f t="shared" si="9"/>
        <v>0</v>
      </c>
      <c r="I22" s="215">
        <f t="shared" si="9"/>
        <v>0</v>
      </c>
      <c r="J22" s="215">
        <f t="shared" si="9"/>
        <v>0</v>
      </c>
      <c r="K22" s="215">
        <f t="shared" si="9"/>
        <v>0</v>
      </c>
      <c r="L22" s="215">
        <f t="shared" si="9"/>
        <v>0</v>
      </c>
      <c r="M22" s="215">
        <f t="shared" si="9"/>
        <v>0</v>
      </c>
      <c r="N22" s="215">
        <f t="shared" si="9"/>
        <v>0</v>
      </c>
      <c r="O22" s="215">
        <f t="shared" si="9"/>
        <v>0</v>
      </c>
      <c r="P22" s="216">
        <f t="shared" si="9"/>
        <v>0</v>
      </c>
    </row>
    <row r="23" spans="1:16" x14ac:dyDescent="0.2">
      <c r="A23" s="205" t="s">
        <v>195</v>
      </c>
      <c r="B23" s="918" t="s">
        <v>196</v>
      </c>
      <c r="C23" s="918"/>
      <c r="D23" s="918"/>
      <c r="E23" s="214">
        <f>Dados!G60</f>
        <v>0.05</v>
      </c>
      <c r="F23" s="215">
        <f>ROUND($E$23*F33,2)</f>
        <v>165.98</v>
      </c>
      <c r="G23" s="215">
        <f t="shared" ref="G23:P23" si="10">ROUND($E$23*G33,2)</f>
        <v>276.52999999999997</v>
      </c>
      <c r="H23" s="215">
        <f t="shared" si="10"/>
        <v>267.14</v>
      </c>
      <c r="I23" s="215">
        <f t="shared" si="10"/>
        <v>194.81</v>
      </c>
      <c r="J23" s="215">
        <f t="shared" si="10"/>
        <v>276.52999999999997</v>
      </c>
      <c r="K23" s="215">
        <f t="shared" si="10"/>
        <v>243.43</v>
      </c>
      <c r="L23" s="215">
        <f t="shared" si="10"/>
        <v>341.36</v>
      </c>
      <c r="M23" s="215">
        <f t="shared" si="10"/>
        <v>518.47</v>
      </c>
      <c r="N23" s="215">
        <f t="shared" si="10"/>
        <v>319.18</v>
      </c>
      <c r="O23" s="215">
        <f t="shared" si="10"/>
        <v>370.25</v>
      </c>
      <c r="P23" s="216">
        <f t="shared" si="10"/>
        <v>292.76</v>
      </c>
    </row>
    <row r="24" spans="1:16" x14ac:dyDescent="0.2">
      <c r="A24" s="205" t="s">
        <v>197</v>
      </c>
      <c r="B24" s="918" t="str">
        <f>Dados!B61</f>
        <v>Outros (inserir somente com a justificativa legal)</v>
      </c>
      <c r="C24" s="918"/>
      <c r="D24" s="918"/>
      <c r="E24" s="214">
        <f>Dados!G61</f>
        <v>0</v>
      </c>
      <c r="F24" s="215">
        <f>ROUND($E$24*F33,2)</f>
        <v>0</v>
      </c>
      <c r="G24" s="215">
        <f t="shared" ref="G24:P24" si="11">ROUND($E$24*G33,2)</f>
        <v>0</v>
      </c>
      <c r="H24" s="215">
        <f t="shared" si="11"/>
        <v>0</v>
      </c>
      <c r="I24" s="215">
        <f t="shared" si="11"/>
        <v>0</v>
      </c>
      <c r="J24" s="215">
        <f t="shared" si="11"/>
        <v>0</v>
      </c>
      <c r="K24" s="215">
        <f t="shared" si="11"/>
        <v>0</v>
      </c>
      <c r="L24" s="215">
        <f t="shared" si="11"/>
        <v>0</v>
      </c>
      <c r="M24" s="215">
        <f t="shared" si="11"/>
        <v>0</v>
      </c>
      <c r="N24" s="215">
        <f t="shared" si="11"/>
        <v>0</v>
      </c>
      <c r="O24" s="215">
        <f t="shared" si="11"/>
        <v>0</v>
      </c>
      <c r="P24" s="216">
        <f t="shared" si="11"/>
        <v>0</v>
      </c>
    </row>
    <row r="25" spans="1:16" ht="13.5" thickBot="1" x14ac:dyDescent="0.25">
      <c r="A25" s="536" t="s">
        <v>198</v>
      </c>
      <c r="B25" s="537"/>
      <c r="C25" s="537"/>
      <c r="D25" s="537"/>
      <c r="E25" s="537"/>
      <c r="F25" s="538">
        <f>SUM(F18:F20)</f>
        <v>731.68000000000006</v>
      </c>
      <c r="G25" s="538">
        <f t="shared" ref="G25:P25" si="12">SUM(G18:G20)</f>
        <v>1219.01</v>
      </c>
      <c r="H25" s="538">
        <f t="shared" si="12"/>
        <v>1177.5900000000001</v>
      </c>
      <c r="I25" s="538">
        <f t="shared" si="12"/>
        <v>858.75</v>
      </c>
      <c r="J25" s="538">
        <f t="shared" si="12"/>
        <v>1219.01</v>
      </c>
      <c r="K25" s="538">
        <f t="shared" si="12"/>
        <v>1073.07</v>
      </c>
      <c r="L25" s="538">
        <f t="shared" si="12"/>
        <v>1504.78</v>
      </c>
      <c r="M25" s="538">
        <f t="shared" si="12"/>
        <v>2285.54</v>
      </c>
      <c r="N25" s="538">
        <f t="shared" si="12"/>
        <v>1407.01</v>
      </c>
      <c r="O25" s="538">
        <f t="shared" si="12"/>
        <v>1632.14</v>
      </c>
      <c r="P25" s="539">
        <f t="shared" si="12"/>
        <v>1290.55</v>
      </c>
    </row>
    <row r="26" spans="1:16" ht="13.5" thickBot="1" x14ac:dyDescent="0.25">
      <c r="A26" s="919" t="s">
        <v>199</v>
      </c>
      <c r="B26" s="920"/>
      <c r="C26" s="920"/>
      <c r="D26" s="920"/>
      <c r="E26" s="920"/>
      <c r="F26" s="920"/>
      <c r="G26" s="920"/>
      <c r="H26" s="920"/>
      <c r="I26" s="920"/>
      <c r="J26" s="920"/>
      <c r="K26" s="920"/>
      <c r="L26" s="920"/>
      <c r="M26" s="920"/>
      <c r="N26" s="920"/>
      <c r="O26" s="920"/>
      <c r="P26" s="921"/>
    </row>
    <row r="27" spans="1:16" ht="13.5" thickBot="1" x14ac:dyDescent="0.25">
      <c r="A27" s="906" t="s">
        <v>200</v>
      </c>
      <c r="B27" s="907"/>
      <c r="C27" s="907"/>
      <c r="D27" s="907"/>
      <c r="E27" s="907"/>
      <c r="F27" s="907"/>
      <c r="G27" s="907"/>
      <c r="H27" s="907"/>
      <c r="I27" s="907"/>
      <c r="J27" s="907"/>
      <c r="K27" s="907"/>
      <c r="L27" s="907"/>
      <c r="M27" s="907"/>
      <c r="N27" s="907"/>
      <c r="O27" s="907"/>
      <c r="P27" s="908"/>
    </row>
    <row r="28" spans="1:16" x14ac:dyDescent="0.2">
      <c r="A28" s="548" t="s">
        <v>201</v>
      </c>
      <c r="B28" s="549"/>
      <c r="C28" s="549"/>
      <c r="D28" s="549"/>
      <c r="E28" s="549"/>
      <c r="F28" s="909" t="s">
        <v>88</v>
      </c>
      <c r="G28" s="909"/>
      <c r="H28" s="909"/>
      <c r="I28" s="909"/>
      <c r="J28" s="909"/>
      <c r="K28" s="909"/>
      <c r="L28" s="909"/>
      <c r="M28" s="909"/>
      <c r="N28" s="909"/>
      <c r="O28" s="909"/>
      <c r="P28" s="910"/>
    </row>
    <row r="29" spans="1:16" x14ac:dyDescent="0.2">
      <c r="A29" s="196" t="s">
        <v>179</v>
      </c>
      <c r="B29" s="221" t="s">
        <v>202</v>
      </c>
      <c r="C29" s="221"/>
      <c r="D29" s="221"/>
      <c r="E29" s="221"/>
      <c r="F29" s="222">
        <f>F11</f>
        <v>2162.64</v>
      </c>
      <c r="G29" s="222">
        <f t="shared" ref="G29:P29" si="13">G11</f>
        <v>3507.3599999999997</v>
      </c>
      <c r="H29" s="222">
        <f t="shared" si="13"/>
        <v>3354.84</v>
      </c>
      <c r="I29" s="222">
        <f t="shared" si="13"/>
        <v>2630.52</v>
      </c>
      <c r="J29" s="222">
        <f t="shared" si="13"/>
        <v>3507.3599999999997</v>
      </c>
      <c r="K29" s="222">
        <f t="shared" si="13"/>
        <v>3419.6400000000003</v>
      </c>
      <c r="L29" s="222">
        <f t="shared" si="13"/>
        <v>4559.5200000000004</v>
      </c>
      <c r="M29" s="222">
        <f t="shared" si="13"/>
        <v>7434.12</v>
      </c>
      <c r="N29" s="222">
        <f t="shared" si="13"/>
        <v>4199.5200000000004</v>
      </c>
      <c r="O29" s="222">
        <f t="shared" si="13"/>
        <v>5478</v>
      </c>
      <c r="P29" s="223">
        <f t="shared" si="13"/>
        <v>3770.76</v>
      </c>
    </row>
    <row r="30" spans="1:16" x14ac:dyDescent="0.2">
      <c r="A30" s="196" t="s">
        <v>184</v>
      </c>
      <c r="B30" s="221" t="s">
        <v>183</v>
      </c>
      <c r="C30" s="221"/>
      <c r="D30" s="221"/>
      <c r="E30" s="221"/>
      <c r="F30" s="222">
        <f>F16</f>
        <v>425.31</v>
      </c>
      <c r="G30" s="222">
        <f t="shared" ref="G30:P30" si="14">G16</f>
        <v>804.3</v>
      </c>
      <c r="H30" s="222">
        <f t="shared" si="14"/>
        <v>810.3</v>
      </c>
      <c r="I30" s="222">
        <f t="shared" si="14"/>
        <v>406.9</v>
      </c>
      <c r="J30" s="222">
        <f t="shared" si="14"/>
        <v>804.3</v>
      </c>
      <c r="K30" s="222">
        <f t="shared" si="14"/>
        <v>375.85</v>
      </c>
      <c r="L30" s="222">
        <f t="shared" si="14"/>
        <v>762.9</v>
      </c>
      <c r="M30" s="222">
        <f t="shared" si="14"/>
        <v>649.79999999999995</v>
      </c>
      <c r="N30" s="222">
        <f t="shared" si="14"/>
        <v>777.06</v>
      </c>
      <c r="O30" s="222">
        <f t="shared" si="14"/>
        <v>294.86</v>
      </c>
      <c r="P30" s="223">
        <f t="shared" si="14"/>
        <v>793.94</v>
      </c>
    </row>
    <row r="31" spans="1:16" x14ac:dyDescent="0.2">
      <c r="A31" s="911" t="s">
        <v>203</v>
      </c>
      <c r="B31" s="912"/>
      <c r="C31" s="912"/>
      <c r="D31" s="912"/>
      <c r="E31" s="224"/>
      <c r="F31" s="225">
        <f>SUM(F29:F30)</f>
        <v>2587.9499999999998</v>
      </c>
      <c r="G31" s="225">
        <f t="shared" ref="G31:P31" si="15">SUM(G29:G30)</f>
        <v>4311.66</v>
      </c>
      <c r="H31" s="225">
        <f t="shared" si="15"/>
        <v>4165.1400000000003</v>
      </c>
      <c r="I31" s="225">
        <f t="shared" si="15"/>
        <v>3037.42</v>
      </c>
      <c r="J31" s="225">
        <f t="shared" si="15"/>
        <v>4311.66</v>
      </c>
      <c r="K31" s="225">
        <f t="shared" si="15"/>
        <v>3795.4900000000002</v>
      </c>
      <c r="L31" s="225">
        <f t="shared" si="15"/>
        <v>5322.42</v>
      </c>
      <c r="M31" s="225">
        <f t="shared" si="15"/>
        <v>8083.92</v>
      </c>
      <c r="N31" s="225">
        <f t="shared" si="15"/>
        <v>4976.58</v>
      </c>
      <c r="O31" s="225">
        <f t="shared" si="15"/>
        <v>5772.86</v>
      </c>
      <c r="P31" s="226">
        <f t="shared" si="15"/>
        <v>4564.7000000000007</v>
      </c>
    </row>
    <row r="32" spans="1:16" ht="13.5" thickBot="1" x14ac:dyDescent="0.25">
      <c r="A32" s="550" t="s">
        <v>204</v>
      </c>
      <c r="B32" s="551" t="s">
        <v>205</v>
      </c>
      <c r="C32" s="551"/>
      <c r="D32" s="551"/>
      <c r="E32" s="551"/>
      <c r="F32" s="552">
        <f>F25</f>
        <v>731.68000000000006</v>
      </c>
      <c r="G32" s="552">
        <f t="shared" ref="G32:P32" si="16">G25</f>
        <v>1219.01</v>
      </c>
      <c r="H32" s="552">
        <f t="shared" si="16"/>
        <v>1177.5900000000001</v>
      </c>
      <c r="I32" s="552">
        <f t="shared" si="16"/>
        <v>858.75</v>
      </c>
      <c r="J32" s="552">
        <f t="shared" si="16"/>
        <v>1219.01</v>
      </c>
      <c r="K32" s="552">
        <f t="shared" si="16"/>
        <v>1073.07</v>
      </c>
      <c r="L32" s="552">
        <f t="shared" si="16"/>
        <v>1504.78</v>
      </c>
      <c r="M32" s="552">
        <f t="shared" si="16"/>
        <v>2285.54</v>
      </c>
      <c r="N32" s="552">
        <f t="shared" si="16"/>
        <v>1407.01</v>
      </c>
      <c r="O32" s="552">
        <f t="shared" si="16"/>
        <v>1632.14</v>
      </c>
      <c r="P32" s="553">
        <f t="shared" si="16"/>
        <v>1290.55</v>
      </c>
    </row>
    <row r="33" spans="1:16" ht="13.5" thickBot="1" x14ac:dyDescent="0.25">
      <c r="A33" s="554" t="s">
        <v>206</v>
      </c>
      <c r="B33" s="555"/>
      <c r="C33" s="555"/>
      <c r="D33" s="555"/>
      <c r="E33" s="555"/>
      <c r="F33" s="556">
        <f>SUM(F31:F32)</f>
        <v>3319.63</v>
      </c>
      <c r="G33" s="556">
        <f t="shared" ref="G33:P33" si="17">SUM(G31:G32)</f>
        <v>5530.67</v>
      </c>
      <c r="H33" s="556">
        <f t="shared" si="17"/>
        <v>5342.7300000000005</v>
      </c>
      <c r="I33" s="556">
        <f t="shared" si="17"/>
        <v>3896.17</v>
      </c>
      <c r="J33" s="556">
        <f t="shared" si="17"/>
        <v>5530.67</v>
      </c>
      <c r="K33" s="556">
        <f t="shared" si="17"/>
        <v>4868.5600000000004</v>
      </c>
      <c r="L33" s="556">
        <f t="shared" si="17"/>
        <v>6827.2</v>
      </c>
      <c r="M33" s="556">
        <f t="shared" si="17"/>
        <v>10369.459999999999</v>
      </c>
      <c r="N33" s="556">
        <f t="shared" si="17"/>
        <v>6383.59</v>
      </c>
      <c r="O33" s="556">
        <f t="shared" si="17"/>
        <v>7405</v>
      </c>
      <c r="P33" s="557">
        <f t="shared" si="17"/>
        <v>5855.2500000000009</v>
      </c>
    </row>
  </sheetData>
  <sheetProtection algorithmName="SHA-512" hashValue="sj1G8aBiB0UrrjyRVJNNReA9qJXwaW76PyEqdcspc+FbCrNHCmH2Ay/UuPjP+KBrhW25lzQEokKPNC6QWmwIMg==" saltValue="Ei42NpMJME1B6RpXIPNVQA==" spinCount="100000" sheet="1" objects="1" scenarios="1"/>
  <mergeCells count="30">
    <mergeCell ref="F12:P12"/>
    <mergeCell ref="B13:D13"/>
    <mergeCell ref="A4:P4"/>
    <mergeCell ref="A5:D5"/>
    <mergeCell ref="E5:E6"/>
    <mergeCell ref="B6:D6"/>
    <mergeCell ref="F6:P6"/>
    <mergeCell ref="B7:E7"/>
    <mergeCell ref="B18:D18"/>
    <mergeCell ref="B19:D19"/>
    <mergeCell ref="B8:D8"/>
    <mergeCell ref="B9:D9"/>
    <mergeCell ref="A10:D10"/>
    <mergeCell ref="A11:E11"/>
    <mergeCell ref="A27:P27"/>
    <mergeCell ref="F28:P28"/>
    <mergeCell ref="A31:D31"/>
    <mergeCell ref="B1:P1"/>
    <mergeCell ref="B2:P2"/>
    <mergeCell ref="B3:P3"/>
    <mergeCell ref="B20:D20"/>
    <mergeCell ref="B21:D21"/>
    <mergeCell ref="B22:D22"/>
    <mergeCell ref="B23:D23"/>
    <mergeCell ref="B24:D24"/>
    <mergeCell ref="A26:P26"/>
    <mergeCell ref="B14:D14"/>
    <mergeCell ref="A16:E16"/>
    <mergeCell ref="B17:D17"/>
    <mergeCell ref="F17:P17"/>
  </mergeCells>
  <pageMargins left="0.51181102362204722" right="0.51181102362204722" top="0.78740157480314965" bottom="0.78740157480314965" header="0.31496062992125984" footer="0.31496062992125984"/>
  <pageSetup paperSize="9"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9"/>
  <sheetViews>
    <sheetView showGridLines="0" zoomScaleNormal="100" zoomScaleSheetLayoutView="130" workbookViewId="0">
      <selection activeCell="K26" sqref="K26"/>
    </sheetView>
  </sheetViews>
  <sheetFormatPr defaultRowHeight="12.75" x14ac:dyDescent="0.2"/>
  <cols>
    <col min="1" max="1" width="1.6640625" style="357" customWidth="1"/>
    <col min="2" max="2" width="8.5" style="357" bestFit="1" customWidth="1"/>
    <col min="3" max="3" width="5.1640625" style="357" bestFit="1" customWidth="1"/>
    <col min="4" max="4" width="8.83203125" style="357" bestFit="1" customWidth="1"/>
    <col min="5" max="5" width="6.33203125" style="357" bestFit="1" customWidth="1"/>
    <col min="6" max="6" width="9.6640625" style="357" bestFit="1" customWidth="1"/>
    <col min="7" max="7" width="8.6640625" style="357" bestFit="1" customWidth="1"/>
    <col min="8" max="8" width="3.83203125" style="357" customWidth="1"/>
    <col min="9" max="9" width="8.5" style="357" bestFit="1" customWidth="1"/>
    <col min="10" max="10" width="5.1640625" style="357" bestFit="1" customWidth="1"/>
    <col min="11" max="11" width="8.83203125" style="357" bestFit="1" customWidth="1"/>
    <col min="12" max="12" width="6.33203125" style="357" bestFit="1" customWidth="1"/>
    <col min="13" max="13" width="9.6640625" style="357" bestFit="1" customWidth="1"/>
    <col min="14" max="14" width="8.6640625" style="357" bestFit="1" customWidth="1"/>
    <col min="15" max="15" width="3.5" style="357" customWidth="1"/>
    <col min="16" max="16" width="8.5" style="357" bestFit="1" customWidth="1"/>
    <col min="17" max="17" width="5.1640625" style="357" bestFit="1" customWidth="1"/>
    <col min="18" max="18" width="8.83203125" style="357" bestFit="1" customWidth="1"/>
    <col min="19" max="19" width="6.33203125" style="357" bestFit="1" customWidth="1"/>
    <col min="20" max="20" width="9.6640625" style="357" bestFit="1" customWidth="1"/>
    <col min="21" max="21" width="8.6640625" style="357" bestFit="1" customWidth="1"/>
    <col min="22" max="22" width="3.5" style="357" customWidth="1"/>
    <col min="23" max="23" width="8.5" style="357" bestFit="1" customWidth="1"/>
    <col min="24" max="24" width="5.1640625" style="357" bestFit="1" customWidth="1"/>
    <col min="25" max="25" width="8.83203125" style="357" bestFit="1" customWidth="1"/>
    <col min="26" max="26" width="6.33203125" style="357" bestFit="1" customWidth="1"/>
    <col min="27" max="27" width="9.6640625" style="357" bestFit="1" customWidth="1"/>
    <col min="28" max="28" width="8.6640625" style="357" bestFit="1" customWidth="1"/>
    <col min="29" max="29" width="3.5" style="357" customWidth="1"/>
    <col min="30" max="30" width="8.5" style="357" bestFit="1" customWidth="1"/>
    <col min="31" max="31" width="5.1640625" style="357" bestFit="1" customWidth="1"/>
    <col min="32" max="256" width="9.33203125" style="357"/>
    <col min="257" max="257" width="1.6640625" style="357" customWidth="1"/>
    <col min="258" max="258" width="8.5" style="357" bestFit="1" customWidth="1"/>
    <col min="259" max="259" width="5.1640625" style="357" bestFit="1" customWidth="1"/>
    <col min="260" max="260" width="8.83203125" style="357" bestFit="1" customWidth="1"/>
    <col min="261" max="261" width="6.33203125" style="357" bestFit="1" customWidth="1"/>
    <col min="262" max="262" width="9.6640625" style="357" bestFit="1" customWidth="1"/>
    <col min="263" max="263" width="8.6640625" style="357" bestFit="1" customWidth="1"/>
    <col min="264" max="264" width="3.83203125" style="357" customWidth="1"/>
    <col min="265" max="265" width="8.5" style="357" bestFit="1" customWidth="1"/>
    <col min="266" max="266" width="5.1640625" style="357" bestFit="1" customWidth="1"/>
    <col min="267" max="267" width="8.83203125" style="357" bestFit="1" customWidth="1"/>
    <col min="268" max="268" width="6.33203125" style="357" bestFit="1" customWidth="1"/>
    <col min="269" max="269" width="9.6640625" style="357" bestFit="1" customWidth="1"/>
    <col min="270" max="270" width="8.6640625" style="357" bestFit="1" customWidth="1"/>
    <col min="271" max="271" width="3.5" style="357" customWidth="1"/>
    <col min="272" max="272" width="8.5" style="357" bestFit="1" customWidth="1"/>
    <col min="273" max="273" width="5.1640625" style="357" bestFit="1" customWidth="1"/>
    <col min="274" max="274" width="8.83203125" style="357" bestFit="1" customWidth="1"/>
    <col min="275" max="275" width="6.33203125" style="357" bestFit="1" customWidth="1"/>
    <col min="276" max="276" width="9.6640625" style="357" bestFit="1" customWidth="1"/>
    <col min="277" max="277" width="8.6640625" style="357" bestFit="1" customWidth="1"/>
    <col min="278" max="278" width="3.5" style="357" customWidth="1"/>
    <col min="279" max="279" width="8.5" style="357" bestFit="1" customWidth="1"/>
    <col min="280" max="280" width="5.1640625" style="357" bestFit="1" customWidth="1"/>
    <col min="281" max="281" width="8.83203125" style="357" bestFit="1" customWidth="1"/>
    <col min="282" max="282" width="6.33203125" style="357" bestFit="1" customWidth="1"/>
    <col min="283" max="283" width="9.6640625" style="357" bestFit="1" customWidth="1"/>
    <col min="284" max="284" width="8.6640625" style="357" bestFit="1" customWidth="1"/>
    <col min="285" max="285" width="3.5" style="357" customWidth="1"/>
    <col min="286" max="286" width="8.5" style="357" bestFit="1" customWidth="1"/>
    <col min="287" max="287" width="5.1640625" style="357" bestFit="1" customWidth="1"/>
    <col min="288" max="512" width="9.33203125" style="357"/>
    <col min="513" max="513" width="1.6640625" style="357" customWidth="1"/>
    <col min="514" max="514" width="8.5" style="357" bestFit="1" customWidth="1"/>
    <col min="515" max="515" width="5.1640625" style="357" bestFit="1" customWidth="1"/>
    <col min="516" max="516" width="8.83203125" style="357" bestFit="1" customWidth="1"/>
    <col min="517" max="517" width="6.33203125" style="357" bestFit="1" customWidth="1"/>
    <col min="518" max="518" width="9.6640625" style="357" bestFit="1" customWidth="1"/>
    <col min="519" max="519" width="8.6640625" style="357" bestFit="1" customWidth="1"/>
    <col min="520" max="520" width="3.83203125" style="357" customWidth="1"/>
    <col min="521" max="521" width="8.5" style="357" bestFit="1" customWidth="1"/>
    <col min="522" max="522" width="5.1640625" style="357" bestFit="1" customWidth="1"/>
    <col min="523" max="523" width="8.83203125" style="357" bestFit="1" customWidth="1"/>
    <col min="524" max="524" width="6.33203125" style="357" bestFit="1" customWidth="1"/>
    <col min="525" max="525" width="9.6640625" style="357" bestFit="1" customWidth="1"/>
    <col min="526" max="526" width="8.6640625" style="357" bestFit="1" customWidth="1"/>
    <col min="527" max="527" width="3.5" style="357" customWidth="1"/>
    <col min="528" max="528" width="8.5" style="357" bestFit="1" customWidth="1"/>
    <col min="529" max="529" width="5.1640625" style="357" bestFit="1" customWidth="1"/>
    <col min="530" max="530" width="8.83203125" style="357" bestFit="1" customWidth="1"/>
    <col min="531" max="531" width="6.33203125" style="357" bestFit="1" customWidth="1"/>
    <col min="532" max="532" width="9.6640625" style="357" bestFit="1" customWidth="1"/>
    <col min="533" max="533" width="8.6640625" style="357" bestFit="1" customWidth="1"/>
    <col min="534" max="534" width="3.5" style="357" customWidth="1"/>
    <col min="535" max="535" width="8.5" style="357" bestFit="1" customWidth="1"/>
    <col min="536" max="536" width="5.1640625" style="357" bestFit="1" customWidth="1"/>
    <col min="537" max="537" width="8.83203125" style="357" bestFit="1" customWidth="1"/>
    <col min="538" max="538" width="6.33203125" style="357" bestFit="1" customWidth="1"/>
    <col min="539" max="539" width="9.6640625" style="357" bestFit="1" customWidth="1"/>
    <col min="540" max="540" width="8.6640625" style="357" bestFit="1" customWidth="1"/>
    <col min="541" max="541" width="3.5" style="357" customWidth="1"/>
    <col min="542" max="542" width="8.5" style="357" bestFit="1" customWidth="1"/>
    <col min="543" max="543" width="5.1640625" style="357" bestFit="1" customWidth="1"/>
    <col min="544" max="768" width="9.33203125" style="357"/>
    <col min="769" max="769" width="1.6640625" style="357" customWidth="1"/>
    <col min="770" max="770" width="8.5" style="357" bestFit="1" customWidth="1"/>
    <col min="771" max="771" width="5.1640625" style="357" bestFit="1" customWidth="1"/>
    <col min="772" max="772" width="8.83203125" style="357" bestFit="1" customWidth="1"/>
    <col min="773" max="773" width="6.33203125" style="357" bestFit="1" customWidth="1"/>
    <col min="774" max="774" width="9.6640625" style="357" bestFit="1" customWidth="1"/>
    <col min="775" max="775" width="8.6640625" style="357" bestFit="1" customWidth="1"/>
    <col min="776" max="776" width="3.83203125" style="357" customWidth="1"/>
    <col min="777" max="777" width="8.5" style="357" bestFit="1" customWidth="1"/>
    <col min="778" max="778" width="5.1640625" style="357" bestFit="1" customWidth="1"/>
    <col min="779" max="779" width="8.83203125" style="357" bestFit="1" customWidth="1"/>
    <col min="780" max="780" width="6.33203125" style="357" bestFit="1" customWidth="1"/>
    <col min="781" max="781" width="9.6640625" style="357" bestFit="1" customWidth="1"/>
    <col min="782" max="782" width="8.6640625" style="357" bestFit="1" customWidth="1"/>
    <col min="783" max="783" width="3.5" style="357" customWidth="1"/>
    <col min="784" max="784" width="8.5" style="357" bestFit="1" customWidth="1"/>
    <col min="785" max="785" width="5.1640625" style="357" bestFit="1" customWidth="1"/>
    <col min="786" max="786" width="8.83203125" style="357" bestFit="1" customWidth="1"/>
    <col min="787" max="787" width="6.33203125" style="357" bestFit="1" customWidth="1"/>
    <col min="788" max="788" width="9.6640625" style="357" bestFit="1" customWidth="1"/>
    <col min="789" max="789" width="8.6640625" style="357" bestFit="1" customWidth="1"/>
    <col min="790" max="790" width="3.5" style="357" customWidth="1"/>
    <col min="791" max="791" width="8.5" style="357" bestFit="1" customWidth="1"/>
    <col min="792" max="792" width="5.1640625" style="357" bestFit="1" customWidth="1"/>
    <col min="793" max="793" width="8.83203125" style="357" bestFit="1" customWidth="1"/>
    <col min="794" max="794" width="6.33203125" style="357" bestFit="1" customWidth="1"/>
    <col min="795" max="795" width="9.6640625" style="357" bestFit="1" customWidth="1"/>
    <col min="796" max="796" width="8.6640625" style="357" bestFit="1" customWidth="1"/>
    <col min="797" max="797" width="3.5" style="357" customWidth="1"/>
    <col min="798" max="798" width="8.5" style="357" bestFit="1" customWidth="1"/>
    <col min="799" max="799" width="5.1640625" style="357" bestFit="1" customWidth="1"/>
    <col min="800" max="1024" width="9.33203125" style="357"/>
    <col min="1025" max="1025" width="1.6640625" style="357" customWidth="1"/>
    <col min="1026" max="1026" width="8.5" style="357" bestFit="1" customWidth="1"/>
    <col min="1027" max="1027" width="5.1640625" style="357" bestFit="1" customWidth="1"/>
    <col min="1028" max="1028" width="8.83203125" style="357" bestFit="1" customWidth="1"/>
    <col min="1029" max="1029" width="6.33203125" style="357" bestFit="1" customWidth="1"/>
    <col min="1030" max="1030" width="9.6640625" style="357" bestFit="1" customWidth="1"/>
    <col min="1031" max="1031" width="8.6640625" style="357" bestFit="1" customWidth="1"/>
    <col min="1032" max="1032" width="3.83203125" style="357" customWidth="1"/>
    <col min="1033" max="1033" width="8.5" style="357" bestFit="1" customWidth="1"/>
    <col min="1034" max="1034" width="5.1640625" style="357" bestFit="1" customWidth="1"/>
    <col min="1035" max="1035" width="8.83203125" style="357" bestFit="1" customWidth="1"/>
    <col min="1036" max="1036" width="6.33203125" style="357" bestFit="1" customWidth="1"/>
    <col min="1037" max="1037" width="9.6640625" style="357" bestFit="1" customWidth="1"/>
    <col min="1038" max="1038" width="8.6640625" style="357" bestFit="1" customWidth="1"/>
    <col min="1039" max="1039" width="3.5" style="357" customWidth="1"/>
    <col min="1040" max="1040" width="8.5" style="357" bestFit="1" customWidth="1"/>
    <col min="1041" max="1041" width="5.1640625" style="357" bestFit="1" customWidth="1"/>
    <col min="1042" max="1042" width="8.83203125" style="357" bestFit="1" customWidth="1"/>
    <col min="1043" max="1043" width="6.33203125" style="357" bestFit="1" customWidth="1"/>
    <col min="1044" max="1044" width="9.6640625" style="357" bestFit="1" customWidth="1"/>
    <col min="1045" max="1045" width="8.6640625" style="357" bestFit="1" customWidth="1"/>
    <col min="1046" max="1046" width="3.5" style="357" customWidth="1"/>
    <col min="1047" max="1047" width="8.5" style="357" bestFit="1" customWidth="1"/>
    <col min="1048" max="1048" width="5.1640625" style="357" bestFit="1" customWidth="1"/>
    <col min="1049" max="1049" width="8.83203125" style="357" bestFit="1" customWidth="1"/>
    <col min="1050" max="1050" width="6.33203125" style="357" bestFit="1" customWidth="1"/>
    <col min="1051" max="1051" width="9.6640625" style="357" bestFit="1" customWidth="1"/>
    <col min="1052" max="1052" width="8.6640625" style="357" bestFit="1" customWidth="1"/>
    <col min="1053" max="1053" width="3.5" style="357" customWidth="1"/>
    <col min="1054" max="1054" width="8.5" style="357" bestFit="1" customWidth="1"/>
    <col min="1055" max="1055" width="5.1640625" style="357" bestFit="1" customWidth="1"/>
    <col min="1056" max="1280" width="9.33203125" style="357"/>
    <col min="1281" max="1281" width="1.6640625" style="357" customWidth="1"/>
    <col min="1282" max="1282" width="8.5" style="357" bestFit="1" customWidth="1"/>
    <col min="1283" max="1283" width="5.1640625" style="357" bestFit="1" customWidth="1"/>
    <col min="1284" max="1284" width="8.83203125" style="357" bestFit="1" customWidth="1"/>
    <col min="1285" max="1285" width="6.33203125" style="357" bestFit="1" customWidth="1"/>
    <col min="1286" max="1286" width="9.6640625" style="357" bestFit="1" customWidth="1"/>
    <col min="1287" max="1287" width="8.6640625" style="357" bestFit="1" customWidth="1"/>
    <col min="1288" max="1288" width="3.83203125" style="357" customWidth="1"/>
    <col min="1289" max="1289" width="8.5" style="357" bestFit="1" customWidth="1"/>
    <col min="1290" max="1290" width="5.1640625" style="357" bestFit="1" customWidth="1"/>
    <col min="1291" max="1291" width="8.83203125" style="357" bestFit="1" customWidth="1"/>
    <col min="1292" max="1292" width="6.33203125" style="357" bestFit="1" customWidth="1"/>
    <col min="1293" max="1293" width="9.6640625" style="357" bestFit="1" customWidth="1"/>
    <col min="1294" max="1294" width="8.6640625" style="357" bestFit="1" customWidth="1"/>
    <col min="1295" max="1295" width="3.5" style="357" customWidth="1"/>
    <col min="1296" max="1296" width="8.5" style="357" bestFit="1" customWidth="1"/>
    <col min="1297" max="1297" width="5.1640625" style="357" bestFit="1" customWidth="1"/>
    <col min="1298" max="1298" width="8.83203125" style="357" bestFit="1" customWidth="1"/>
    <col min="1299" max="1299" width="6.33203125" style="357" bestFit="1" customWidth="1"/>
    <col min="1300" max="1300" width="9.6640625" style="357" bestFit="1" customWidth="1"/>
    <col min="1301" max="1301" width="8.6640625" style="357" bestFit="1" customWidth="1"/>
    <col min="1302" max="1302" width="3.5" style="357" customWidth="1"/>
    <col min="1303" max="1303" width="8.5" style="357" bestFit="1" customWidth="1"/>
    <col min="1304" max="1304" width="5.1640625" style="357" bestFit="1" customWidth="1"/>
    <col min="1305" max="1305" width="8.83203125" style="357" bestFit="1" customWidth="1"/>
    <col min="1306" max="1306" width="6.33203125" style="357" bestFit="1" customWidth="1"/>
    <col min="1307" max="1307" width="9.6640625" style="357" bestFit="1" customWidth="1"/>
    <col min="1308" max="1308" width="8.6640625" style="357" bestFit="1" customWidth="1"/>
    <col min="1309" max="1309" width="3.5" style="357" customWidth="1"/>
    <col min="1310" max="1310" width="8.5" style="357" bestFit="1" customWidth="1"/>
    <col min="1311" max="1311" width="5.1640625" style="357" bestFit="1" customWidth="1"/>
    <col min="1312" max="1536" width="9.33203125" style="357"/>
    <col min="1537" max="1537" width="1.6640625" style="357" customWidth="1"/>
    <col min="1538" max="1538" width="8.5" style="357" bestFit="1" customWidth="1"/>
    <col min="1539" max="1539" width="5.1640625" style="357" bestFit="1" customWidth="1"/>
    <col min="1540" max="1540" width="8.83203125" style="357" bestFit="1" customWidth="1"/>
    <col min="1541" max="1541" width="6.33203125" style="357" bestFit="1" customWidth="1"/>
    <col min="1542" max="1542" width="9.6640625" style="357" bestFit="1" customWidth="1"/>
    <col min="1543" max="1543" width="8.6640625" style="357" bestFit="1" customWidth="1"/>
    <col min="1544" max="1544" width="3.83203125" style="357" customWidth="1"/>
    <col min="1545" max="1545" width="8.5" style="357" bestFit="1" customWidth="1"/>
    <col min="1546" max="1546" width="5.1640625" style="357" bestFit="1" customWidth="1"/>
    <col min="1547" max="1547" width="8.83203125" style="357" bestFit="1" customWidth="1"/>
    <col min="1548" max="1548" width="6.33203125" style="357" bestFit="1" customWidth="1"/>
    <col min="1549" max="1549" width="9.6640625" style="357" bestFit="1" customWidth="1"/>
    <col min="1550" max="1550" width="8.6640625" style="357" bestFit="1" customWidth="1"/>
    <col min="1551" max="1551" width="3.5" style="357" customWidth="1"/>
    <col min="1552" max="1552" width="8.5" style="357" bestFit="1" customWidth="1"/>
    <col min="1553" max="1553" width="5.1640625" style="357" bestFit="1" customWidth="1"/>
    <col min="1554" max="1554" width="8.83203125" style="357" bestFit="1" customWidth="1"/>
    <col min="1555" max="1555" width="6.33203125" style="357" bestFit="1" customWidth="1"/>
    <col min="1556" max="1556" width="9.6640625" style="357" bestFit="1" customWidth="1"/>
    <col min="1557" max="1557" width="8.6640625" style="357" bestFit="1" customWidth="1"/>
    <col min="1558" max="1558" width="3.5" style="357" customWidth="1"/>
    <col min="1559" max="1559" width="8.5" style="357" bestFit="1" customWidth="1"/>
    <col min="1560" max="1560" width="5.1640625" style="357" bestFit="1" customWidth="1"/>
    <col min="1561" max="1561" width="8.83203125" style="357" bestFit="1" customWidth="1"/>
    <col min="1562" max="1562" width="6.33203125" style="357" bestFit="1" customWidth="1"/>
    <col min="1563" max="1563" width="9.6640625" style="357" bestFit="1" customWidth="1"/>
    <col min="1564" max="1564" width="8.6640625" style="357" bestFit="1" customWidth="1"/>
    <col min="1565" max="1565" width="3.5" style="357" customWidth="1"/>
    <col min="1566" max="1566" width="8.5" style="357" bestFit="1" customWidth="1"/>
    <col min="1567" max="1567" width="5.1640625" style="357" bestFit="1" customWidth="1"/>
    <col min="1568" max="1792" width="9.33203125" style="357"/>
    <col min="1793" max="1793" width="1.6640625" style="357" customWidth="1"/>
    <col min="1794" max="1794" width="8.5" style="357" bestFit="1" customWidth="1"/>
    <col min="1795" max="1795" width="5.1640625" style="357" bestFit="1" customWidth="1"/>
    <col min="1796" max="1796" width="8.83203125" style="357" bestFit="1" customWidth="1"/>
    <col min="1797" max="1797" width="6.33203125" style="357" bestFit="1" customWidth="1"/>
    <col min="1798" max="1798" width="9.6640625" style="357" bestFit="1" customWidth="1"/>
    <col min="1799" max="1799" width="8.6640625" style="357" bestFit="1" customWidth="1"/>
    <col min="1800" max="1800" width="3.83203125" style="357" customWidth="1"/>
    <col min="1801" max="1801" width="8.5" style="357" bestFit="1" customWidth="1"/>
    <col min="1802" max="1802" width="5.1640625" style="357" bestFit="1" customWidth="1"/>
    <col min="1803" max="1803" width="8.83203125" style="357" bestFit="1" customWidth="1"/>
    <col min="1804" max="1804" width="6.33203125" style="357" bestFit="1" customWidth="1"/>
    <col min="1805" max="1805" width="9.6640625" style="357" bestFit="1" customWidth="1"/>
    <col min="1806" max="1806" width="8.6640625" style="357" bestFit="1" customWidth="1"/>
    <col min="1807" max="1807" width="3.5" style="357" customWidth="1"/>
    <col min="1808" max="1808" width="8.5" style="357" bestFit="1" customWidth="1"/>
    <col min="1809" max="1809" width="5.1640625" style="357" bestFit="1" customWidth="1"/>
    <col min="1810" max="1810" width="8.83203125" style="357" bestFit="1" customWidth="1"/>
    <col min="1811" max="1811" width="6.33203125" style="357" bestFit="1" customWidth="1"/>
    <col min="1812" max="1812" width="9.6640625" style="357" bestFit="1" customWidth="1"/>
    <col min="1813" max="1813" width="8.6640625" style="357" bestFit="1" customWidth="1"/>
    <col min="1814" max="1814" width="3.5" style="357" customWidth="1"/>
    <col min="1815" max="1815" width="8.5" style="357" bestFit="1" customWidth="1"/>
    <col min="1816" max="1816" width="5.1640625" style="357" bestFit="1" customWidth="1"/>
    <col min="1817" max="1817" width="8.83203125" style="357" bestFit="1" customWidth="1"/>
    <col min="1818" max="1818" width="6.33203125" style="357" bestFit="1" customWidth="1"/>
    <col min="1819" max="1819" width="9.6640625" style="357" bestFit="1" customWidth="1"/>
    <col min="1820" max="1820" width="8.6640625" style="357" bestFit="1" customWidth="1"/>
    <col min="1821" max="1821" width="3.5" style="357" customWidth="1"/>
    <col min="1822" max="1822" width="8.5" style="357" bestFit="1" customWidth="1"/>
    <col min="1823" max="1823" width="5.1640625" style="357" bestFit="1" customWidth="1"/>
    <col min="1824" max="2048" width="9.33203125" style="357"/>
    <col min="2049" max="2049" width="1.6640625" style="357" customWidth="1"/>
    <col min="2050" max="2050" width="8.5" style="357" bestFit="1" customWidth="1"/>
    <col min="2051" max="2051" width="5.1640625" style="357" bestFit="1" customWidth="1"/>
    <col min="2052" max="2052" width="8.83203125" style="357" bestFit="1" customWidth="1"/>
    <col min="2053" max="2053" width="6.33203125" style="357" bestFit="1" customWidth="1"/>
    <col min="2054" max="2054" width="9.6640625" style="357" bestFit="1" customWidth="1"/>
    <col min="2055" max="2055" width="8.6640625" style="357" bestFit="1" customWidth="1"/>
    <col min="2056" max="2056" width="3.83203125" style="357" customWidth="1"/>
    <col min="2057" max="2057" width="8.5" style="357" bestFit="1" customWidth="1"/>
    <col min="2058" max="2058" width="5.1640625" style="357" bestFit="1" customWidth="1"/>
    <col min="2059" max="2059" width="8.83203125" style="357" bestFit="1" customWidth="1"/>
    <col min="2060" max="2060" width="6.33203125" style="357" bestFit="1" customWidth="1"/>
    <col min="2061" max="2061" width="9.6640625" style="357" bestFit="1" customWidth="1"/>
    <col min="2062" max="2062" width="8.6640625" style="357" bestFit="1" customWidth="1"/>
    <col min="2063" max="2063" width="3.5" style="357" customWidth="1"/>
    <col min="2064" max="2064" width="8.5" style="357" bestFit="1" customWidth="1"/>
    <col min="2065" max="2065" width="5.1640625" style="357" bestFit="1" customWidth="1"/>
    <col min="2066" max="2066" width="8.83203125" style="357" bestFit="1" customWidth="1"/>
    <col min="2067" max="2067" width="6.33203125" style="357" bestFit="1" customWidth="1"/>
    <col min="2068" max="2068" width="9.6640625" style="357" bestFit="1" customWidth="1"/>
    <col min="2069" max="2069" width="8.6640625" style="357" bestFit="1" customWidth="1"/>
    <col min="2070" max="2070" width="3.5" style="357" customWidth="1"/>
    <col min="2071" max="2071" width="8.5" style="357" bestFit="1" customWidth="1"/>
    <col min="2072" max="2072" width="5.1640625" style="357" bestFit="1" customWidth="1"/>
    <col min="2073" max="2073" width="8.83203125" style="357" bestFit="1" customWidth="1"/>
    <col min="2074" max="2074" width="6.33203125" style="357" bestFit="1" customWidth="1"/>
    <col min="2075" max="2075" width="9.6640625" style="357" bestFit="1" customWidth="1"/>
    <col min="2076" max="2076" width="8.6640625" style="357" bestFit="1" customWidth="1"/>
    <col min="2077" max="2077" width="3.5" style="357" customWidth="1"/>
    <col min="2078" max="2078" width="8.5" style="357" bestFit="1" customWidth="1"/>
    <col min="2079" max="2079" width="5.1640625" style="357" bestFit="1" customWidth="1"/>
    <col min="2080" max="2304" width="9.33203125" style="357"/>
    <col min="2305" max="2305" width="1.6640625" style="357" customWidth="1"/>
    <col min="2306" max="2306" width="8.5" style="357" bestFit="1" customWidth="1"/>
    <col min="2307" max="2307" width="5.1640625" style="357" bestFit="1" customWidth="1"/>
    <col min="2308" max="2308" width="8.83203125" style="357" bestFit="1" customWidth="1"/>
    <col min="2309" max="2309" width="6.33203125" style="357" bestFit="1" customWidth="1"/>
    <col min="2310" max="2310" width="9.6640625" style="357" bestFit="1" customWidth="1"/>
    <col min="2311" max="2311" width="8.6640625" style="357" bestFit="1" customWidth="1"/>
    <col min="2312" max="2312" width="3.83203125" style="357" customWidth="1"/>
    <col min="2313" max="2313" width="8.5" style="357" bestFit="1" customWidth="1"/>
    <col min="2314" max="2314" width="5.1640625" style="357" bestFit="1" customWidth="1"/>
    <col min="2315" max="2315" width="8.83203125" style="357" bestFit="1" customWidth="1"/>
    <col min="2316" max="2316" width="6.33203125" style="357" bestFit="1" customWidth="1"/>
    <col min="2317" max="2317" width="9.6640625" style="357" bestFit="1" customWidth="1"/>
    <col min="2318" max="2318" width="8.6640625" style="357" bestFit="1" customWidth="1"/>
    <col min="2319" max="2319" width="3.5" style="357" customWidth="1"/>
    <col min="2320" max="2320" width="8.5" style="357" bestFit="1" customWidth="1"/>
    <col min="2321" max="2321" width="5.1640625" style="357" bestFit="1" customWidth="1"/>
    <col min="2322" max="2322" width="8.83203125" style="357" bestFit="1" customWidth="1"/>
    <col min="2323" max="2323" width="6.33203125" style="357" bestFit="1" customWidth="1"/>
    <col min="2324" max="2324" width="9.6640625" style="357" bestFit="1" customWidth="1"/>
    <col min="2325" max="2325" width="8.6640625" style="357" bestFit="1" customWidth="1"/>
    <col min="2326" max="2326" width="3.5" style="357" customWidth="1"/>
    <col min="2327" max="2327" width="8.5" style="357" bestFit="1" customWidth="1"/>
    <col min="2328" max="2328" width="5.1640625" style="357" bestFit="1" customWidth="1"/>
    <col min="2329" max="2329" width="8.83203125" style="357" bestFit="1" customWidth="1"/>
    <col min="2330" max="2330" width="6.33203125" style="357" bestFit="1" customWidth="1"/>
    <col min="2331" max="2331" width="9.6640625" style="357" bestFit="1" customWidth="1"/>
    <col min="2332" max="2332" width="8.6640625" style="357" bestFit="1" customWidth="1"/>
    <col min="2333" max="2333" width="3.5" style="357" customWidth="1"/>
    <col min="2334" max="2334" width="8.5" style="357" bestFit="1" customWidth="1"/>
    <col min="2335" max="2335" width="5.1640625" style="357" bestFit="1" customWidth="1"/>
    <col min="2336" max="2560" width="9.33203125" style="357"/>
    <col min="2561" max="2561" width="1.6640625" style="357" customWidth="1"/>
    <col min="2562" max="2562" width="8.5" style="357" bestFit="1" customWidth="1"/>
    <col min="2563" max="2563" width="5.1640625" style="357" bestFit="1" customWidth="1"/>
    <col min="2564" max="2564" width="8.83203125" style="357" bestFit="1" customWidth="1"/>
    <col min="2565" max="2565" width="6.33203125" style="357" bestFit="1" customWidth="1"/>
    <col min="2566" max="2566" width="9.6640625" style="357" bestFit="1" customWidth="1"/>
    <col min="2567" max="2567" width="8.6640625" style="357" bestFit="1" customWidth="1"/>
    <col min="2568" max="2568" width="3.83203125" style="357" customWidth="1"/>
    <col min="2569" max="2569" width="8.5" style="357" bestFit="1" customWidth="1"/>
    <col min="2570" max="2570" width="5.1640625" style="357" bestFit="1" customWidth="1"/>
    <col min="2571" max="2571" width="8.83203125" style="357" bestFit="1" customWidth="1"/>
    <col min="2572" max="2572" width="6.33203125" style="357" bestFit="1" customWidth="1"/>
    <col min="2573" max="2573" width="9.6640625" style="357" bestFit="1" customWidth="1"/>
    <col min="2574" max="2574" width="8.6640625" style="357" bestFit="1" customWidth="1"/>
    <col min="2575" max="2575" width="3.5" style="357" customWidth="1"/>
    <col min="2576" max="2576" width="8.5" style="357" bestFit="1" customWidth="1"/>
    <col min="2577" max="2577" width="5.1640625" style="357" bestFit="1" customWidth="1"/>
    <col min="2578" max="2578" width="8.83203125" style="357" bestFit="1" customWidth="1"/>
    <col min="2579" max="2579" width="6.33203125" style="357" bestFit="1" customWidth="1"/>
    <col min="2580" max="2580" width="9.6640625" style="357" bestFit="1" customWidth="1"/>
    <col min="2581" max="2581" width="8.6640625" style="357" bestFit="1" customWidth="1"/>
    <col min="2582" max="2582" width="3.5" style="357" customWidth="1"/>
    <col min="2583" max="2583" width="8.5" style="357" bestFit="1" customWidth="1"/>
    <col min="2584" max="2584" width="5.1640625" style="357" bestFit="1" customWidth="1"/>
    <col min="2585" max="2585" width="8.83203125" style="357" bestFit="1" customWidth="1"/>
    <col min="2586" max="2586" width="6.33203125" style="357" bestFit="1" customWidth="1"/>
    <col min="2587" max="2587" width="9.6640625" style="357" bestFit="1" customWidth="1"/>
    <col min="2588" max="2588" width="8.6640625" style="357" bestFit="1" customWidth="1"/>
    <col min="2589" max="2589" width="3.5" style="357" customWidth="1"/>
    <col min="2590" max="2590" width="8.5" style="357" bestFit="1" customWidth="1"/>
    <col min="2591" max="2591" width="5.1640625" style="357" bestFit="1" customWidth="1"/>
    <col min="2592" max="2816" width="9.33203125" style="357"/>
    <col min="2817" max="2817" width="1.6640625" style="357" customWidth="1"/>
    <col min="2818" max="2818" width="8.5" style="357" bestFit="1" customWidth="1"/>
    <col min="2819" max="2819" width="5.1640625" style="357" bestFit="1" customWidth="1"/>
    <col min="2820" max="2820" width="8.83203125" style="357" bestFit="1" customWidth="1"/>
    <col min="2821" max="2821" width="6.33203125" style="357" bestFit="1" customWidth="1"/>
    <col min="2822" max="2822" width="9.6640625" style="357" bestFit="1" customWidth="1"/>
    <col min="2823" max="2823" width="8.6640625" style="357" bestFit="1" customWidth="1"/>
    <col min="2824" max="2824" width="3.83203125" style="357" customWidth="1"/>
    <col min="2825" max="2825" width="8.5" style="357" bestFit="1" customWidth="1"/>
    <col min="2826" max="2826" width="5.1640625" style="357" bestFit="1" customWidth="1"/>
    <col min="2827" max="2827" width="8.83203125" style="357" bestFit="1" customWidth="1"/>
    <col min="2828" max="2828" width="6.33203125" style="357" bestFit="1" customWidth="1"/>
    <col min="2829" max="2829" width="9.6640625" style="357" bestFit="1" customWidth="1"/>
    <col min="2830" max="2830" width="8.6640625" style="357" bestFit="1" customWidth="1"/>
    <col min="2831" max="2831" width="3.5" style="357" customWidth="1"/>
    <col min="2832" max="2832" width="8.5" style="357" bestFit="1" customWidth="1"/>
    <col min="2833" max="2833" width="5.1640625" style="357" bestFit="1" customWidth="1"/>
    <col min="2834" max="2834" width="8.83203125" style="357" bestFit="1" customWidth="1"/>
    <col min="2835" max="2835" width="6.33203125" style="357" bestFit="1" customWidth="1"/>
    <col min="2836" max="2836" width="9.6640625" style="357" bestFit="1" customWidth="1"/>
    <col min="2837" max="2837" width="8.6640625" style="357" bestFit="1" customWidth="1"/>
    <col min="2838" max="2838" width="3.5" style="357" customWidth="1"/>
    <col min="2839" max="2839" width="8.5" style="357" bestFit="1" customWidth="1"/>
    <col min="2840" max="2840" width="5.1640625" style="357" bestFit="1" customWidth="1"/>
    <col min="2841" max="2841" width="8.83203125" style="357" bestFit="1" customWidth="1"/>
    <col min="2842" max="2842" width="6.33203125" style="357" bestFit="1" customWidth="1"/>
    <col min="2843" max="2843" width="9.6640625" style="357" bestFit="1" customWidth="1"/>
    <col min="2844" max="2844" width="8.6640625" style="357" bestFit="1" customWidth="1"/>
    <col min="2845" max="2845" width="3.5" style="357" customWidth="1"/>
    <col min="2846" max="2846" width="8.5" style="357" bestFit="1" customWidth="1"/>
    <col min="2847" max="2847" width="5.1640625" style="357" bestFit="1" customWidth="1"/>
    <col min="2848" max="3072" width="9.33203125" style="357"/>
    <col min="3073" max="3073" width="1.6640625" style="357" customWidth="1"/>
    <col min="3074" max="3074" width="8.5" style="357" bestFit="1" customWidth="1"/>
    <col min="3075" max="3075" width="5.1640625" style="357" bestFit="1" customWidth="1"/>
    <col min="3076" max="3076" width="8.83203125" style="357" bestFit="1" customWidth="1"/>
    <col min="3077" max="3077" width="6.33203125" style="357" bestFit="1" customWidth="1"/>
    <col min="3078" max="3078" width="9.6640625" style="357" bestFit="1" customWidth="1"/>
    <col min="3079" max="3079" width="8.6640625" style="357" bestFit="1" customWidth="1"/>
    <col min="3080" max="3080" width="3.83203125" style="357" customWidth="1"/>
    <col min="3081" max="3081" width="8.5" style="357" bestFit="1" customWidth="1"/>
    <col min="3082" max="3082" width="5.1640625" style="357" bestFit="1" customWidth="1"/>
    <col min="3083" max="3083" width="8.83203125" style="357" bestFit="1" customWidth="1"/>
    <col min="3084" max="3084" width="6.33203125" style="357" bestFit="1" customWidth="1"/>
    <col min="3085" max="3085" width="9.6640625" style="357" bestFit="1" customWidth="1"/>
    <col min="3086" max="3086" width="8.6640625" style="357" bestFit="1" customWidth="1"/>
    <col min="3087" max="3087" width="3.5" style="357" customWidth="1"/>
    <col min="3088" max="3088" width="8.5" style="357" bestFit="1" customWidth="1"/>
    <col min="3089" max="3089" width="5.1640625" style="357" bestFit="1" customWidth="1"/>
    <col min="3090" max="3090" width="8.83203125" style="357" bestFit="1" customWidth="1"/>
    <col min="3091" max="3091" width="6.33203125" style="357" bestFit="1" customWidth="1"/>
    <col min="3092" max="3092" width="9.6640625" style="357" bestFit="1" customWidth="1"/>
    <col min="3093" max="3093" width="8.6640625" style="357" bestFit="1" customWidth="1"/>
    <col min="3094" max="3094" width="3.5" style="357" customWidth="1"/>
    <col min="3095" max="3095" width="8.5" style="357" bestFit="1" customWidth="1"/>
    <col min="3096" max="3096" width="5.1640625" style="357" bestFit="1" customWidth="1"/>
    <col min="3097" max="3097" width="8.83203125" style="357" bestFit="1" customWidth="1"/>
    <col min="3098" max="3098" width="6.33203125" style="357" bestFit="1" customWidth="1"/>
    <col min="3099" max="3099" width="9.6640625" style="357" bestFit="1" customWidth="1"/>
    <col min="3100" max="3100" width="8.6640625" style="357" bestFit="1" customWidth="1"/>
    <col min="3101" max="3101" width="3.5" style="357" customWidth="1"/>
    <col min="3102" max="3102" width="8.5" style="357" bestFit="1" customWidth="1"/>
    <col min="3103" max="3103" width="5.1640625" style="357" bestFit="1" customWidth="1"/>
    <col min="3104" max="3328" width="9.33203125" style="357"/>
    <col min="3329" max="3329" width="1.6640625" style="357" customWidth="1"/>
    <col min="3330" max="3330" width="8.5" style="357" bestFit="1" customWidth="1"/>
    <col min="3331" max="3331" width="5.1640625" style="357" bestFit="1" customWidth="1"/>
    <col min="3332" max="3332" width="8.83203125" style="357" bestFit="1" customWidth="1"/>
    <col min="3333" max="3333" width="6.33203125" style="357" bestFit="1" customWidth="1"/>
    <col min="3334" max="3334" width="9.6640625" style="357" bestFit="1" customWidth="1"/>
    <col min="3335" max="3335" width="8.6640625" style="357" bestFit="1" customWidth="1"/>
    <col min="3336" max="3336" width="3.83203125" style="357" customWidth="1"/>
    <col min="3337" max="3337" width="8.5" style="357" bestFit="1" customWidth="1"/>
    <col min="3338" max="3338" width="5.1640625" style="357" bestFit="1" customWidth="1"/>
    <col min="3339" max="3339" width="8.83203125" style="357" bestFit="1" customWidth="1"/>
    <col min="3340" max="3340" width="6.33203125" style="357" bestFit="1" customWidth="1"/>
    <col min="3341" max="3341" width="9.6640625" style="357" bestFit="1" customWidth="1"/>
    <col min="3342" max="3342" width="8.6640625" style="357" bestFit="1" customWidth="1"/>
    <col min="3343" max="3343" width="3.5" style="357" customWidth="1"/>
    <col min="3344" max="3344" width="8.5" style="357" bestFit="1" customWidth="1"/>
    <col min="3345" max="3345" width="5.1640625" style="357" bestFit="1" customWidth="1"/>
    <col min="3346" max="3346" width="8.83203125" style="357" bestFit="1" customWidth="1"/>
    <col min="3347" max="3347" width="6.33203125" style="357" bestFit="1" customWidth="1"/>
    <col min="3348" max="3348" width="9.6640625" style="357" bestFit="1" customWidth="1"/>
    <col min="3349" max="3349" width="8.6640625" style="357" bestFit="1" customWidth="1"/>
    <col min="3350" max="3350" width="3.5" style="357" customWidth="1"/>
    <col min="3351" max="3351" width="8.5" style="357" bestFit="1" customWidth="1"/>
    <col min="3352" max="3352" width="5.1640625" style="357" bestFit="1" customWidth="1"/>
    <col min="3353" max="3353" width="8.83203125" style="357" bestFit="1" customWidth="1"/>
    <col min="3354" max="3354" width="6.33203125" style="357" bestFit="1" customWidth="1"/>
    <col min="3355" max="3355" width="9.6640625" style="357" bestFit="1" customWidth="1"/>
    <col min="3356" max="3356" width="8.6640625" style="357" bestFit="1" customWidth="1"/>
    <col min="3357" max="3357" width="3.5" style="357" customWidth="1"/>
    <col min="3358" max="3358" width="8.5" style="357" bestFit="1" customWidth="1"/>
    <col min="3359" max="3359" width="5.1640625" style="357" bestFit="1" customWidth="1"/>
    <col min="3360" max="3584" width="9.33203125" style="357"/>
    <col min="3585" max="3585" width="1.6640625" style="357" customWidth="1"/>
    <col min="3586" max="3586" width="8.5" style="357" bestFit="1" customWidth="1"/>
    <col min="3587" max="3587" width="5.1640625" style="357" bestFit="1" customWidth="1"/>
    <col min="3588" max="3588" width="8.83203125" style="357" bestFit="1" customWidth="1"/>
    <col min="3589" max="3589" width="6.33203125" style="357" bestFit="1" customWidth="1"/>
    <col min="3590" max="3590" width="9.6640625" style="357" bestFit="1" customWidth="1"/>
    <col min="3591" max="3591" width="8.6640625" style="357" bestFit="1" customWidth="1"/>
    <col min="3592" max="3592" width="3.83203125" style="357" customWidth="1"/>
    <col min="3593" max="3593" width="8.5" style="357" bestFit="1" customWidth="1"/>
    <col min="3594" max="3594" width="5.1640625" style="357" bestFit="1" customWidth="1"/>
    <col min="3595" max="3595" width="8.83203125" style="357" bestFit="1" customWidth="1"/>
    <col min="3596" max="3596" width="6.33203125" style="357" bestFit="1" customWidth="1"/>
    <col min="3597" max="3597" width="9.6640625" style="357" bestFit="1" customWidth="1"/>
    <col min="3598" max="3598" width="8.6640625" style="357" bestFit="1" customWidth="1"/>
    <col min="3599" max="3599" width="3.5" style="357" customWidth="1"/>
    <col min="3600" max="3600" width="8.5" style="357" bestFit="1" customWidth="1"/>
    <col min="3601" max="3601" width="5.1640625" style="357" bestFit="1" customWidth="1"/>
    <col min="3602" max="3602" width="8.83203125" style="357" bestFit="1" customWidth="1"/>
    <col min="3603" max="3603" width="6.33203125" style="357" bestFit="1" customWidth="1"/>
    <col min="3604" max="3604" width="9.6640625" style="357" bestFit="1" customWidth="1"/>
    <col min="3605" max="3605" width="8.6640625" style="357" bestFit="1" customWidth="1"/>
    <col min="3606" max="3606" width="3.5" style="357" customWidth="1"/>
    <col min="3607" max="3607" width="8.5" style="357" bestFit="1" customWidth="1"/>
    <col min="3608" max="3608" width="5.1640625" style="357" bestFit="1" customWidth="1"/>
    <col min="3609" max="3609" width="8.83203125" style="357" bestFit="1" customWidth="1"/>
    <col min="3610" max="3610" width="6.33203125" style="357" bestFit="1" customWidth="1"/>
    <col min="3611" max="3611" width="9.6640625" style="357" bestFit="1" customWidth="1"/>
    <col min="3612" max="3612" width="8.6640625" style="357" bestFit="1" customWidth="1"/>
    <col min="3613" max="3613" width="3.5" style="357" customWidth="1"/>
    <col min="3614" max="3614" width="8.5" style="357" bestFit="1" customWidth="1"/>
    <col min="3615" max="3615" width="5.1640625" style="357" bestFit="1" customWidth="1"/>
    <col min="3616" max="3840" width="9.33203125" style="357"/>
    <col min="3841" max="3841" width="1.6640625" style="357" customWidth="1"/>
    <col min="3842" max="3842" width="8.5" style="357" bestFit="1" customWidth="1"/>
    <col min="3843" max="3843" width="5.1640625" style="357" bestFit="1" customWidth="1"/>
    <col min="3844" max="3844" width="8.83203125" style="357" bestFit="1" customWidth="1"/>
    <col min="3845" max="3845" width="6.33203125" style="357" bestFit="1" customWidth="1"/>
    <col min="3846" max="3846" width="9.6640625" style="357" bestFit="1" customWidth="1"/>
    <col min="3847" max="3847" width="8.6640625" style="357" bestFit="1" customWidth="1"/>
    <col min="3848" max="3848" width="3.83203125" style="357" customWidth="1"/>
    <col min="3849" max="3849" width="8.5" style="357" bestFit="1" customWidth="1"/>
    <col min="3850" max="3850" width="5.1640625" style="357" bestFit="1" customWidth="1"/>
    <col min="3851" max="3851" width="8.83203125" style="357" bestFit="1" customWidth="1"/>
    <col min="3852" max="3852" width="6.33203125" style="357" bestFit="1" customWidth="1"/>
    <col min="3853" max="3853" width="9.6640625" style="357" bestFit="1" customWidth="1"/>
    <col min="3854" max="3854" width="8.6640625" style="357" bestFit="1" customWidth="1"/>
    <col min="3855" max="3855" width="3.5" style="357" customWidth="1"/>
    <col min="3856" max="3856" width="8.5" style="357" bestFit="1" customWidth="1"/>
    <col min="3857" max="3857" width="5.1640625" style="357" bestFit="1" customWidth="1"/>
    <col min="3858" max="3858" width="8.83203125" style="357" bestFit="1" customWidth="1"/>
    <col min="3859" max="3859" width="6.33203125" style="357" bestFit="1" customWidth="1"/>
    <col min="3860" max="3860" width="9.6640625" style="357" bestFit="1" customWidth="1"/>
    <col min="3861" max="3861" width="8.6640625" style="357" bestFit="1" customWidth="1"/>
    <col min="3862" max="3862" width="3.5" style="357" customWidth="1"/>
    <col min="3863" max="3863" width="8.5" style="357" bestFit="1" customWidth="1"/>
    <col min="3864" max="3864" width="5.1640625" style="357" bestFit="1" customWidth="1"/>
    <col min="3865" max="3865" width="8.83203125" style="357" bestFit="1" customWidth="1"/>
    <col min="3866" max="3866" width="6.33203125" style="357" bestFit="1" customWidth="1"/>
    <col min="3867" max="3867" width="9.6640625" style="357" bestFit="1" customWidth="1"/>
    <col min="3868" max="3868" width="8.6640625" style="357" bestFit="1" customWidth="1"/>
    <col min="3869" max="3869" width="3.5" style="357" customWidth="1"/>
    <col min="3870" max="3870" width="8.5" style="357" bestFit="1" customWidth="1"/>
    <col min="3871" max="3871" width="5.1640625" style="357" bestFit="1" customWidth="1"/>
    <col min="3872" max="4096" width="9.33203125" style="357"/>
    <col min="4097" max="4097" width="1.6640625" style="357" customWidth="1"/>
    <col min="4098" max="4098" width="8.5" style="357" bestFit="1" customWidth="1"/>
    <col min="4099" max="4099" width="5.1640625" style="357" bestFit="1" customWidth="1"/>
    <col min="4100" max="4100" width="8.83203125" style="357" bestFit="1" customWidth="1"/>
    <col min="4101" max="4101" width="6.33203125" style="357" bestFit="1" customWidth="1"/>
    <col min="4102" max="4102" width="9.6640625" style="357" bestFit="1" customWidth="1"/>
    <col min="4103" max="4103" width="8.6640625" style="357" bestFit="1" customWidth="1"/>
    <col min="4104" max="4104" width="3.83203125" style="357" customWidth="1"/>
    <col min="4105" max="4105" width="8.5" style="357" bestFit="1" customWidth="1"/>
    <col min="4106" max="4106" width="5.1640625" style="357" bestFit="1" customWidth="1"/>
    <col min="4107" max="4107" width="8.83203125" style="357" bestFit="1" customWidth="1"/>
    <col min="4108" max="4108" width="6.33203125" style="357" bestFit="1" customWidth="1"/>
    <col min="4109" max="4109" width="9.6640625" style="357" bestFit="1" customWidth="1"/>
    <col min="4110" max="4110" width="8.6640625" style="357" bestFit="1" customWidth="1"/>
    <col min="4111" max="4111" width="3.5" style="357" customWidth="1"/>
    <col min="4112" max="4112" width="8.5" style="357" bestFit="1" customWidth="1"/>
    <col min="4113" max="4113" width="5.1640625" style="357" bestFit="1" customWidth="1"/>
    <col min="4114" max="4114" width="8.83203125" style="357" bestFit="1" customWidth="1"/>
    <col min="4115" max="4115" width="6.33203125" style="357" bestFit="1" customWidth="1"/>
    <col min="4116" max="4116" width="9.6640625" style="357" bestFit="1" customWidth="1"/>
    <col min="4117" max="4117" width="8.6640625" style="357" bestFit="1" customWidth="1"/>
    <col min="4118" max="4118" width="3.5" style="357" customWidth="1"/>
    <col min="4119" max="4119" width="8.5" style="357" bestFit="1" customWidth="1"/>
    <col min="4120" max="4120" width="5.1640625" style="357" bestFit="1" customWidth="1"/>
    <col min="4121" max="4121" width="8.83203125" style="357" bestFit="1" customWidth="1"/>
    <col min="4122" max="4122" width="6.33203125" style="357" bestFit="1" customWidth="1"/>
    <col min="4123" max="4123" width="9.6640625" style="357" bestFit="1" customWidth="1"/>
    <col min="4124" max="4124" width="8.6640625" style="357" bestFit="1" customWidth="1"/>
    <col min="4125" max="4125" width="3.5" style="357" customWidth="1"/>
    <col min="4126" max="4126" width="8.5" style="357" bestFit="1" customWidth="1"/>
    <col min="4127" max="4127" width="5.1640625" style="357" bestFit="1" customWidth="1"/>
    <col min="4128" max="4352" width="9.33203125" style="357"/>
    <col min="4353" max="4353" width="1.6640625" style="357" customWidth="1"/>
    <col min="4354" max="4354" width="8.5" style="357" bestFit="1" customWidth="1"/>
    <col min="4355" max="4355" width="5.1640625" style="357" bestFit="1" customWidth="1"/>
    <col min="4356" max="4356" width="8.83203125" style="357" bestFit="1" customWidth="1"/>
    <col min="4357" max="4357" width="6.33203125" style="357" bestFit="1" customWidth="1"/>
    <col min="4358" max="4358" width="9.6640625" style="357" bestFit="1" customWidth="1"/>
    <col min="4359" max="4359" width="8.6640625" style="357" bestFit="1" customWidth="1"/>
    <col min="4360" max="4360" width="3.83203125" style="357" customWidth="1"/>
    <col min="4361" max="4361" width="8.5" style="357" bestFit="1" customWidth="1"/>
    <col min="4362" max="4362" width="5.1640625" style="357" bestFit="1" customWidth="1"/>
    <col min="4363" max="4363" width="8.83203125" style="357" bestFit="1" customWidth="1"/>
    <col min="4364" max="4364" width="6.33203125" style="357" bestFit="1" customWidth="1"/>
    <col min="4365" max="4365" width="9.6640625" style="357" bestFit="1" customWidth="1"/>
    <col min="4366" max="4366" width="8.6640625" style="357" bestFit="1" customWidth="1"/>
    <col min="4367" max="4367" width="3.5" style="357" customWidth="1"/>
    <col min="4368" max="4368" width="8.5" style="357" bestFit="1" customWidth="1"/>
    <col min="4369" max="4369" width="5.1640625" style="357" bestFit="1" customWidth="1"/>
    <col min="4370" max="4370" width="8.83203125" style="357" bestFit="1" customWidth="1"/>
    <col min="4371" max="4371" width="6.33203125" style="357" bestFit="1" customWidth="1"/>
    <col min="4372" max="4372" width="9.6640625" style="357" bestFit="1" customWidth="1"/>
    <col min="4373" max="4373" width="8.6640625" style="357" bestFit="1" customWidth="1"/>
    <col min="4374" max="4374" width="3.5" style="357" customWidth="1"/>
    <col min="4375" max="4375" width="8.5" style="357" bestFit="1" customWidth="1"/>
    <col min="4376" max="4376" width="5.1640625" style="357" bestFit="1" customWidth="1"/>
    <col min="4377" max="4377" width="8.83203125" style="357" bestFit="1" customWidth="1"/>
    <col min="4378" max="4378" width="6.33203125" style="357" bestFit="1" customWidth="1"/>
    <col min="4379" max="4379" width="9.6640625" style="357" bestFit="1" customWidth="1"/>
    <col min="4380" max="4380" width="8.6640625" style="357" bestFit="1" customWidth="1"/>
    <col min="4381" max="4381" width="3.5" style="357" customWidth="1"/>
    <col min="4382" max="4382" width="8.5" style="357" bestFit="1" customWidth="1"/>
    <col min="4383" max="4383" width="5.1640625" style="357" bestFit="1" customWidth="1"/>
    <col min="4384" max="4608" width="9.33203125" style="357"/>
    <col min="4609" max="4609" width="1.6640625" style="357" customWidth="1"/>
    <col min="4610" max="4610" width="8.5" style="357" bestFit="1" customWidth="1"/>
    <col min="4611" max="4611" width="5.1640625" style="357" bestFit="1" customWidth="1"/>
    <col min="4612" max="4612" width="8.83203125" style="357" bestFit="1" customWidth="1"/>
    <col min="4613" max="4613" width="6.33203125" style="357" bestFit="1" customWidth="1"/>
    <col min="4614" max="4614" width="9.6640625" style="357" bestFit="1" customWidth="1"/>
    <col min="4615" max="4615" width="8.6640625" style="357" bestFit="1" customWidth="1"/>
    <col min="4616" max="4616" width="3.83203125" style="357" customWidth="1"/>
    <col min="4617" max="4617" width="8.5" style="357" bestFit="1" customWidth="1"/>
    <col min="4618" max="4618" width="5.1640625" style="357" bestFit="1" customWidth="1"/>
    <col min="4619" max="4619" width="8.83203125" style="357" bestFit="1" customWidth="1"/>
    <col min="4620" max="4620" width="6.33203125" style="357" bestFit="1" customWidth="1"/>
    <col min="4621" max="4621" width="9.6640625" style="357" bestFit="1" customWidth="1"/>
    <col min="4622" max="4622" width="8.6640625" style="357" bestFit="1" customWidth="1"/>
    <col min="4623" max="4623" width="3.5" style="357" customWidth="1"/>
    <col min="4624" max="4624" width="8.5" style="357" bestFit="1" customWidth="1"/>
    <col min="4625" max="4625" width="5.1640625" style="357" bestFit="1" customWidth="1"/>
    <col min="4626" max="4626" width="8.83203125" style="357" bestFit="1" customWidth="1"/>
    <col min="4627" max="4627" width="6.33203125" style="357" bestFit="1" customWidth="1"/>
    <col min="4628" max="4628" width="9.6640625" style="357" bestFit="1" customWidth="1"/>
    <col min="4629" max="4629" width="8.6640625" style="357" bestFit="1" customWidth="1"/>
    <col min="4630" max="4630" width="3.5" style="357" customWidth="1"/>
    <col min="4631" max="4631" width="8.5" style="357" bestFit="1" customWidth="1"/>
    <col min="4632" max="4632" width="5.1640625" style="357" bestFit="1" customWidth="1"/>
    <col min="4633" max="4633" width="8.83203125" style="357" bestFit="1" customWidth="1"/>
    <col min="4634" max="4634" width="6.33203125" style="357" bestFit="1" customWidth="1"/>
    <col min="4635" max="4635" width="9.6640625" style="357" bestFit="1" customWidth="1"/>
    <col min="4636" max="4636" width="8.6640625" style="357" bestFit="1" customWidth="1"/>
    <col min="4637" max="4637" width="3.5" style="357" customWidth="1"/>
    <col min="4638" max="4638" width="8.5" style="357" bestFit="1" customWidth="1"/>
    <col min="4639" max="4639" width="5.1640625" style="357" bestFit="1" customWidth="1"/>
    <col min="4640" max="4864" width="9.33203125" style="357"/>
    <col min="4865" max="4865" width="1.6640625" style="357" customWidth="1"/>
    <col min="4866" max="4866" width="8.5" style="357" bestFit="1" customWidth="1"/>
    <col min="4867" max="4867" width="5.1640625" style="357" bestFit="1" customWidth="1"/>
    <col min="4868" max="4868" width="8.83203125" style="357" bestFit="1" customWidth="1"/>
    <col min="4869" max="4869" width="6.33203125" style="357" bestFit="1" customWidth="1"/>
    <col min="4870" max="4870" width="9.6640625" style="357" bestFit="1" customWidth="1"/>
    <col min="4871" max="4871" width="8.6640625" style="357" bestFit="1" customWidth="1"/>
    <col min="4872" max="4872" width="3.83203125" style="357" customWidth="1"/>
    <col min="4873" max="4873" width="8.5" style="357" bestFit="1" customWidth="1"/>
    <col min="4874" max="4874" width="5.1640625" style="357" bestFit="1" customWidth="1"/>
    <col min="4875" max="4875" width="8.83203125" style="357" bestFit="1" customWidth="1"/>
    <col min="4876" max="4876" width="6.33203125" style="357" bestFit="1" customWidth="1"/>
    <col min="4877" max="4877" width="9.6640625" style="357" bestFit="1" customWidth="1"/>
    <col min="4878" max="4878" width="8.6640625" style="357" bestFit="1" customWidth="1"/>
    <col min="4879" max="4879" width="3.5" style="357" customWidth="1"/>
    <col min="4880" max="4880" width="8.5" style="357" bestFit="1" customWidth="1"/>
    <col min="4881" max="4881" width="5.1640625" style="357" bestFit="1" customWidth="1"/>
    <col min="4882" max="4882" width="8.83203125" style="357" bestFit="1" customWidth="1"/>
    <col min="4883" max="4883" width="6.33203125" style="357" bestFit="1" customWidth="1"/>
    <col min="4884" max="4884" width="9.6640625" style="357" bestFit="1" customWidth="1"/>
    <col min="4885" max="4885" width="8.6640625" style="357" bestFit="1" customWidth="1"/>
    <col min="4886" max="4886" width="3.5" style="357" customWidth="1"/>
    <col min="4887" max="4887" width="8.5" style="357" bestFit="1" customWidth="1"/>
    <col min="4888" max="4888" width="5.1640625" style="357" bestFit="1" customWidth="1"/>
    <col min="4889" max="4889" width="8.83203125" style="357" bestFit="1" customWidth="1"/>
    <col min="4890" max="4890" width="6.33203125" style="357" bestFit="1" customWidth="1"/>
    <col min="4891" max="4891" width="9.6640625" style="357" bestFit="1" customWidth="1"/>
    <col min="4892" max="4892" width="8.6640625" style="357" bestFit="1" customWidth="1"/>
    <col min="4893" max="4893" width="3.5" style="357" customWidth="1"/>
    <col min="4894" max="4894" width="8.5" style="357" bestFit="1" customWidth="1"/>
    <col min="4895" max="4895" width="5.1640625" style="357" bestFit="1" customWidth="1"/>
    <col min="4896" max="5120" width="9.33203125" style="357"/>
    <col min="5121" max="5121" width="1.6640625" style="357" customWidth="1"/>
    <col min="5122" max="5122" width="8.5" style="357" bestFit="1" customWidth="1"/>
    <col min="5123" max="5123" width="5.1640625" style="357" bestFit="1" customWidth="1"/>
    <col min="5124" max="5124" width="8.83203125" style="357" bestFit="1" customWidth="1"/>
    <col min="5125" max="5125" width="6.33203125" style="357" bestFit="1" customWidth="1"/>
    <col min="5126" max="5126" width="9.6640625" style="357" bestFit="1" customWidth="1"/>
    <col min="5127" max="5127" width="8.6640625" style="357" bestFit="1" customWidth="1"/>
    <col min="5128" max="5128" width="3.83203125" style="357" customWidth="1"/>
    <col min="5129" max="5129" width="8.5" style="357" bestFit="1" customWidth="1"/>
    <col min="5130" max="5130" width="5.1640625" style="357" bestFit="1" customWidth="1"/>
    <col min="5131" max="5131" width="8.83203125" style="357" bestFit="1" customWidth="1"/>
    <col min="5132" max="5132" width="6.33203125" style="357" bestFit="1" customWidth="1"/>
    <col min="5133" max="5133" width="9.6640625" style="357" bestFit="1" customWidth="1"/>
    <col min="5134" max="5134" width="8.6640625" style="357" bestFit="1" customWidth="1"/>
    <col min="5135" max="5135" width="3.5" style="357" customWidth="1"/>
    <col min="5136" max="5136" width="8.5" style="357" bestFit="1" customWidth="1"/>
    <col min="5137" max="5137" width="5.1640625" style="357" bestFit="1" customWidth="1"/>
    <col min="5138" max="5138" width="8.83203125" style="357" bestFit="1" customWidth="1"/>
    <col min="5139" max="5139" width="6.33203125" style="357" bestFit="1" customWidth="1"/>
    <col min="5140" max="5140" width="9.6640625" style="357" bestFit="1" customWidth="1"/>
    <col min="5141" max="5141" width="8.6640625" style="357" bestFit="1" customWidth="1"/>
    <col min="5142" max="5142" width="3.5" style="357" customWidth="1"/>
    <col min="5143" max="5143" width="8.5" style="357" bestFit="1" customWidth="1"/>
    <col min="5144" max="5144" width="5.1640625" style="357" bestFit="1" customWidth="1"/>
    <col min="5145" max="5145" width="8.83203125" style="357" bestFit="1" customWidth="1"/>
    <col min="5146" max="5146" width="6.33203125" style="357" bestFit="1" customWidth="1"/>
    <col min="5147" max="5147" width="9.6640625" style="357" bestFit="1" customWidth="1"/>
    <col min="5148" max="5148" width="8.6640625" style="357" bestFit="1" customWidth="1"/>
    <col min="5149" max="5149" width="3.5" style="357" customWidth="1"/>
    <col min="5150" max="5150" width="8.5" style="357" bestFit="1" customWidth="1"/>
    <col min="5151" max="5151" width="5.1640625" style="357" bestFit="1" customWidth="1"/>
    <col min="5152" max="5376" width="9.33203125" style="357"/>
    <col min="5377" max="5377" width="1.6640625" style="357" customWidth="1"/>
    <col min="5378" max="5378" width="8.5" style="357" bestFit="1" customWidth="1"/>
    <col min="5379" max="5379" width="5.1640625" style="357" bestFit="1" customWidth="1"/>
    <col min="5380" max="5380" width="8.83203125" style="357" bestFit="1" customWidth="1"/>
    <col min="5381" max="5381" width="6.33203125" style="357" bestFit="1" customWidth="1"/>
    <col min="5382" max="5382" width="9.6640625" style="357" bestFit="1" customWidth="1"/>
    <col min="5383" max="5383" width="8.6640625" style="357" bestFit="1" customWidth="1"/>
    <col min="5384" max="5384" width="3.83203125" style="357" customWidth="1"/>
    <col min="5385" max="5385" width="8.5" style="357" bestFit="1" customWidth="1"/>
    <col min="5386" max="5386" width="5.1640625" style="357" bestFit="1" customWidth="1"/>
    <col min="5387" max="5387" width="8.83203125" style="357" bestFit="1" customWidth="1"/>
    <col min="5388" max="5388" width="6.33203125" style="357" bestFit="1" customWidth="1"/>
    <col min="5389" max="5389" width="9.6640625" style="357" bestFit="1" customWidth="1"/>
    <col min="5390" max="5390" width="8.6640625" style="357" bestFit="1" customWidth="1"/>
    <col min="5391" max="5391" width="3.5" style="357" customWidth="1"/>
    <col min="5392" max="5392" width="8.5" style="357" bestFit="1" customWidth="1"/>
    <col min="5393" max="5393" width="5.1640625" style="357" bestFit="1" customWidth="1"/>
    <col min="5394" max="5394" width="8.83203125" style="357" bestFit="1" customWidth="1"/>
    <col min="5395" max="5395" width="6.33203125" style="357" bestFit="1" customWidth="1"/>
    <col min="5396" max="5396" width="9.6640625" style="357" bestFit="1" customWidth="1"/>
    <col min="5397" max="5397" width="8.6640625" style="357" bestFit="1" customWidth="1"/>
    <col min="5398" max="5398" width="3.5" style="357" customWidth="1"/>
    <col min="5399" max="5399" width="8.5" style="357" bestFit="1" customWidth="1"/>
    <col min="5400" max="5400" width="5.1640625" style="357" bestFit="1" customWidth="1"/>
    <col min="5401" max="5401" width="8.83203125" style="357" bestFit="1" customWidth="1"/>
    <col min="5402" max="5402" width="6.33203125" style="357" bestFit="1" customWidth="1"/>
    <col min="5403" max="5403" width="9.6640625" style="357" bestFit="1" customWidth="1"/>
    <col min="5404" max="5404" width="8.6640625" style="357" bestFit="1" customWidth="1"/>
    <col min="5405" max="5405" width="3.5" style="357" customWidth="1"/>
    <col min="5406" max="5406" width="8.5" style="357" bestFit="1" customWidth="1"/>
    <col min="5407" max="5407" width="5.1640625" style="357" bestFit="1" customWidth="1"/>
    <col min="5408" max="5632" width="9.33203125" style="357"/>
    <col min="5633" max="5633" width="1.6640625" style="357" customWidth="1"/>
    <col min="5634" max="5634" width="8.5" style="357" bestFit="1" customWidth="1"/>
    <col min="5635" max="5635" width="5.1640625" style="357" bestFit="1" customWidth="1"/>
    <col min="5636" max="5636" width="8.83203125" style="357" bestFit="1" customWidth="1"/>
    <col min="5637" max="5637" width="6.33203125" style="357" bestFit="1" customWidth="1"/>
    <col min="5638" max="5638" width="9.6640625" style="357" bestFit="1" customWidth="1"/>
    <col min="5639" max="5639" width="8.6640625" style="357" bestFit="1" customWidth="1"/>
    <col min="5640" max="5640" width="3.83203125" style="357" customWidth="1"/>
    <col min="5641" max="5641" width="8.5" style="357" bestFit="1" customWidth="1"/>
    <col min="5642" max="5642" width="5.1640625" style="357" bestFit="1" customWidth="1"/>
    <col min="5643" max="5643" width="8.83203125" style="357" bestFit="1" customWidth="1"/>
    <col min="5644" max="5644" width="6.33203125" style="357" bestFit="1" customWidth="1"/>
    <col min="5645" max="5645" width="9.6640625" style="357" bestFit="1" customWidth="1"/>
    <col min="5646" max="5646" width="8.6640625" style="357" bestFit="1" customWidth="1"/>
    <col min="5647" max="5647" width="3.5" style="357" customWidth="1"/>
    <col min="5648" max="5648" width="8.5" style="357" bestFit="1" customWidth="1"/>
    <col min="5649" max="5649" width="5.1640625" style="357" bestFit="1" customWidth="1"/>
    <col min="5650" max="5650" width="8.83203125" style="357" bestFit="1" customWidth="1"/>
    <col min="5651" max="5651" width="6.33203125" style="357" bestFit="1" customWidth="1"/>
    <col min="5652" max="5652" width="9.6640625" style="357" bestFit="1" customWidth="1"/>
    <col min="5653" max="5653" width="8.6640625" style="357" bestFit="1" customWidth="1"/>
    <col min="5654" max="5654" width="3.5" style="357" customWidth="1"/>
    <col min="5655" max="5655" width="8.5" style="357" bestFit="1" customWidth="1"/>
    <col min="5656" max="5656" width="5.1640625" style="357" bestFit="1" customWidth="1"/>
    <col min="5657" max="5657" width="8.83203125" style="357" bestFit="1" customWidth="1"/>
    <col min="5658" max="5658" width="6.33203125" style="357" bestFit="1" customWidth="1"/>
    <col min="5659" max="5659" width="9.6640625" style="357" bestFit="1" customWidth="1"/>
    <col min="5660" max="5660" width="8.6640625" style="357" bestFit="1" customWidth="1"/>
    <col min="5661" max="5661" width="3.5" style="357" customWidth="1"/>
    <col min="5662" max="5662" width="8.5" style="357" bestFit="1" customWidth="1"/>
    <col min="5663" max="5663" width="5.1640625" style="357" bestFit="1" customWidth="1"/>
    <col min="5664" max="5888" width="9.33203125" style="357"/>
    <col min="5889" max="5889" width="1.6640625" style="357" customWidth="1"/>
    <col min="5890" max="5890" width="8.5" style="357" bestFit="1" customWidth="1"/>
    <col min="5891" max="5891" width="5.1640625" style="357" bestFit="1" customWidth="1"/>
    <col min="5892" max="5892" width="8.83203125" style="357" bestFit="1" customWidth="1"/>
    <col min="5893" max="5893" width="6.33203125" style="357" bestFit="1" customWidth="1"/>
    <col min="5894" max="5894" width="9.6640625" style="357" bestFit="1" customWidth="1"/>
    <col min="5895" max="5895" width="8.6640625" style="357" bestFit="1" customWidth="1"/>
    <col min="5896" max="5896" width="3.83203125" style="357" customWidth="1"/>
    <col min="5897" max="5897" width="8.5" style="357" bestFit="1" customWidth="1"/>
    <col min="5898" max="5898" width="5.1640625" style="357" bestFit="1" customWidth="1"/>
    <col min="5899" max="5899" width="8.83203125" style="357" bestFit="1" customWidth="1"/>
    <col min="5900" max="5900" width="6.33203125" style="357" bestFit="1" customWidth="1"/>
    <col min="5901" max="5901" width="9.6640625" style="357" bestFit="1" customWidth="1"/>
    <col min="5902" max="5902" width="8.6640625" style="357" bestFit="1" customWidth="1"/>
    <col min="5903" max="5903" width="3.5" style="357" customWidth="1"/>
    <col min="5904" max="5904" width="8.5" style="357" bestFit="1" customWidth="1"/>
    <col min="5905" max="5905" width="5.1640625" style="357" bestFit="1" customWidth="1"/>
    <col min="5906" max="5906" width="8.83203125" style="357" bestFit="1" customWidth="1"/>
    <col min="5907" max="5907" width="6.33203125" style="357" bestFit="1" customWidth="1"/>
    <col min="5908" max="5908" width="9.6640625" style="357" bestFit="1" customWidth="1"/>
    <col min="5909" max="5909" width="8.6640625" style="357" bestFit="1" customWidth="1"/>
    <col min="5910" max="5910" width="3.5" style="357" customWidth="1"/>
    <col min="5911" max="5911" width="8.5" style="357" bestFit="1" customWidth="1"/>
    <col min="5912" max="5912" width="5.1640625" style="357" bestFit="1" customWidth="1"/>
    <col min="5913" max="5913" width="8.83203125" style="357" bestFit="1" customWidth="1"/>
    <col min="5914" max="5914" width="6.33203125" style="357" bestFit="1" customWidth="1"/>
    <col min="5915" max="5915" width="9.6640625" style="357" bestFit="1" customWidth="1"/>
    <col min="5916" max="5916" width="8.6640625" style="357" bestFit="1" customWidth="1"/>
    <col min="5917" max="5917" width="3.5" style="357" customWidth="1"/>
    <col min="5918" max="5918" width="8.5" style="357" bestFit="1" customWidth="1"/>
    <col min="5919" max="5919" width="5.1640625" style="357" bestFit="1" customWidth="1"/>
    <col min="5920" max="6144" width="9.33203125" style="357"/>
    <col min="6145" max="6145" width="1.6640625" style="357" customWidth="1"/>
    <col min="6146" max="6146" width="8.5" style="357" bestFit="1" customWidth="1"/>
    <col min="6147" max="6147" width="5.1640625" style="357" bestFit="1" customWidth="1"/>
    <col min="6148" max="6148" width="8.83203125" style="357" bestFit="1" customWidth="1"/>
    <col min="6149" max="6149" width="6.33203125" style="357" bestFit="1" customWidth="1"/>
    <col min="6150" max="6150" width="9.6640625" style="357" bestFit="1" customWidth="1"/>
    <col min="6151" max="6151" width="8.6640625" style="357" bestFit="1" customWidth="1"/>
    <col min="6152" max="6152" width="3.83203125" style="357" customWidth="1"/>
    <col min="6153" max="6153" width="8.5" style="357" bestFit="1" customWidth="1"/>
    <col min="6154" max="6154" width="5.1640625" style="357" bestFit="1" customWidth="1"/>
    <col min="6155" max="6155" width="8.83203125" style="357" bestFit="1" customWidth="1"/>
    <col min="6156" max="6156" width="6.33203125" style="357" bestFit="1" customWidth="1"/>
    <col min="6157" max="6157" width="9.6640625" style="357" bestFit="1" customWidth="1"/>
    <col min="6158" max="6158" width="8.6640625" style="357" bestFit="1" customWidth="1"/>
    <col min="6159" max="6159" width="3.5" style="357" customWidth="1"/>
    <col min="6160" max="6160" width="8.5" style="357" bestFit="1" customWidth="1"/>
    <col min="6161" max="6161" width="5.1640625" style="357" bestFit="1" customWidth="1"/>
    <col min="6162" max="6162" width="8.83203125" style="357" bestFit="1" customWidth="1"/>
    <col min="6163" max="6163" width="6.33203125" style="357" bestFit="1" customWidth="1"/>
    <col min="6164" max="6164" width="9.6640625" style="357" bestFit="1" customWidth="1"/>
    <col min="6165" max="6165" width="8.6640625" style="357" bestFit="1" customWidth="1"/>
    <col min="6166" max="6166" width="3.5" style="357" customWidth="1"/>
    <col min="6167" max="6167" width="8.5" style="357" bestFit="1" customWidth="1"/>
    <col min="6168" max="6168" width="5.1640625" style="357" bestFit="1" customWidth="1"/>
    <col min="6169" max="6169" width="8.83203125" style="357" bestFit="1" customWidth="1"/>
    <col min="6170" max="6170" width="6.33203125" style="357" bestFit="1" customWidth="1"/>
    <col min="6171" max="6171" width="9.6640625" style="357" bestFit="1" customWidth="1"/>
    <col min="6172" max="6172" width="8.6640625" style="357" bestFit="1" customWidth="1"/>
    <col min="6173" max="6173" width="3.5" style="357" customWidth="1"/>
    <col min="6174" max="6174" width="8.5" style="357" bestFit="1" customWidth="1"/>
    <col min="6175" max="6175" width="5.1640625" style="357" bestFit="1" customWidth="1"/>
    <col min="6176" max="6400" width="9.33203125" style="357"/>
    <col min="6401" max="6401" width="1.6640625" style="357" customWidth="1"/>
    <col min="6402" max="6402" width="8.5" style="357" bestFit="1" customWidth="1"/>
    <col min="6403" max="6403" width="5.1640625" style="357" bestFit="1" customWidth="1"/>
    <col min="6404" max="6404" width="8.83203125" style="357" bestFit="1" customWidth="1"/>
    <col min="6405" max="6405" width="6.33203125" style="357" bestFit="1" customWidth="1"/>
    <col min="6406" max="6406" width="9.6640625" style="357" bestFit="1" customWidth="1"/>
    <col min="6407" max="6407" width="8.6640625" style="357" bestFit="1" customWidth="1"/>
    <col min="6408" max="6408" width="3.83203125" style="357" customWidth="1"/>
    <col min="6409" max="6409" width="8.5" style="357" bestFit="1" customWidth="1"/>
    <col min="6410" max="6410" width="5.1640625" style="357" bestFit="1" customWidth="1"/>
    <col min="6411" max="6411" width="8.83203125" style="357" bestFit="1" customWidth="1"/>
    <col min="6412" max="6412" width="6.33203125" style="357" bestFit="1" customWidth="1"/>
    <col min="6413" max="6413" width="9.6640625" style="357" bestFit="1" customWidth="1"/>
    <col min="6414" max="6414" width="8.6640625" style="357" bestFit="1" customWidth="1"/>
    <col min="6415" max="6415" width="3.5" style="357" customWidth="1"/>
    <col min="6416" max="6416" width="8.5" style="357" bestFit="1" customWidth="1"/>
    <col min="6417" max="6417" width="5.1640625" style="357" bestFit="1" customWidth="1"/>
    <col min="6418" max="6418" width="8.83203125" style="357" bestFit="1" customWidth="1"/>
    <col min="6419" max="6419" width="6.33203125" style="357" bestFit="1" customWidth="1"/>
    <col min="6420" max="6420" width="9.6640625" style="357" bestFit="1" customWidth="1"/>
    <col min="6421" max="6421" width="8.6640625" style="357" bestFit="1" customWidth="1"/>
    <col min="6422" max="6422" width="3.5" style="357" customWidth="1"/>
    <col min="6423" max="6423" width="8.5" style="357" bestFit="1" customWidth="1"/>
    <col min="6424" max="6424" width="5.1640625" style="357" bestFit="1" customWidth="1"/>
    <col min="6425" max="6425" width="8.83203125" style="357" bestFit="1" customWidth="1"/>
    <col min="6426" max="6426" width="6.33203125" style="357" bestFit="1" customWidth="1"/>
    <col min="6427" max="6427" width="9.6640625" style="357" bestFit="1" customWidth="1"/>
    <col min="6428" max="6428" width="8.6640625" style="357" bestFit="1" customWidth="1"/>
    <col min="6429" max="6429" width="3.5" style="357" customWidth="1"/>
    <col min="6430" max="6430" width="8.5" style="357" bestFit="1" customWidth="1"/>
    <col min="6431" max="6431" width="5.1640625" style="357" bestFit="1" customWidth="1"/>
    <col min="6432" max="6656" width="9.33203125" style="357"/>
    <col min="6657" max="6657" width="1.6640625" style="357" customWidth="1"/>
    <col min="6658" max="6658" width="8.5" style="357" bestFit="1" customWidth="1"/>
    <col min="6659" max="6659" width="5.1640625" style="357" bestFit="1" customWidth="1"/>
    <col min="6660" max="6660" width="8.83203125" style="357" bestFit="1" customWidth="1"/>
    <col min="6661" max="6661" width="6.33203125" style="357" bestFit="1" customWidth="1"/>
    <col min="6662" max="6662" width="9.6640625" style="357" bestFit="1" customWidth="1"/>
    <col min="6663" max="6663" width="8.6640625" style="357" bestFit="1" customWidth="1"/>
    <col min="6664" max="6664" width="3.83203125" style="357" customWidth="1"/>
    <col min="6665" max="6665" width="8.5" style="357" bestFit="1" customWidth="1"/>
    <col min="6666" max="6666" width="5.1640625" style="357" bestFit="1" customWidth="1"/>
    <col min="6667" max="6667" width="8.83203125" style="357" bestFit="1" customWidth="1"/>
    <col min="6668" max="6668" width="6.33203125" style="357" bestFit="1" customWidth="1"/>
    <col min="6669" max="6669" width="9.6640625" style="357" bestFit="1" customWidth="1"/>
    <col min="6670" max="6670" width="8.6640625" style="357" bestFit="1" customWidth="1"/>
    <col min="6671" max="6671" width="3.5" style="357" customWidth="1"/>
    <col min="6672" max="6672" width="8.5" style="357" bestFit="1" customWidth="1"/>
    <col min="6673" max="6673" width="5.1640625" style="357" bestFit="1" customWidth="1"/>
    <col min="6674" max="6674" width="8.83203125" style="357" bestFit="1" customWidth="1"/>
    <col min="6675" max="6675" width="6.33203125" style="357" bestFit="1" customWidth="1"/>
    <col min="6676" max="6676" width="9.6640625" style="357" bestFit="1" customWidth="1"/>
    <col min="6677" max="6677" width="8.6640625" style="357" bestFit="1" customWidth="1"/>
    <col min="6678" max="6678" width="3.5" style="357" customWidth="1"/>
    <col min="6679" max="6679" width="8.5" style="357" bestFit="1" customWidth="1"/>
    <col min="6680" max="6680" width="5.1640625" style="357" bestFit="1" customWidth="1"/>
    <col min="6681" max="6681" width="8.83203125" style="357" bestFit="1" customWidth="1"/>
    <col min="6682" max="6682" width="6.33203125" style="357" bestFit="1" customWidth="1"/>
    <col min="6683" max="6683" width="9.6640625" style="357" bestFit="1" customWidth="1"/>
    <col min="6684" max="6684" width="8.6640625" style="357" bestFit="1" customWidth="1"/>
    <col min="6685" max="6685" width="3.5" style="357" customWidth="1"/>
    <col min="6686" max="6686" width="8.5" style="357" bestFit="1" customWidth="1"/>
    <col min="6687" max="6687" width="5.1640625" style="357" bestFit="1" customWidth="1"/>
    <col min="6688" max="6912" width="9.33203125" style="357"/>
    <col min="6913" max="6913" width="1.6640625" style="357" customWidth="1"/>
    <col min="6914" max="6914" width="8.5" style="357" bestFit="1" customWidth="1"/>
    <col min="6915" max="6915" width="5.1640625" style="357" bestFit="1" customWidth="1"/>
    <col min="6916" max="6916" width="8.83203125" style="357" bestFit="1" customWidth="1"/>
    <col min="6917" max="6917" width="6.33203125" style="357" bestFit="1" customWidth="1"/>
    <col min="6918" max="6918" width="9.6640625" style="357" bestFit="1" customWidth="1"/>
    <col min="6919" max="6919" width="8.6640625" style="357" bestFit="1" customWidth="1"/>
    <col min="6920" max="6920" width="3.83203125" style="357" customWidth="1"/>
    <col min="6921" max="6921" width="8.5" style="357" bestFit="1" customWidth="1"/>
    <col min="6922" max="6922" width="5.1640625" style="357" bestFit="1" customWidth="1"/>
    <col min="6923" max="6923" width="8.83203125" style="357" bestFit="1" customWidth="1"/>
    <col min="6924" max="6924" width="6.33203125" style="357" bestFit="1" customWidth="1"/>
    <col min="6925" max="6925" width="9.6640625" style="357" bestFit="1" customWidth="1"/>
    <col min="6926" max="6926" width="8.6640625" style="357" bestFit="1" customWidth="1"/>
    <col min="6927" max="6927" width="3.5" style="357" customWidth="1"/>
    <col min="6928" max="6928" width="8.5" style="357" bestFit="1" customWidth="1"/>
    <col min="6929" max="6929" width="5.1640625" style="357" bestFit="1" customWidth="1"/>
    <col min="6930" max="6930" width="8.83203125" style="357" bestFit="1" customWidth="1"/>
    <col min="6931" max="6931" width="6.33203125" style="357" bestFit="1" customWidth="1"/>
    <col min="6932" max="6932" width="9.6640625" style="357" bestFit="1" customWidth="1"/>
    <col min="6933" max="6933" width="8.6640625" style="357" bestFit="1" customWidth="1"/>
    <col min="6934" max="6934" width="3.5" style="357" customWidth="1"/>
    <col min="6935" max="6935" width="8.5" style="357" bestFit="1" customWidth="1"/>
    <col min="6936" max="6936" width="5.1640625" style="357" bestFit="1" customWidth="1"/>
    <col min="6937" max="6937" width="8.83203125" style="357" bestFit="1" customWidth="1"/>
    <col min="6938" max="6938" width="6.33203125" style="357" bestFit="1" customWidth="1"/>
    <col min="6939" max="6939" width="9.6640625" style="357" bestFit="1" customWidth="1"/>
    <col min="6940" max="6940" width="8.6640625" style="357" bestFit="1" customWidth="1"/>
    <col min="6941" max="6941" width="3.5" style="357" customWidth="1"/>
    <col min="6942" max="6942" width="8.5" style="357" bestFit="1" customWidth="1"/>
    <col min="6943" max="6943" width="5.1640625" style="357" bestFit="1" customWidth="1"/>
    <col min="6944" max="7168" width="9.33203125" style="357"/>
    <col min="7169" max="7169" width="1.6640625" style="357" customWidth="1"/>
    <col min="7170" max="7170" width="8.5" style="357" bestFit="1" customWidth="1"/>
    <col min="7171" max="7171" width="5.1640625" style="357" bestFit="1" customWidth="1"/>
    <col min="7172" max="7172" width="8.83203125" style="357" bestFit="1" customWidth="1"/>
    <col min="7173" max="7173" width="6.33203125" style="357" bestFit="1" customWidth="1"/>
    <col min="7174" max="7174" width="9.6640625" style="357" bestFit="1" customWidth="1"/>
    <col min="7175" max="7175" width="8.6640625" style="357" bestFit="1" customWidth="1"/>
    <col min="7176" max="7176" width="3.83203125" style="357" customWidth="1"/>
    <col min="7177" max="7177" width="8.5" style="357" bestFit="1" customWidth="1"/>
    <col min="7178" max="7178" width="5.1640625" style="357" bestFit="1" customWidth="1"/>
    <col min="7179" max="7179" width="8.83203125" style="357" bestFit="1" customWidth="1"/>
    <col min="7180" max="7180" width="6.33203125" style="357" bestFit="1" customWidth="1"/>
    <col min="7181" max="7181" width="9.6640625" style="357" bestFit="1" customWidth="1"/>
    <col min="7182" max="7182" width="8.6640625" style="357" bestFit="1" customWidth="1"/>
    <col min="7183" max="7183" width="3.5" style="357" customWidth="1"/>
    <col min="7184" max="7184" width="8.5" style="357" bestFit="1" customWidth="1"/>
    <col min="7185" max="7185" width="5.1640625" style="357" bestFit="1" customWidth="1"/>
    <col min="7186" max="7186" width="8.83203125" style="357" bestFit="1" customWidth="1"/>
    <col min="7187" max="7187" width="6.33203125" style="357" bestFit="1" customWidth="1"/>
    <col min="7188" max="7188" width="9.6640625" style="357" bestFit="1" customWidth="1"/>
    <col min="7189" max="7189" width="8.6640625" style="357" bestFit="1" customWidth="1"/>
    <col min="7190" max="7190" width="3.5" style="357" customWidth="1"/>
    <col min="7191" max="7191" width="8.5" style="357" bestFit="1" customWidth="1"/>
    <col min="7192" max="7192" width="5.1640625" style="357" bestFit="1" customWidth="1"/>
    <col min="7193" max="7193" width="8.83203125" style="357" bestFit="1" customWidth="1"/>
    <col min="7194" max="7194" width="6.33203125" style="357" bestFit="1" customWidth="1"/>
    <col min="7195" max="7195" width="9.6640625" style="357" bestFit="1" customWidth="1"/>
    <col min="7196" max="7196" width="8.6640625" style="357" bestFit="1" customWidth="1"/>
    <col min="7197" max="7197" width="3.5" style="357" customWidth="1"/>
    <col min="7198" max="7198" width="8.5" style="357" bestFit="1" customWidth="1"/>
    <col min="7199" max="7199" width="5.1640625" style="357" bestFit="1" customWidth="1"/>
    <col min="7200" max="7424" width="9.33203125" style="357"/>
    <col min="7425" max="7425" width="1.6640625" style="357" customWidth="1"/>
    <col min="7426" max="7426" width="8.5" style="357" bestFit="1" customWidth="1"/>
    <col min="7427" max="7427" width="5.1640625" style="357" bestFit="1" customWidth="1"/>
    <col min="7428" max="7428" width="8.83203125" style="357" bestFit="1" customWidth="1"/>
    <col min="7429" max="7429" width="6.33203125" style="357" bestFit="1" customWidth="1"/>
    <col min="7430" max="7430" width="9.6640625" style="357" bestFit="1" customWidth="1"/>
    <col min="7431" max="7431" width="8.6640625" style="357" bestFit="1" customWidth="1"/>
    <col min="7432" max="7432" width="3.83203125" style="357" customWidth="1"/>
    <col min="7433" max="7433" width="8.5" style="357" bestFit="1" customWidth="1"/>
    <col min="7434" max="7434" width="5.1640625" style="357" bestFit="1" customWidth="1"/>
    <col min="7435" max="7435" width="8.83203125" style="357" bestFit="1" customWidth="1"/>
    <col min="7436" max="7436" width="6.33203125" style="357" bestFit="1" customWidth="1"/>
    <col min="7437" max="7437" width="9.6640625" style="357" bestFit="1" customWidth="1"/>
    <col min="7438" max="7438" width="8.6640625" style="357" bestFit="1" customWidth="1"/>
    <col min="7439" max="7439" width="3.5" style="357" customWidth="1"/>
    <col min="7440" max="7440" width="8.5" style="357" bestFit="1" customWidth="1"/>
    <col min="7441" max="7441" width="5.1640625" style="357" bestFit="1" customWidth="1"/>
    <col min="7442" max="7442" width="8.83203125" style="357" bestFit="1" customWidth="1"/>
    <col min="7443" max="7443" width="6.33203125" style="357" bestFit="1" customWidth="1"/>
    <col min="7444" max="7444" width="9.6640625" style="357" bestFit="1" customWidth="1"/>
    <col min="7445" max="7445" width="8.6640625" style="357" bestFit="1" customWidth="1"/>
    <col min="7446" max="7446" width="3.5" style="357" customWidth="1"/>
    <col min="7447" max="7447" width="8.5" style="357" bestFit="1" customWidth="1"/>
    <col min="7448" max="7448" width="5.1640625" style="357" bestFit="1" customWidth="1"/>
    <col min="7449" max="7449" width="8.83203125" style="357" bestFit="1" customWidth="1"/>
    <col min="7450" max="7450" width="6.33203125" style="357" bestFit="1" customWidth="1"/>
    <col min="7451" max="7451" width="9.6640625" style="357" bestFit="1" customWidth="1"/>
    <col min="7452" max="7452" width="8.6640625" style="357" bestFit="1" customWidth="1"/>
    <col min="7453" max="7453" width="3.5" style="357" customWidth="1"/>
    <col min="7454" max="7454" width="8.5" style="357" bestFit="1" customWidth="1"/>
    <col min="7455" max="7455" width="5.1640625" style="357" bestFit="1" customWidth="1"/>
    <col min="7456" max="7680" width="9.33203125" style="357"/>
    <col min="7681" max="7681" width="1.6640625" style="357" customWidth="1"/>
    <col min="7682" max="7682" width="8.5" style="357" bestFit="1" customWidth="1"/>
    <col min="7683" max="7683" width="5.1640625" style="357" bestFit="1" customWidth="1"/>
    <col min="7684" max="7684" width="8.83203125" style="357" bestFit="1" customWidth="1"/>
    <col min="7685" max="7685" width="6.33203125" style="357" bestFit="1" customWidth="1"/>
    <col min="7686" max="7686" width="9.6640625" style="357" bestFit="1" customWidth="1"/>
    <col min="7687" max="7687" width="8.6640625" style="357" bestFit="1" customWidth="1"/>
    <col min="7688" max="7688" width="3.83203125" style="357" customWidth="1"/>
    <col min="7689" max="7689" width="8.5" style="357" bestFit="1" customWidth="1"/>
    <col min="7690" max="7690" width="5.1640625" style="357" bestFit="1" customWidth="1"/>
    <col min="7691" max="7691" width="8.83203125" style="357" bestFit="1" customWidth="1"/>
    <col min="7692" max="7692" width="6.33203125" style="357" bestFit="1" customWidth="1"/>
    <col min="7693" max="7693" width="9.6640625" style="357" bestFit="1" customWidth="1"/>
    <col min="7694" max="7694" width="8.6640625" style="357" bestFit="1" customWidth="1"/>
    <col min="7695" max="7695" width="3.5" style="357" customWidth="1"/>
    <col min="7696" max="7696" width="8.5" style="357" bestFit="1" customWidth="1"/>
    <col min="7697" max="7697" width="5.1640625" style="357" bestFit="1" customWidth="1"/>
    <col min="7698" max="7698" width="8.83203125" style="357" bestFit="1" customWidth="1"/>
    <col min="7699" max="7699" width="6.33203125" style="357" bestFit="1" customWidth="1"/>
    <col min="7700" max="7700" width="9.6640625" style="357" bestFit="1" customWidth="1"/>
    <col min="7701" max="7701" width="8.6640625" style="357" bestFit="1" customWidth="1"/>
    <col min="7702" max="7702" width="3.5" style="357" customWidth="1"/>
    <col min="7703" max="7703" width="8.5" style="357" bestFit="1" customWidth="1"/>
    <col min="7704" max="7704" width="5.1640625" style="357" bestFit="1" customWidth="1"/>
    <col min="7705" max="7705" width="8.83203125" style="357" bestFit="1" customWidth="1"/>
    <col min="7706" max="7706" width="6.33203125" style="357" bestFit="1" customWidth="1"/>
    <col min="7707" max="7707" width="9.6640625" style="357" bestFit="1" customWidth="1"/>
    <col min="7708" max="7708" width="8.6640625" style="357" bestFit="1" customWidth="1"/>
    <col min="7709" max="7709" width="3.5" style="357" customWidth="1"/>
    <col min="7710" max="7710" width="8.5" style="357" bestFit="1" customWidth="1"/>
    <col min="7711" max="7711" width="5.1640625" style="357" bestFit="1" customWidth="1"/>
    <col min="7712" max="7936" width="9.33203125" style="357"/>
    <col min="7937" max="7937" width="1.6640625" style="357" customWidth="1"/>
    <col min="7938" max="7938" width="8.5" style="357" bestFit="1" customWidth="1"/>
    <col min="7939" max="7939" width="5.1640625" style="357" bestFit="1" customWidth="1"/>
    <col min="7940" max="7940" width="8.83203125" style="357" bestFit="1" customWidth="1"/>
    <col min="7941" max="7941" width="6.33203125" style="357" bestFit="1" customWidth="1"/>
    <col min="7942" max="7942" width="9.6640625" style="357" bestFit="1" customWidth="1"/>
    <col min="7943" max="7943" width="8.6640625" style="357" bestFit="1" customWidth="1"/>
    <col min="7944" max="7944" width="3.83203125" style="357" customWidth="1"/>
    <col min="7945" max="7945" width="8.5" style="357" bestFit="1" customWidth="1"/>
    <col min="7946" max="7946" width="5.1640625" style="357" bestFit="1" customWidth="1"/>
    <col min="7947" max="7947" width="8.83203125" style="357" bestFit="1" customWidth="1"/>
    <col min="7948" max="7948" width="6.33203125" style="357" bestFit="1" customWidth="1"/>
    <col min="7949" max="7949" width="9.6640625" style="357" bestFit="1" customWidth="1"/>
    <col min="7950" max="7950" width="8.6640625" style="357" bestFit="1" customWidth="1"/>
    <col min="7951" max="7951" width="3.5" style="357" customWidth="1"/>
    <col min="7952" max="7952" width="8.5" style="357" bestFit="1" customWidth="1"/>
    <col min="7953" max="7953" width="5.1640625" style="357" bestFit="1" customWidth="1"/>
    <col min="7954" max="7954" width="8.83203125" style="357" bestFit="1" customWidth="1"/>
    <col min="7955" max="7955" width="6.33203125" style="357" bestFit="1" customWidth="1"/>
    <col min="7956" max="7956" width="9.6640625" style="357" bestFit="1" customWidth="1"/>
    <col min="7957" max="7957" width="8.6640625" style="357" bestFit="1" customWidth="1"/>
    <col min="7958" max="7958" width="3.5" style="357" customWidth="1"/>
    <col min="7959" max="7959" width="8.5" style="357" bestFit="1" customWidth="1"/>
    <col min="7960" max="7960" width="5.1640625" style="357" bestFit="1" customWidth="1"/>
    <col min="7961" max="7961" width="8.83203125" style="357" bestFit="1" customWidth="1"/>
    <col min="7962" max="7962" width="6.33203125" style="357" bestFit="1" customWidth="1"/>
    <col min="7963" max="7963" width="9.6640625" style="357" bestFit="1" customWidth="1"/>
    <col min="7964" max="7964" width="8.6640625" style="357" bestFit="1" customWidth="1"/>
    <col min="7965" max="7965" width="3.5" style="357" customWidth="1"/>
    <col min="7966" max="7966" width="8.5" style="357" bestFit="1" customWidth="1"/>
    <col min="7967" max="7967" width="5.1640625" style="357" bestFit="1" customWidth="1"/>
    <col min="7968" max="8192" width="9.33203125" style="357"/>
    <col min="8193" max="8193" width="1.6640625" style="357" customWidth="1"/>
    <col min="8194" max="8194" width="8.5" style="357" bestFit="1" customWidth="1"/>
    <col min="8195" max="8195" width="5.1640625" style="357" bestFit="1" customWidth="1"/>
    <col min="8196" max="8196" width="8.83203125" style="357" bestFit="1" customWidth="1"/>
    <col min="8197" max="8197" width="6.33203125" style="357" bestFit="1" customWidth="1"/>
    <col min="8198" max="8198" width="9.6640625" style="357" bestFit="1" customWidth="1"/>
    <col min="8199" max="8199" width="8.6640625" style="357" bestFit="1" customWidth="1"/>
    <col min="8200" max="8200" width="3.83203125" style="357" customWidth="1"/>
    <col min="8201" max="8201" width="8.5" style="357" bestFit="1" customWidth="1"/>
    <col min="8202" max="8202" width="5.1640625" style="357" bestFit="1" customWidth="1"/>
    <col min="8203" max="8203" width="8.83203125" style="357" bestFit="1" customWidth="1"/>
    <col min="8204" max="8204" width="6.33203125" style="357" bestFit="1" customWidth="1"/>
    <col min="8205" max="8205" width="9.6640625" style="357" bestFit="1" customWidth="1"/>
    <col min="8206" max="8206" width="8.6640625" style="357" bestFit="1" customWidth="1"/>
    <col min="8207" max="8207" width="3.5" style="357" customWidth="1"/>
    <col min="8208" max="8208" width="8.5" style="357" bestFit="1" customWidth="1"/>
    <col min="8209" max="8209" width="5.1640625" style="357" bestFit="1" customWidth="1"/>
    <col min="8210" max="8210" width="8.83203125" style="357" bestFit="1" customWidth="1"/>
    <col min="8211" max="8211" width="6.33203125" style="357" bestFit="1" customWidth="1"/>
    <col min="8212" max="8212" width="9.6640625" style="357" bestFit="1" customWidth="1"/>
    <col min="8213" max="8213" width="8.6640625" style="357" bestFit="1" customWidth="1"/>
    <col min="8214" max="8214" width="3.5" style="357" customWidth="1"/>
    <col min="8215" max="8215" width="8.5" style="357" bestFit="1" customWidth="1"/>
    <col min="8216" max="8216" width="5.1640625" style="357" bestFit="1" customWidth="1"/>
    <col min="8217" max="8217" width="8.83203125" style="357" bestFit="1" customWidth="1"/>
    <col min="8218" max="8218" width="6.33203125" style="357" bestFit="1" customWidth="1"/>
    <col min="8219" max="8219" width="9.6640625" style="357" bestFit="1" customWidth="1"/>
    <col min="8220" max="8220" width="8.6640625" style="357" bestFit="1" customWidth="1"/>
    <col min="8221" max="8221" width="3.5" style="357" customWidth="1"/>
    <col min="8222" max="8222" width="8.5" style="357" bestFit="1" customWidth="1"/>
    <col min="8223" max="8223" width="5.1640625" style="357" bestFit="1" customWidth="1"/>
    <col min="8224" max="8448" width="9.33203125" style="357"/>
    <col min="8449" max="8449" width="1.6640625" style="357" customWidth="1"/>
    <col min="8450" max="8450" width="8.5" style="357" bestFit="1" customWidth="1"/>
    <col min="8451" max="8451" width="5.1640625" style="357" bestFit="1" customWidth="1"/>
    <col min="8452" max="8452" width="8.83203125" style="357" bestFit="1" customWidth="1"/>
    <col min="8453" max="8453" width="6.33203125" style="357" bestFit="1" customWidth="1"/>
    <col min="8454" max="8454" width="9.6640625" style="357" bestFit="1" customWidth="1"/>
    <col min="8455" max="8455" width="8.6640625" style="357" bestFit="1" customWidth="1"/>
    <col min="8456" max="8456" width="3.83203125" style="357" customWidth="1"/>
    <col min="8457" max="8457" width="8.5" style="357" bestFit="1" customWidth="1"/>
    <col min="8458" max="8458" width="5.1640625" style="357" bestFit="1" customWidth="1"/>
    <col min="8459" max="8459" width="8.83203125" style="357" bestFit="1" customWidth="1"/>
    <col min="8460" max="8460" width="6.33203125" style="357" bestFit="1" customWidth="1"/>
    <col min="8461" max="8461" width="9.6640625" style="357" bestFit="1" customWidth="1"/>
    <col min="8462" max="8462" width="8.6640625" style="357" bestFit="1" customWidth="1"/>
    <col min="8463" max="8463" width="3.5" style="357" customWidth="1"/>
    <col min="8464" max="8464" width="8.5" style="357" bestFit="1" customWidth="1"/>
    <col min="8465" max="8465" width="5.1640625" style="357" bestFit="1" customWidth="1"/>
    <col min="8466" max="8466" width="8.83203125" style="357" bestFit="1" customWidth="1"/>
    <col min="8467" max="8467" width="6.33203125" style="357" bestFit="1" customWidth="1"/>
    <col min="8468" max="8468" width="9.6640625" style="357" bestFit="1" customWidth="1"/>
    <col min="8469" max="8469" width="8.6640625" style="357" bestFit="1" customWidth="1"/>
    <col min="8470" max="8470" width="3.5" style="357" customWidth="1"/>
    <col min="8471" max="8471" width="8.5" style="357" bestFit="1" customWidth="1"/>
    <col min="8472" max="8472" width="5.1640625" style="357" bestFit="1" customWidth="1"/>
    <col min="8473" max="8473" width="8.83203125" style="357" bestFit="1" customWidth="1"/>
    <col min="8474" max="8474" width="6.33203125" style="357" bestFit="1" customWidth="1"/>
    <col min="8475" max="8475" width="9.6640625" style="357" bestFit="1" customWidth="1"/>
    <col min="8476" max="8476" width="8.6640625" style="357" bestFit="1" customWidth="1"/>
    <col min="8477" max="8477" width="3.5" style="357" customWidth="1"/>
    <col min="8478" max="8478" width="8.5" style="357" bestFit="1" customWidth="1"/>
    <col min="8479" max="8479" width="5.1640625" style="357" bestFit="1" customWidth="1"/>
    <col min="8480" max="8704" width="9.33203125" style="357"/>
    <col min="8705" max="8705" width="1.6640625" style="357" customWidth="1"/>
    <col min="8706" max="8706" width="8.5" style="357" bestFit="1" customWidth="1"/>
    <col min="8707" max="8707" width="5.1640625" style="357" bestFit="1" customWidth="1"/>
    <col min="8708" max="8708" width="8.83203125" style="357" bestFit="1" customWidth="1"/>
    <col min="8709" max="8709" width="6.33203125" style="357" bestFit="1" customWidth="1"/>
    <col min="8710" max="8710" width="9.6640625" style="357" bestFit="1" customWidth="1"/>
    <col min="8711" max="8711" width="8.6640625" style="357" bestFit="1" customWidth="1"/>
    <col min="8712" max="8712" width="3.83203125" style="357" customWidth="1"/>
    <col min="8713" max="8713" width="8.5" style="357" bestFit="1" customWidth="1"/>
    <col min="8714" max="8714" width="5.1640625" style="357" bestFit="1" customWidth="1"/>
    <col min="8715" max="8715" width="8.83203125" style="357" bestFit="1" customWidth="1"/>
    <col min="8716" max="8716" width="6.33203125" style="357" bestFit="1" customWidth="1"/>
    <col min="8717" max="8717" width="9.6640625" style="357" bestFit="1" customWidth="1"/>
    <col min="8718" max="8718" width="8.6640625" style="357" bestFit="1" customWidth="1"/>
    <col min="8719" max="8719" width="3.5" style="357" customWidth="1"/>
    <col min="8720" max="8720" width="8.5" style="357" bestFit="1" customWidth="1"/>
    <col min="8721" max="8721" width="5.1640625" style="357" bestFit="1" customWidth="1"/>
    <col min="8722" max="8722" width="8.83203125" style="357" bestFit="1" customWidth="1"/>
    <col min="8723" max="8723" width="6.33203125" style="357" bestFit="1" customWidth="1"/>
    <col min="8724" max="8724" width="9.6640625" style="357" bestFit="1" customWidth="1"/>
    <col min="8725" max="8725" width="8.6640625" style="357" bestFit="1" customWidth="1"/>
    <col min="8726" max="8726" width="3.5" style="357" customWidth="1"/>
    <col min="8727" max="8727" width="8.5" style="357" bestFit="1" customWidth="1"/>
    <col min="8728" max="8728" width="5.1640625" style="357" bestFit="1" customWidth="1"/>
    <col min="8729" max="8729" width="8.83203125" style="357" bestFit="1" customWidth="1"/>
    <col min="8730" max="8730" width="6.33203125" style="357" bestFit="1" customWidth="1"/>
    <col min="8731" max="8731" width="9.6640625" style="357" bestFit="1" customWidth="1"/>
    <col min="8732" max="8732" width="8.6640625" style="357" bestFit="1" customWidth="1"/>
    <col min="8733" max="8733" width="3.5" style="357" customWidth="1"/>
    <col min="8734" max="8734" width="8.5" style="357" bestFit="1" customWidth="1"/>
    <col min="8735" max="8735" width="5.1640625" style="357" bestFit="1" customWidth="1"/>
    <col min="8736" max="8960" width="9.33203125" style="357"/>
    <col min="8961" max="8961" width="1.6640625" style="357" customWidth="1"/>
    <col min="8962" max="8962" width="8.5" style="357" bestFit="1" customWidth="1"/>
    <col min="8963" max="8963" width="5.1640625" style="357" bestFit="1" customWidth="1"/>
    <col min="8964" max="8964" width="8.83203125" style="357" bestFit="1" customWidth="1"/>
    <col min="8965" max="8965" width="6.33203125" style="357" bestFit="1" customWidth="1"/>
    <col min="8966" max="8966" width="9.6640625" style="357" bestFit="1" customWidth="1"/>
    <col min="8967" max="8967" width="8.6640625" style="357" bestFit="1" customWidth="1"/>
    <col min="8968" max="8968" width="3.83203125" style="357" customWidth="1"/>
    <col min="8969" max="8969" width="8.5" style="357" bestFit="1" customWidth="1"/>
    <col min="8970" max="8970" width="5.1640625" style="357" bestFit="1" customWidth="1"/>
    <col min="8971" max="8971" width="8.83203125" style="357" bestFit="1" customWidth="1"/>
    <col min="8972" max="8972" width="6.33203125" style="357" bestFit="1" customWidth="1"/>
    <col min="8973" max="8973" width="9.6640625" style="357" bestFit="1" customWidth="1"/>
    <col min="8974" max="8974" width="8.6640625" style="357" bestFit="1" customWidth="1"/>
    <col min="8975" max="8975" width="3.5" style="357" customWidth="1"/>
    <col min="8976" max="8976" width="8.5" style="357" bestFit="1" customWidth="1"/>
    <col min="8977" max="8977" width="5.1640625" style="357" bestFit="1" customWidth="1"/>
    <col min="8978" max="8978" width="8.83203125" style="357" bestFit="1" customWidth="1"/>
    <col min="8979" max="8979" width="6.33203125" style="357" bestFit="1" customWidth="1"/>
    <col min="8980" max="8980" width="9.6640625" style="357" bestFit="1" customWidth="1"/>
    <col min="8981" max="8981" width="8.6640625" style="357" bestFit="1" customWidth="1"/>
    <col min="8982" max="8982" width="3.5" style="357" customWidth="1"/>
    <col min="8983" max="8983" width="8.5" style="357" bestFit="1" customWidth="1"/>
    <col min="8984" max="8984" width="5.1640625" style="357" bestFit="1" customWidth="1"/>
    <col min="8985" max="8985" width="8.83203125" style="357" bestFit="1" customWidth="1"/>
    <col min="8986" max="8986" width="6.33203125" style="357" bestFit="1" customWidth="1"/>
    <col min="8987" max="8987" width="9.6640625" style="357" bestFit="1" customWidth="1"/>
    <col min="8988" max="8988" width="8.6640625" style="357" bestFit="1" customWidth="1"/>
    <col min="8989" max="8989" width="3.5" style="357" customWidth="1"/>
    <col min="8990" max="8990" width="8.5" style="357" bestFit="1" customWidth="1"/>
    <col min="8991" max="8991" width="5.1640625" style="357" bestFit="1" customWidth="1"/>
    <col min="8992" max="9216" width="9.33203125" style="357"/>
    <col min="9217" max="9217" width="1.6640625" style="357" customWidth="1"/>
    <col min="9218" max="9218" width="8.5" style="357" bestFit="1" customWidth="1"/>
    <col min="9219" max="9219" width="5.1640625" style="357" bestFit="1" customWidth="1"/>
    <col min="9220" max="9220" width="8.83203125" style="357" bestFit="1" customWidth="1"/>
    <col min="9221" max="9221" width="6.33203125" style="357" bestFit="1" customWidth="1"/>
    <col min="9222" max="9222" width="9.6640625" style="357" bestFit="1" customWidth="1"/>
    <col min="9223" max="9223" width="8.6640625" style="357" bestFit="1" customWidth="1"/>
    <col min="9224" max="9224" width="3.83203125" style="357" customWidth="1"/>
    <col min="9225" max="9225" width="8.5" style="357" bestFit="1" customWidth="1"/>
    <col min="9226" max="9226" width="5.1640625" style="357" bestFit="1" customWidth="1"/>
    <col min="9227" max="9227" width="8.83203125" style="357" bestFit="1" customWidth="1"/>
    <col min="9228" max="9228" width="6.33203125" style="357" bestFit="1" customWidth="1"/>
    <col min="9229" max="9229" width="9.6640625" style="357" bestFit="1" customWidth="1"/>
    <col min="9230" max="9230" width="8.6640625" style="357" bestFit="1" customWidth="1"/>
    <col min="9231" max="9231" width="3.5" style="357" customWidth="1"/>
    <col min="9232" max="9232" width="8.5" style="357" bestFit="1" customWidth="1"/>
    <col min="9233" max="9233" width="5.1640625" style="357" bestFit="1" customWidth="1"/>
    <col min="9234" max="9234" width="8.83203125" style="357" bestFit="1" customWidth="1"/>
    <col min="9235" max="9235" width="6.33203125" style="357" bestFit="1" customWidth="1"/>
    <col min="9236" max="9236" width="9.6640625" style="357" bestFit="1" customWidth="1"/>
    <col min="9237" max="9237" width="8.6640625" style="357" bestFit="1" customWidth="1"/>
    <col min="9238" max="9238" width="3.5" style="357" customWidth="1"/>
    <col min="9239" max="9239" width="8.5" style="357" bestFit="1" customWidth="1"/>
    <col min="9240" max="9240" width="5.1640625" style="357" bestFit="1" customWidth="1"/>
    <col min="9241" max="9241" width="8.83203125" style="357" bestFit="1" customWidth="1"/>
    <col min="9242" max="9242" width="6.33203125" style="357" bestFit="1" customWidth="1"/>
    <col min="9243" max="9243" width="9.6640625" style="357" bestFit="1" customWidth="1"/>
    <col min="9244" max="9244" width="8.6640625" style="357" bestFit="1" customWidth="1"/>
    <col min="9245" max="9245" width="3.5" style="357" customWidth="1"/>
    <col min="9246" max="9246" width="8.5" style="357" bestFit="1" customWidth="1"/>
    <col min="9247" max="9247" width="5.1640625" style="357" bestFit="1" customWidth="1"/>
    <col min="9248" max="9472" width="9.33203125" style="357"/>
    <col min="9473" max="9473" width="1.6640625" style="357" customWidth="1"/>
    <col min="9474" max="9474" width="8.5" style="357" bestFit="1" customWidth="1"/>
    <col min="9475" max="9475" width="5.1640625" style="357" bestFit="1" customWidth="1"/>
    <col min="9476" max="9476" width="8.83203125" style="357" bestFit="1" customWidth="1"/>
    <col min="9477" max="9477" width="6.33203125" style="357" bestFit="1" customWidth="1"/>
    <col min="9478" max="9478" width="9.6640625" style="357" bestFit="1" customWidth="1"/>
    <col min="9479" max="9479" width="8.6640625" style="357" bestFit="1" customWidth="1"/>
    <col min="9480" max="9480" width="3.83203125" style="357" customWidth="1"/>
    <col min="9481" max="9481" width="8.5" style="357" bestFit="1" customWidth="1"/>
    <col min="9482" max="9482" width="5.1640625" style="357" bestFit="1" customWidth="1"/>
    <col min="9483" max="9483" width="8.83203125" style="357" bestFit="1" customWidth="1"/>
    <col min="9484" max="9484" width="6.33203125" style="357" bestFit="1" customWidth="1"/>
    <col min="9485" max="9485" width="9.6640625" style="357" bestFit="1" customWidth="1"/>
    <col min="9486" max="9486" width="8.6640625" style="357" bestFit="1" customWidth="1"/>
    <col min="9487" max="9487" width="3.5" style="357" customWidth="1"/>
    <col min="9488" max="9488" width="8.5" style="357" bestFit="1" customWidth="1"/>
    <col min="9489" max="9489" width="5.1640625" style="357" bestFit="1" customWidth="1"/>
    <col min="9490" max="9490" width="8.83203125" style="357" bestFit="1" customWidth="1"/>
    <col min="9491" max="9491" width="6.33203125" style="357" bestFit="1" customWidth="1"/>
    <col min="9492" max="9492" width="9.6640625" style="357" bestFit="1" customWidth="1"/>
    <col min="9493" max="9493" width="8.6640625" style="357" bestFit="1" customWidth="1"/>
    <col min="9494" max="9494" width="3.5" style="357" customWidth="1"/>
    <col min="9495" max="9495" width="8.5" style="357" bestFit="1" customWidth="1"/>
    <col min="9496" max="9496" width="5.1640625" style="357" bestFit="1" customWidth="1"/>
    <col min="9497" max="9497" width="8.83203125" style="357" bestFit="1" customWidth="1"/>
    <col min="9498" max="9498" width="6.33203125" style="357" bestFit="1" customWidth="1"/>
    <col min="9499" max="9499" width="9.6640625" style="357" bestFit="1" customWidth="1"/>
    <col min="9500" max="9500" width="8.6640625" style="357" bestFit="1" customWidth="1"/>
    <col min="9501" max="9501" width="3.5" style="357" customWidth="1"/>
    <col min="9502" max="9502" width="8.5" style="357" bestFit="1" customWidth="1"/>
    <col min="9503" max="9503" width="5.1640625" style="357" bestFit="1" customWidth="1"/>
    <col min="9504" max="9728" width="9.33203125" style="357"/>
    <col min="9729" max="9729" width="1.6640625" style="357" customWidth="1"/>
    <col min="9730" max="9730" width="8.5" style="357" bestFit="1" customWidth="1"/>
    <col min="9731" max="9731" width="5.1640625" style="357" bestFit="1" customWidth="1"/>
    <col min="9732" max="9732" width="8.83203125" style="357" bestFit="1" customWidth="1"/>
    <col min="9733" max="9733" width="6.33203125" style="357" bestFit="1" customWidth="1"/>
    <col min="9734" max="9734" width="9.6640625" style="357" bestFit="1" customWidth="1"/>
    <col min="9735" max="9735" width="8.6640625" style="357" bestFit="1" customWidth="1"/>
    <col min="9736" max="9736" width="3.83203125" style="357" customWidth="1"/>
    <col min="9737" max="9737" width="8.5" style="357" bestFit="1" customWidth="1"/>
    <col min="9738" max="9738" width="5.1640625" style="357" bestFit="1" customWidth="1"/>
    <col min="9739" max="9739" width="8.83203125" style="357" bestFit="1" customWidth="1"/>
    <col min="9740" max="9740" width="6.33203125" style="357" bestFit="1" customWidth="1"/>
    <col min="9741" max="9741" width="9.6640625" style="357" bestFit="1" customWidth="1"/>
    <col min="9742" max="9742" width="8.6640625" style="357" bestFit="1" customWidth="1"/>
    <col min="9743" max="9743" width="3.5" style="357" customWidth="1"/>
    <col min="9744" max="9744" width="8.5" style="357" bestFit="1" customWidth="1"/>
    <col min="9745" max="9745" width="5.1640625" style="357" bestFit="1" customWidth="1"/>
    <col min="9746" max="9746" width="8.83203125" style="357" bestFit="1" customWidth="1"/>
    <col min="9747" max="9747" width="6.33203125" style="357" bestFit="1" customWidth="1"/>
    <col min="9748" max="9748" width="9.6640625" style="357" bestFit="1" customWidth="1"/>
    <col min="9749" max="9749" width="8.6640625" style="357" bestFit="1" customWidth="1"/>
    <col min="9750" max="9750" width="3.5" style="357" customWidth="1"/>
    <col min="9751" max="9751" width="8.5" style="357" bestFit="1" customWidth="1"/>
    <col min="9752" max="9752" width="5.1640625" style="357" bestFit="1" customWidth="1"/>
    <col min="9753" max="9753" width="8.83203125" style="357" bestFit="1" customWidth="1"/>
    <col min="9754" max="9754" width="6.33203125" style="357" bestFit="1" customWidth="1"/>
    <col min="9755" max="9755" width="9.6640625" style="357" bestFit="1" customWidth="1"/>
    <col min="9756" max="9756" width="8.6640625" style="357" bestFit="1" customWidth="1"/>
    <col min="9757" max="9757" width="3.5" style="357" customWidth="1"/>
    <col min="9758" max="9758" width="8.5" style="357" bestFit="1" customWidth="1"/>
    <col min="9759" max="9759" width="5.1640625" style="357" bestFit="1" customWidth="1"/>
    <col min="9760" max="9984" width="9.33203125" style="357"/>
    <col min="9985" max="9985" width="1.6640625" style="357" customWidth="1"/>
    <col min="9986" max="9986" width="8.5" style="357" bestFit="1" customWidth="1"/>
    <col min="9987" max="9987" width="5.1640625" style="357" bestFit="1" customWidth="1"/>
    <col min="9988" max="9988" width="8.83203125" style="357" bestFit="1" customWidth="1"/>
    <col min="9989" max="9989" width="6.33203125" style="357" bestFit="1" customWidth="1"/>
    <col min="9990" max="9990" width="9.6640625" style="357" bestFit="1" customWidth="1"/>
    <col min="9991" max="9991" width="8.6640625" style="357" bestFit="1" customWidth="1"/>
    <col min="9992" max="9992" width="3.83203125" style="357" customWidth="1"/>
    <col min="9993" max="9993" width="8.5" style="357" bestFit="1" customWidth="1"/>
    <col min="9994" max="9994" width="5.1640625" style="357" bestFit="1" customWidth="1"/>
    <col min="9995" max="9995" width="8.83203125" style="357" bestFit="1" customWidth="1"/>
    <col min="9996" max="9996" width="6.33203125" style="357" bestFit="1" customWidth="1"/>
    <col min="9997" max="9997" width="9.6640625" style="357" bestFit="1" customWidth="1"/>
    <col min="9998" max="9998" width="8.6640625" style="357" bestFit="1" customWidth="1"/>
    <col min="9999" max="9999" width="3.5" style="357" customWidth="1"/>
    <col min="10000" max="10000" width="8.5" style="357" bestFit="1" customWidth="1"/>
    <col min="10001" max="10001" width="5.1640625" style="357" bestFit="1" customWidth="1"/>
    <col min="10002" max="10002" width="8.83203125" style="357" bestFit="1" customWidth="1"/>
    <col min="10003" max="10003" width="6.33203125" style="357" bestFit="1" customWidth="1"/>
    <col min="10004" max="10004" width="9.6640625" style="357" bestFit="1" customWidth="1"/>
    <col min="10005" max="10005" width="8.6640625" style="357" bestFit="1" customWidth="1"/>
    <col min="10006" max="10006" width="3.5" style="357" customWidth="1"/>
    <col min="10007" max="10007" width="8.5" style="357" bestFit="1" customWidth="1"/>
    <col min="10008" max="10008" width="5.1640625" style="357" bestFit="1" customWidth="1"/>
    <col min="10009" max="10009" width="8.83203125" style="357" bestFit="1" customWidth="1"/>
    <col min="10010" max="10010" width="6.33203125" style="357" bestFit="1" customWidth="1"/>
    <col min="10011" max="10011" width="9.6640625" style="357" bestFit="1" customWidth="1"/>
    <col min="10012" max="10012" width="8.6640625" style="357" bestFit="1" customWidth="1"/>
    <col min="10013" max="10013" width="3.5" style="357" customWidth="1"/>
    <col min="10014" max="10014" width="8.5" style="357" bestFit="1" customWidth="1"/>
    <col min="10015" max="10015" width="5.1640625" style="357" bestFit="1" customWidth="1"/>
    <col min="10016" max="10240" width="9.33203125" style="357"/>
    <col min="10241" max="10241" width="1.6640625" style="357" customWidth="1"/>
    <col min="10242" max="10242" width="8.5" style="357" bestFit="1" customWidth="1"/>
    <col min="10243" max="10243" width="5.1640625" style="357" bestFit="1" customWidth="1"/>
    <col min="10244" max="10244" width="8.83203125" style="357" bestFit="1" customWidth="1"/>
    <col min="10245" max="10245" width="6.33203125" style="357" bestFit="1" customWidth="1"/>
    <col min="10246" max="10246" width="9.6640625" style="357" bestFit="1" customWidth="1"/>
    <col min="10247" max="10247" width="8.6640625" style="357" bestFit="1" customWidth="1"/>
    <col min="10248" max="10248" width="3.83203125" style="357" customWidth="1"/>
    <col min="10249" max="10249" width="8.5" style="357" bestFit="1" customWidth="1"/>
    <col min="10250" max="10250" width="5.1640625" style="357" bestFit="1" customWidth="1"/>
    <col min="10251" max="10251" width="8.83203125" style="357" bestFit="1" customWidth="1"/>
    <col min="10252" max="10252" width="6.33203125" style="357" bestFit="1" customWidth="1"/>
    <col min="10253" max="10253" width="9.6640625" style="357" bestFit="1" customWidth="1"/>
    <col min="10254" max="10254" width="8.6640625" style="357" bestFit="1" customWidth="1"/>
    <col min="10255" max="10255" width="3.5" style="357" customWidth="1"/>
    <col min="10256" max="10256" width="8.5" style="357" bestFit="1" customWidth="1"/>
    <col min="10257" max="10257" width="5.1640625" style="357" bestFit="1" customWidth="1"/>
    <col min="10258" max="10258" width="8.83203125" style="357" bestFit="1" customWidth="1"/>
    <col min="10259" max="10259" width="6.33203125" style="357" bestFit="1" customWidth="1"/>
    <col min="10260" max="10260" width="9.6640625" style="357" bestFit="1" customWidth="1"/>
    <col min="10261" max="10261" width="8.6640625" style="357" bestFit="1" customWidth="1"/>
    <col min="10262" max="10262" width="3.5" style="357" customWidth="1"/>
    <col min="10263" max="10263" width="8.5" style="357" bestFit="1" customWidth="1"/>
    <col min="10264" max="10264" width="5.1640625" style="357" bestFit="1" customWidth="1"/>
    <col min="10265" max="10265" width="8.83203125" style="357" bestFit="1" customWidth="1"/>
    <col min="10266" max="10266" width="6.33203125" style="357" bestFit="1" customWidth="1"/>
    <col min="10267" max="10267" width="9.6640625" style="357" bestFit="1" customWidth="1"/>
    <col min="10268" max="10268" width="8.6640625" style="357" bestFit="1" customWidth="1"/>
    <col min="10269" max="10269" width="3.5" style="357" customWidth="1"/>
    <col min="10270" max="10270" width="8.5" style="357" bestFit="1" customWidth="1"/>
    <col min="10271" max="10271" width="5.1640625" style="357" bestFit="1" customWidth="1"/>
    <col min="10272" max="10496" width="9.33203125" style="357"/>
    <col min="10497" max="10497" width="1.6640625" style="357" customWidth="1"/>
    <col min="10498" max="10498" width="8.5" style="357" bestFit="1" customWidth="1"/>
    <col min="10499" max="10499" width="5.1640625" style="357" bestFit="1" customWidth="1"/>
    <col min="10500" max="10500" width="8.83203125" style="357" bestFit="1" customWidth="1"/>
    <col min="10501" max="10501" width="6.33203125" style="357" bestFit="1" customWidth="1"/>
    <col min="10502" max="10502" width="9.6640625" style="357" bestFit="1" customWidth="1"/>
    <col min="10503" max="10503" width="8.6640625" style="357" bestFit="1" customWidth="1"/>
    <col min="10504" max="10504" width="3.83203125" style="357" customWidth="1"/>
    <col min="10505" max="10505" width="8.5" style="357" bestFit="1" customWidth="1"/>
    <col min="10506" max="10506" width="5.1640625" style="357" bestFit="1" customWidth="1"/>
    <col min="10507" max="10507" width="8.83203125" style="357" bestFit="1" customWidth="1"/>
    <col min="10508" max="10508" width="6.33203125" style="357" bestFit="1" customWidth="1"/>
    <col min="10509" max="10509" width="9.6640625" style="357" bestFit="1" customWidth="1"/>
    <col min="10510" max="10510" width="8.6640625" style="357" bestFit="1" customWidth="1"/>
    <col min="10511" max="10511" width="3.5" style="357" customWidth="1"/>
    <col min="10512" max="10512" width="8.5" style="357" bestFit="1" customWidth="1"/>
    <col min="10513" max="10513" width="5.1640625" style="357" bestFit="1" customWidth="1"/>
    <col min="10514" max="10514" width="8.83203125" style="357" bestFit="1" customWidth="1"/>
    <col min="10515" max="10515" width="6.33203125" style="357" bestFit="1" customWidth="1"/>
    <col min="10516" max="10516" width="9.6640625" style="357" bestFit="1" customWidth="1"/>
    <col min="10517" max="10517" width="8.6640625" style="357" bestFit="1" customWidth="1"/>
    <col min="10518" max="10518" width="3.5" style="357" customWidth="1"/>
    <col min="10519" max="10519" width="8.5" style="357" bestFit="1" customWidth="1"/>
    <col min="10520" max="10520" width="5.1640625" style="357" bestFit="1" customWidth="1"/>
    <col min="10521" max="10521" width="8.83203125" style="357" bestFit="1" customWidth="1"/>
    <col min="10522" max="10522" width="6.33203125" style="357" bestFit="1" customWidth="1"/>
    <col min="10523" max="10523" width="9.6640625" style="357" bestFit="1" customWidth="1"/>
    <col min="10524" max="10524" width="8.6640625" style="357" bestFit="1" customWidth="1"/>
    <col min="10525" max="10525" width="3.5" style="357" customWidth="1"/>
    <col min="10526" max="10526" width="8.5" style="357" bestFit="1" customWidth="1"/>
    <col min="10527" max="10527" width="5.1640625" style="357" bestFit="1" customWidth="1"/>
    <col min="10528" max="10752" width="9.33203125" style="357"/>
    <col min="10753" max="10753" width="1.6640625" style="357" customWidth="1"/>
    <col min="10754" max="10754" width="8.5" style="357" bestFit="1" customWidth="1"/>
    <col min="10755" max="10755" width="5.1640625" style="357" bestFit="1" customWidth="1"/>
    <col min="10756" max="10756" width="8.83203125" style="357" bestFit="1" customWidth="1"/>
    <col min="10757" max="10757" width="6.33203125" style="357" bestFit="1" customWidth="1"/>
    <col min="10758" max="10758" width="9.6640625" style="357" bestFit="1" customWidth="1"/>
    <col min="10759" max="10759" width="8.6640625" style="357" bestFit="1" customWidth="1"/>
    <col min="10760" max="10760" width="3.83203125" style="357" customWidth="1"/>
    <col min="10761" max="10761" width="8.5" style="357" bestFit="1" customWidth="1"/>
    <col min="10762" max="10762" width="5.1640625" style="357" bestFit="1" customWidth="1"/>
    <col min="10763" max="10763" width="8.83203125" style="357" bestFit="1" customWidth="1"/>
    <col min="10764" max="10764" width="6.33203125" style="357" bestFit="1" customWidth="1"/>
    <col min="10765" max="10765" width="9.6640625" style="357" bestFit="1" customWidth="1"/>
    <col min="10766" max="10766" width="8.6640625" style="357" bestFit="1" customWidth="1"/>
    <col min="10767" max="10767" width="3.5" style="357" customWidth="1"/>
    <col min="10768" max="10768" width="8.5" style="357" bestFit="1" customWidth="1"/>
    <col min="10769" max="10769" width="5.1640625" style="357" bestFit="1" customWidth="1"/>
    <col min="10770" max="10770" width="8.83203125" style="357" bestFit="1" customWidth="1"/>
    <col min="10771" max="10771" width="6.33203125" style="357" bestFit="1" customWidth="1"/>
    <col min="10772" max="10772" width="9.6640625" style="357" bestFit="1" customWidth="1"/>
    <col min="10773" max="10773" width="8.6640625" style="357" bestFit="1" customWidth="1"/>
    <col min="10774" max="10774" width="3.5" style="357" customWidth="1"/>
    <col min="10775" max="10775" width="8.5" style="357" bestFit="1" customWidth="1"/>
    <col min="10776" max="10776" width="5.1640625" style="357" bestFit="1" customWidth="1"/>
    <col min="10777" max="10777" width="8.83203125" style="357" bestFit="1" customWidth="1"/>
    <col min="10778" max="10778" width="6.33203125" style="357" bestFit="1" customWidth="1"/>
    <col min="10779" max="10779" width="9.6640625" style="357" bestFit="1" customWidth="1"/>
    <col min="10780" max="10780" width="8.6640625" style="357" bestFit="1" customWidth="1"/>
    <col min="10781" max="10781" width="3.5" style="357" customWidth="1"/>
    <col min="10782" max="10782" width="8.5" style="357" bestFit="1" customWidth="1"/>
    <col min="10783" max="10783" width="5.1640625" style="357" bestFit="1" customWidth="1"/>
    <col min="10784" max="11008" width="9.33203125" style="357"/>
    <col min="11009" max="11009" width="1.6640625" style="357" customWidth="1"/>
    <col min="11010" max="11010" width="8.5" style="357" bestFit="1" customWidth="1"/>
    <col min="11011" max="11011" width="5.1640625" style="357" bestFit="1" customWidth="1"/>
    <col min="11012" max="11012" width="8.83203125" style="357" bestFit="1" customWidth="1"/>
    <col min="11013" max="11013" width="6.33203125" style="357" bestFit="1" customWidth="1"/>
    <col min="11014" max="11014" width="9.6640625" style="357" bestFit="1" customWidth="1"/>
    <col min="11015" max="11015" width="8.6640625" style="357" bestFit="1" customWidth="1"/>
    <col min="11016" max="11016" width="3.83203125" style="357" customWidth="1"/>
    <col min="11017" max="11017" width="8.5" style="357" bestFit="1" customWidth="1"/>
    <col min="11018" max="11018" width="5.1640625" style="357" bestFit="1" customWidth="1"/>
    <col min="11019" max="11019" width="8.83203125" style="357" bestFit="1" customWidth="1"/>
    <col min="11020" max="11020" width="6.33203125" style="357" bestFit="1" customWidth="1"/>
    <col min="11021" max="11021" width="9.6640625" style="357" bestFit="1" customWidth="1"/>
    <col min="11022" max="11022" width="8.6640625" style="357" bestFit="1" customWidth="1"/>
    <col min="11023" max="11023" width="3.5" style="357" customWidth="1"/>
    <col min="11024" max="11024" width="8.5" style="357" bestFit="1" customWidth="1"/>
    <col min="11025" max="11025" width="5.1640625" style="357" bestFit="1" customWidth="1"/>
    <col min="11026" max="11026" width="8.83203125" style="357" bestFit="1" customWidth="1"/>
    <col min="11027" max="11027" width="6.33203125" style="357" bestFit="1" customWidth="1"/>
    <col min="11028" max="11028" width="9.6640625" style="357" bestFit="1" customWidth="1"/>
    <col min="11029" max="11029" width="8.6640625" style="357" bestFit="1" customWidth="1"/>
    <col min="11030" max="11030" width="3.5" style="357" customWidth="1"/>
    <col min="11031" max="11031" width="8.5" style="357" bestFit="1" customWidth="1"/>
    <col min="11032" max="11032" width="5.1640625" style="357" bestFit="1" customWidth="1"/>
    <col min="11033" max="11033" width="8.83203125" style="357" bestFit="1" customWidth="1"/>
    <col min="11034" max="11034" width="6.33203125" style="357" bestFit="1" customWidth="1"/>
    <col min="11035" max="11035" width="9.6640625" style="357" bestFit="1" customWidth="1"/>
    <col min="11036" max="11036" width="8.6640625" style="357" bestFit="1" customWidth="1"/>
    <col min="11037" max="11037" width="3.5" style="357" customWidth="1"/>
    <col min="11038" max="11038" width="8.5" style="357" bestFit="1" customWidth="1"/>
    <col min="11039" max="11039" width="5.1640625" style="357" bestFit="1" customWidth="1"/>
    <col min="11040" max="11264" width="9.33203125" style="357"/>
    <col min="11265" max="11265" width="1.6640625" style="357" customWidth="1"/>
    <col min="11266" max="11266" width="8.5" style="357" bestFit="1" customWidth="1"/>
    <col min="11267" max="11267" width="5.1640625" style="357" bestFit="1" customWidth="1"/>
    <col min="11268" max="11268" width="8.83203125" style="357" bestFit="1" customWidth="1"/>
    <col min="11269" max="11269" width="6.33203125" style="357" bestFit="1" customWidth="1"/>
    <col min="11270" max="11270" width="9.6640625" style="357" bestFit="1" customWidth="1"/>
    <col min="11271" max="11271" width="8.6640625" style="357" bestFit="1" customWidth="1"/>
    <col min="11272" max="11272" width="3.83203125" style="357" customWidth="1"/>
    <col min="11273" max="11273" width="8.5" style="357" bestFit="1" customWidth="1"/>
    <col min="11274" max="11274" width="5.1640625" style="357" bestFit="1" customWidth="1"/>
    <col min="11275" max="11275" width="8.83203125" style="357" bestFit="1" customWidth="1"/>
    <col min="11276" max="11276" width="6.33203125" style="357" bestFit="1" customWidth="1"/>
    <col min="11277" max="11277" width="9.6640625" style="357" bestFit="1" customWidth="1"/>
    <col min="11278" max="11278" width="8.6640625" style="357" bestFit="1" customWidth="1"/>
    <col min="11279" max="11279" width="3.5" style="357" customWidth="1"/>
    <col min="11280" max="11280" width="8.5" style="357" bestFit="1" customWidth="1"/>
    <col min="11281" max="11281" width="5.1640625" style="357" bestFit="1" customWidth="1"/>
    <col min="11282" max="11282" width="8.83203125" style="357" bestFit="1" customWidth="1"/>
    <col min="11283" max="11283" width="6.33203125" style="357" bestFit="1" customWidth="1"/>
    <col min="11284" max="11284" width="9.6640625" style="357" bestFit="1" customWidth="1"/>
    <col min="11285" max="11285" width="8.6640625" style="357" bestFit="1" customWidth="1"/>
    <col min="11286" max="11286" width="3.5" style="357" customWidth="1"/>
    <col min="11287" max="11287" width="8.5" style="357" bestFit="1" customWidth="1"/>
    <col min="11288" max="11288" width="5.1640625" style="357" bestFit="1" customWidth="1"/>
    <col min="11289" max="11289" width="8.83203125" style="357" bestFit="1" customWidth="1"/>
    <col min="11290" max="11290" width="6.33203125" style="357" bestFit="1" customWidth="1"/>
    <col min="11291" max="11291" width="9.6640625" style="357" bestFit="1" customWidth="1"/>
    <col min="11292" max="11292" width="8.6640625" style="357" bestFit="1" customWidth="1"/>
    <col min="11293" max="11293" width="3.5" style="357" customWidth="1"/>
    <col min="11294" max="11294" width="8.5" style="357" bestFit="1" customWidth="1"/>
    <col min="11295" max="11295" width="5.1640625" style="357" bestFit="1" customWidth="1"/>
    <col min="11296" max="11520" width="9.33203125" style="357"/>
    <col min="11521" max="11521" width="1.6640625" style="357" customWidth="1"/>
    <col min="11522" max="11522" width="8.5" style="357" bestFit="1" customWidth="1"/>
    <col min="11523" max="11523" width="5.1640625" style="357" bestFit="1" customWidth="1"/>
    <col min="11524" max="11524" width="8.83203125" style="357" bestFit="1" customWidth="1"/>
    <col min="11525" max="11525" width="6.33203125" style="357" bestFit="1" customWidth="1"/>
    <col min="11526" max="11526" width="9.6640625" style="357" bestFit="1" customWidth="1"/>
    <col min="11527" max="11527" width="8.6640625" style="357" bestFit="1" customWidth="1"/>
    <col min="11528" max="11528" width="3.83203125" style="357" customWidth="1"/>
    <col min="11529" max="11529" width="8.5" style="357" bestFit="1" customWidth="1"/>
    <col min="11530" max="11530" width="5.1640625" style="357" bestFit="1" customWidth="1"/>
    <col min="11531" max="11531" width="8.83203125" style="357" bestFit="1" customWidth="1"/>
    <col min="11532" max="11532" width="6.33203125" style="357" bestFit="1" customWidth="1"/>
    <col min="11533" max="11533" width="9.6640625" style="357" bestFit="1" customWidth="1"/>
    <col min="11534" max="11534" width="8.6640625" style="357" bestFit="1" customWidth="1"/>
    <col min="11535" max="11535" width="3.5" style="357" customWidth="1"/>
    <col min="11536" max="11536" width="8.5" style="357" bestFit="1" customWidth="1"/>
    <col min="11537" max="11537" width="5.1640625" style="357" bestFit="1" customWidth="1"/>
    <col min="11538" max="11538" width="8.83203125" style="357" bestFit="1" customWidth="1"/>
    <col min="11539" max="11539" width="6.33203125" style="357" bestFit="1" customWidth="1"/>
    <col min="11540" max="11540" width="9.6640625" style="357" bestFit="1" customWidth="1"/>
    <col min="11541" max="11541" width="8.6640625" style="357" bestFit="1" customWidth="1"/>
    <col min="11542" max="11542" width="3.5" style="357" customWidth="1"/>
    <col min="11543" max="11543" width="8.5" style="357" bestFit="1" customWidth="1"/>
    <col min="11544" max="11544" width="5.1640625" style="357" bestFit="1" customWidth="1"/>
    <col min="11545" max="11545" width="8.83203125" style="357" bestFit="1" customWidth="1"/>
    <col min="11546" max="11546" width="6.33203125" style="357" bestFit="1" customWidth="1"/>
    <col min="11547" max="11547" width="9.6640625" style="357" bestFit="1" customWidth="1"/>
    <col min="11548" max="11548" width="8.6640625" style="357" bestFit="1" customWidth="1"/>
    <col min="11549" max="11549" width="3.5" style="357" customWidth="1"/>
    <col min="11550" max="11550" width="8.5" style="357" bestFit="1" customWidth="1"/>
    <col min="11551" max="11551" width="5.1640625" style="357" bestFit="1" customWidth="1"/>
    <col min="11552" max="11776" width="9.33203125" style="357"/>
    <col min="11777" max="11777" width="1.6640625" style="357" customWidth="1"/>
    <col min="11778" max="11778" width="8.5" style="357" bestFit="1" customWidth="1"/>
    <col min="11779" max="11779" width="5.1640625" style="357" bestFit="1" customWidth="1"/>
    <col min="11780" max="11780" width="8.83203125" style="357" bestFit="1" customWidth="1"/>
    <col min="11781" max="11781" width="6.33203125" style="357" bestFit="1" customWidth="1"/>
    <col min="11782" max="11782" width="9.6640625" style="357" bestFit="1" customWidth="1"/>
    <col min="11783" max="11783" width="8.6640625" style="357" bestFit="1" customWidth="1"/>
    <col min="11784" max="11784" width="3.83203125" style="357" customWidth="1"/>
    <col min="11785" max="11785" width="8.5" style="357" bestFit="1" customWidth="1"/>
    <col min="11786" max="11786" width="5.1640625" style="357" bestFit="1" customWidth="1"/>
    <col min="11787" max="11787" width="8.83203125" style="357" bestFit="1" customWidth="1"/>
    <col min="11788" max="11788" width="6.33203125" style="357" bestFit="1" customWidth="1"/>
    <col min="11789" max="11789" width="9.6640625" style="357" bestFit="1" customWidth="1"/>
    <col min="11790" max="11790" width="8.6640625" style="357" bestFit="1" customWidth="1"/>
    <col min="11791" max="11791" width="3.5" style="357" customWidth="1"/>
    <col min="11792" max="11792" width="8.5" style="357" bestFit="1" customWidth="1"/>
    <col min="11793" max="11793" width="5.1640625" style="357" bestFit="1" customWidth="1"/>
    <col min="11794" max="11794" width="8.83203125" style="357" bestFit="1" customWidth="1"/>
    <col min="11795" max="11795" width="6.33203125" style="357" bestFit="1" customWidth="1"/>
    <col min="11796" max="11796" width="9.6640625" style="357" bestFit="1" customWidth="1"/>
    <col min="11797" max="11797" width="8.6640625" style="357" bestFit="1" customWidth="1"/>
    <col min="11798" max="11798" width="3.5" style="357" customWidth="1"/>
    <col min="11799" max="11799" width="8.5" style="357" bestFit="1" customWidth="1"/>
    <col min="11800" max="11800" width="5.1640625" style="357" bestFit="1" customWidth="1"/>
    <col min="11801" max="11801" width="8.83203125" style="357" bestFit="1" customWidth="1"/>
    <col min="11802" max="11802" width="6.33203125" style="357" bestFit="1" customWidth="1"/>
    <col min="11803" max="11803" width="9.6640625" style="357" bestFit="1" customWidth="1"/>
    <col min="11804" max="11804" width="8.6640625" style="357" bestFit="1" customWidth="1"/>
    <col min="11805" max="11805" width="3.5" style="357" customWidth="1"/>
    <col min="11806" max="11806" width="8.5" style="357" bestFit="1" customWidth="1"/>
    <col min="11807" max="11807" width="5.1640625" style="357" bestFit="1" customWidth="1"/>
    <col min="11808" max="12032" width="9.33203125" style="357"/>
    <col min="12033" max="12033" width="1.6640625" style="357" customWidth="1"/>
    <col min="12034" max="12034" width="8.5" style="357" bestFit="1" customWidth="1"/>
    <col min="12035" max="12035" width="5.1640625" style="357" bestFit="1" customWidth="1"/>
    <col min="12036" max="12036" width="8.83203125" style="357" bestFit="1" customWidth="1"/>
    <col min="12037" max="12037" width="6.33203125" style="357" bestFit="1" customWidth="1"/>
    <col min="12038" max="12038" width="9.6640625" style="357" bestFit="1" customWidth="1"/>
    <col min="12039" max="12039" width="8.6640625" style="357" bestFit="1" customWidth="1"/>
    <col min="12040" max="12040" width="3.83203125" style="357" customWidth="1"/>
    <col min="12041" max="12041" width="8.5" style="357" bestFit="1" customWidth="1"/>
    <col min="12042" max="12042" width="5.1640625" style="357" bestFit="1" customWidth="1"/>
    <col min="12043" max="12043" width="8.83203125" style="357" bestFit="1" customWidth="1"/>
    <col min="12044" max="12044" width="6.33203125" style="357" bestFit="1" customWidth="1"/>
    <col min="12045" max="12045" width="9.6640625" style="357" bestFit="1" customWidth="1"/>
    <col min="12046" max="12046" width="8.6640625" style="357" bestFit="1" customWidth="1"/>
    <col min="12047" max="12047" width="3.5" style="357" customWidth="1"/>
    <col min="12048" max="12048" width="8.5" style="357" bestFit="1" customWidth="1"/>
    <col min="12049" max="12049" width="5.1640625" style="357" bestFit="1" customWidth="1"/>
    <col min="12050" max="12050" width="8.83203125" style="357" bestFit="1" customWidth="1"/>
    <col min="12051" max="12051" width="6.33203125" style="357" bestFit="1" customWidth="1"/>
    <col min="12052" max="12052" width="9.6640625" style="357" bestFit="1" customWidth="1"/>
    <col min="12053" max="12053" width="8.6640625" style="357" bestFit="1" customWidth="1"/>
    <col min="12054" max="12054" width="3.5" style="357" customWidth="1"/>
    <col min="12055" max="12055" width="8.5" style="357" bestFit="1" customWidth="1"/>
    <col min="12056" max="12056" width="5.1640625" style="357" bestFit="1" customWidth="1"/>
    <col min="12057" max="12057" width="8.83203125" style="357" bestFit="1" customWidth="1"/>
    <col min="12058" max="12058" width="6.33203125" style="357" bestFit="1" customWidth="1"/>
    <col min="12059" max="12059" width="9.6640625" style="357" bestFit="1" customWidth="1"/>
    <col min="12060" max="12060" width="8.6640625" style="357" bestFit="1" customWidth="1"/>
    <col min="12061" max="12061" width="3.5" style="357" customWidth="1"/>
    <col min="12062" max="12062" width="8.5" style="357" bestFit="1" customWidth="1"/>
    <col min="12063" max="12063" width="5.1640625" style="357" bestFit="1" customWidth="1"/>
    <col min="12064" max="12288" width="9.33203125" style="357"/>
    <col min="12289" max="12289" width="1.6640625" style="357" customWidth="1"/>
    <col min="12290" max="12290" width="8.5" style="357" bestFit="1" customWidth="1"/>
    <col min="12291" max="12291" width="5.1640625" style="357" bestFit="1" customWidth="1"/>
    <col min="12292" max="12292" width="8.83203125" style="357" bestFit="1" customWidth="1"/>
    <col min="12293" max="12293" width="6.33203125" style="357" bestFit="1" customWidth="1"/>
    <col min="12294" max="12294" width="9.6640625" style="357" bestFit="1" customWidth="1"/>
    <col min="12295" max="12295" width="8.6640625" style="357" bestFit="1" customWidth="1"/>
    <col min="12296" max="12296" width="3.83203125" style="357" customWidth="1"/>
    <col min="12297" max="12297" width="8.5" style="357" bestFit="1" customWidth="1"/>
    <col min="12298" max="12298" width="5.1640625" style="357" bestFit="1" customWidth="1"/>
    <col min="12299" max="12299" width="8.83203125" style="357" bestFit="1" customWidth="1"/>
    <col min="12300" max="12300" width="6.33203125" style="357" bestFit="1" customWidth="1"/>
    <col min="12301" max="12301" width="9.6640625" style="357" bestFit="1" customWidth="1"/>
    <col min="12302" max="12302" width="8.6640625" style="357" bestFit="1" customWidth="1"/>
    <col min="12303" max="12303" width="3.5" style="357" customWidth="1"/>
    <col min="12304" max="12304" width="8.5" style="357" bestFit="1" customWidth="1"/>
    <col min="12305" max="12305" width="5.1640625" style="357" bestFit="1" customWidth="1"/>
    <col min="12306" max="12306" width="8.83203125" style="357" bestFit="1" customWidth="1"/>
    <col min="12307" max="12307" width="6.33203125" style="357" bestFit="1" customWidth="1"/>
    <col min="12308" max="12308" width="9.6640625" style="357" bestFit="1" customWidth="1"/>
    <col min="12309" max="12309" width="8.6640625" style="357" bestFit="1" customWidth="1"/>
    <col min="12310" max="12310" width="3.5" style="357" customWidth="1"/>
    <col min="12311" max="12311" width="8.5" style="357" bestFit="1" customWidth="1"/>
    <col min="12312" max="12312" width="5.1640625" style="357" bestFit="1" customWidth="1"/>
    <col min="12313" max="12313" width="8.83203125" style="357" bestFit="1" customWidth="1"/>
    <col min="12314" max="12314" width="6.33203125" style="357" bestFit="1" customWidth="1"/>
    <col min="12315" max="12315" width="9.6640625" style="357" bestFit="1" customWidth="1"/>
    <col min="12316" max="12316" width="8.6640625" style="357" bestFit="1" customWidth="1"/>
    <col min="12317" max="12317" width="3.5" style="357" customWidth="1"/>
    <col min="12318" max="12318" width="8.5" style="357" bestFit="1" customWidth="1"/>
    <col min="12319" max="12319" width="5.1640625" style="357" bestFit="1" customWidth="1"/>
    <col min="12320" max="12544" width="9.33203125" style="357"/>
    <col min="12545" max="12545" width="1.6640625" style="357" customWidth="1"/>
    <col min="12546" max="12546" width="8.5" style="357" bestFit="1" customWidth="1"/>
    <col min="12547" max="12547" width="5.1640625" style="357" bestFit="1" customWidth="1"/>
    <col min="12548" max="12548" width="8.83203125" style="357" bestFit="1" customWidth="1"/>
    <col min="12549" max="12549" width="6.33203125" style="357" bestFit="1" customWidth="1"/>
    <col min="12550" max="12550" width="9.6640625" style="357" bestFit="1" customWidth="1"/>
    <col min="12551" max="12551" width="8.6640625" style="357" bestFit="1" customWidth="1"/>
    <col min="12552" max="12552" width="3.83203125" style="357" customWidth="1"/>
    <col min="12553" max="12553" width="8.5" style="357" bestFit="1" customWidth="1"/>
    <col min="12554" max="12554" width="5.1640625" style="357" bestFit="1" customWidth="1"/>
    <col min="12555" max="12555" width="8.83203125" style="357" bestFit="1" customWidth="1"/>
    <col min="12556" max="12556" width="6.33203125" style="357" bestFit="1" customWidth="1"/>
    <col min="12557" max="12557" width="9.6640625" style="357" bestFit="1" customWidth="1"/>
    <col min="12558" max="12558" width="8.6640625" style="357" bestFit="1" customWidth="1"/>
    <col min="12559" max="12559" width="3.5" style="357" customWidth="1"/>
    <col min="12560" max="12560" width="8.5" style="357" bestFit="1" customWidth="1"/>
    <col min="12561" max="12561" width="5.1640625" style="357" bestFit="1" customWidth="1"/>
    <col min="12562" max="12562" width="8.83203125" style="357" bestFit="1" customWidth="1"/>
    <col min="12563" max="12563" width="6.33203125" style="357" bestFit="1" customWidth="1"/>
    <col min="12564" max="12564" width="9.6640625" style="357" bestFit="1" customWidth="1"/>
    <col min="12565" max="12565" width="8.6640625" style="357" bestFit="1" customWidth="1"/>
    <col min="12566" max="12566" width="3.5" style="357" customWidth="1"/>
    <col min="12567" max="12567" width="8.5" style="357" bestFit="1" customWidth="1"/>
    <col min="12568" max="12568" width="5.1640625" style="357" bestFit="1" customWidth="1"/>
    <col min="12569" max="12569" width="8.83203125" style="357" bestFit="1" customWidth="1"/>
    <col min="12570" max="12570" width="6.33203125" style="357" bestFit="1" customWidth="1"/>
    <col min="12571" max="12571" width="9.6640625" style="357" bestFit="1" customWidth="1"/>
    <col min="12572" max="12572" width="8.6640625" style="357" bestFit="1" customWidth="1"/>
    <col min="12573" max="12573" width="3.5" style="357" customWidth="1"/>
    <col min="12574" max="12574" width="8.5" style="357" bestFit="1" customWidth="1"/>
    <col min="12575" max="12575" width="5.1640625" style="357" bestFit="1" customWidth="1"/>
    <col min="12576" max="12800" width="9.33203125" style="357"/>
    <col min="12801" max="12801" width="1.6640625" style="357" customWidth="1"/>
    <col min="12802" max="12802" width="8.5" style="357" bestFit="1" customWidth="1"/>
    <col min="12803" max="12803" width="5.1640625" style="357" bestFit="1" customWidth="1"/>
    <col min="12804" max="12804" width="8.83203125" style="357" bestFit="1" customWidth="1"/>
    <col min="12805" max="12805" width="6.33203125" style="357" bestFit="1" customWidth="1"/>
    <col min="12806" max="12806" width="9.6640625" style="357" bestFit="1" customWidth="1"/>
    <col min="12807" max="12807" width="8.6640625" style="357" bestFit="1" customWidth="1"/>
    <col min="12808" max="12808" width="3.83203125" style="357" customWidth="1"/>
    <col min="12809" max="12809" width="8.5" style="357" bestFit="1" customWidth="1"/>
    <col min="12810" max="12810" width="5.1640625" style="357" bestFit="1" customWidth="1"/>
    <col min="12811" max="12811" width="8.83203125" style="357" bestFit="1" customWidth="1"/>
    <col min="12812" max="12812" width="6.33203125" style="357" bestFit="1" customWidth="1"/>
    <col min="12813" max="12813" width="9.6640625" style="357" bestFit="1" customWidth="1"/>
    <col min="12814" max="12814" width="8.6640625" style="357" bestFit="1" customWidth="1"/>
    <col min="12815" max="12815" width="3.5" style="357" customWidth="1"/>
    <col min="12816" max="12816" width="8.5" style="357" bestFit="1" customWidth="1"/>
    <col min="12817" max="12817" width="5.1640625" style="357" bestFit="1" customWidth="1"/>
    <col min="12818" max="12818" width="8.83203125" style="357" bestFit="1" customWidth="1"/>
    <col min="12819" max="12819" width="6.33203125" style="357" bestFit="1" customWidth="1"/>
    <col min="12820" max="12820" width="9.6640625" style="357" bestFit="1" customWidth="1"/>
    <col min="12821" max="12821" width="8.6640625" style="357" bestFit="1" customWidth="1"/>
    <col min="12822" max="12822" width="3.5" style="357" customWidth="1"/>
    <col min="12823" max="12823" width="8.5" style="357" bestFit="1" customWidth="1"/>
    <col min="12824" max="12824" width="5.1640625" style="357" bestFit="1" customWidth="1"/>
    <col min="12825" max="12825" width="8.83203125" style="357" bestFit="1" customWidth="1"/>
    <col min="12826" max="12826" width="6.33203125" style="357" bestFit="1" customWidth="1"/>
    <col min="12827" max="12827" width="9.6640625" style="357" bestFit="1" customWidth="1"/>
    <col min="12828" max="12828" width="8.6640625" style="357" bestFit="1" customWidth="1"/>
    <col min="12829" max="12829" width="3.5" style="357" customWidth="1"/>
    <col min="12830" max="12830" width="8.5" style="357" bestFit="1" customWidth="1"/>
    <col min="12831" max="12831" width="5.1640625" style="357" bestFit="1" customWidth="1"/>
    <col min="12832" max="13056" width="9.33203125" style="357"/>
    <col min="13057" max="13057" width="1.6640625" style="357" customWidth="1"/>
    <col min="13058" max="13058" width="8.5" style="357" bestFit="1" customWidth="1"/>
    <col min="13059" max="13059" width="5.1640625" style="357" bestFit="1" customWidth="1"/>
    <col min="13060" max="13060" width="8.83203125" style="357" bestFit="1" customWidth="1"/>
    <col min="13061" max="13061" width="6.33203125" style="357" bestFit="1" customWidth="1"/>
    <col min="13062" max="13062" width="9.6640625" style="357" bestFit="1" customWidth="1"/>
    <col min="13063" max="13063" width="8.6640625" style="357" bestFit="1" customWidth="1"/>
    <col min="13064" max="13064" width="3.83203125" style="357" customWidth="1"/>
    <col min="13065" max="13065" width="8.5" style="357" bestFit="1" customWidth="1"/>
    <col min="13066" max="13066" width="5.1640625" style="357" bestFit="1" customWidth="1"/>
    <col min="13067" max="13067" width="8.83203125" style="357" bestFit="1" customWidth="1"/>
    <col min="13068" max="13068" width="6.33203125" style="357" bestFit="1" customWidth="1"/>
    <col min="13069" max="13069" width="9.6640625" style="357" bestFit="1" customWidth="1"/>
    <col min="13070" max="13070" width="8.6640625" style="357" bestFit="1" customWidth="1"/>
    <col min="13071" max="13071" width="3.5" style="357" customWidth="1"/>
    <col min="13072" max="13072" width="8.5" style="357" bestFit="1" customWidth="1"/>
    <col min="13073" max="13073" width="5.1640625" style="357" bestFit="1" customWidth="1"/>
    <col min="13074" max="13074" width="8.83203125" style="357" bestFit="1" customWidth="1"/>
    <col min="13075" max="13075" width="6.33203125" style="357" bestFit="1" customWidth="1"/>
    <col min="13076" max="13076" width="9.6640625" style="357" bestFit="1" customWidth="1"/>
    <col min="13077" max="13077" width="8.6640625" style="357" bestFit="1" customWidth="1"/>
    <col min="13078" max="13078" width="3.5" style="357" customWidth="1"/>
    <col min="13079" max="13079" width="8.5" style="357" bestFit="1" customWidth="1"/>
    <col min="13080" max="13080" width="5.1640625" style="357" bestFit="1" customWidth="1"/>
    <col min="13081" max="13081" width="8.83203125" style="357" bestFit="1" customWidth="1"/>
    <col min="13082" max="13082" width="6.33203125" style="357" bestFit="1" customWidth="1"/>
    <col min="13083" max="13083" width="9.6640625" style="357" bestFit="1" customWidth="1"/>
    <col min="13084" max="13084" width="8.6640625" style="357" bestFit="1" customWidth="1"/>
    <col min="13085" max="13085" width="3.5" style="357" customWidth="1"/>
    <col min="13086" max="13086" width="8.5" style="357" bestFit="1" customWidth="1"/>
    <col min="13087" max="13087" width="5.1640625" style="357" bestFit="1" customWidth="1"/>
    <col min="13088" max="13312" width="9.33203125" style="357"/>
    <col min="13313" max="13313" width="1.6640625" style="357" customWidth="1"/>
    <col min="13314" max="13314" width="8.5" style="357" bestFit="1" customWidth="1"/>
    <col min="13315" max="13315" width="5.1640625" style="357" bestFit="1" customWidth="1"/>
    <col min="13316" max="13316" width="8.83203125" style="357" bestFit="1" customWidth="1"/>
    <col min="13317" max="13317" width="6.33203125" style="357" bestFit="1" customWidth="1"/>
    <col min="13318" max="13318" width="9.6640625" style="357" bestFit="1" customWidth="1"/>
    <col min="13319" max="13319" width="8.6640625" style="357" bestFit="1" customWidth="1"/>
    <col min="13320" max="13320" width="3.83203125" style="357" customWidth="1"/>
    <col min="13321" max="13321" width="8.5" style="357" bestFit="1" customWidth="1"/>
    <col min="13322" max="13322" width="5.1640625" style="357" bestFit="1" customWidth="1"/>
    <col min="13323" max="13323" width="8.83203125" style="357" bestFit="1" customWidth="1"/>
    <col min="13324" max="13324" width="6.33203125" style="357" bestFit="1" customWidth="1"/>
    <col min="13325" max="13325" width="9.6640625" style="357" bestFit="1" customWidth="1"/>
    <col min="13326" max="13326" width="8.6640625" style="357" bestFit="1" customWidth="1"/>
    <col min="13327" max="13327" width="3.5" style="357" customWidth="1"/>
    <col min="13328" max="13328" width="8.5" style="357" bestFit="1" customWidth="1"/>
    <col min="13329" max="13329" width="5.1640625" style="357" bestFit="1" customWidth="1"/>
    <col min="13330" max="13330" width="8.83203125" style="357" bestFit="1" customWidth="1"/>
    <col min="13331" max="13331" width="6.33203125" style="357" bestFit="1" customWidth="1"/>
    <col min="13332" max="13332" width="9.6640625" style="357" bestFit="1" customWidth="1"/>
    <col min="13333" max="13333" width="8.6640625" style="357" bestFit="1" customWidth="1"/>
    <col min="13334" max="13334" width="3.5" style="357" customWidth="1"/>
    <col min="13335" max="13335" width="8.5" style="357" bestFit="1" customWidth="1"/>
    <col min="13336" max="13336" width="5.1640625" style="357" bestFit="1" customWidth="1"/>
    <col min="13337" max="13337" width="8.83203125" style="357" bestFit="1" customWidth="1"/>
    <col min="13338" max="13338" width="6.33203125" style="357" bestFit="1" customWidth="1"/>
    <col min="13339" max="13339" width="9.6640625" style="357" bestFit="1" customWidth="1"/>
    <col min="13340" max="13340" width="8.6640625" style="357" bestFit="1" customWidth="1"/>
    <col min="13341" max="13341" width="3.5" style="357" customWidth="1"/>
    <col min="13342" max="13342" width="8.5" style="357" bestFit="1" customWidth="1"/>
    <col min="13343" max="13343" width="5.1640625" style="357" bestFit="1" customWidth="1"/>
    <col min="13344" max="13568" width="9.33203125" style="357"/>
    <col min="13569" max="13569" width="1.6640625" style="357" customWidth="1"/>
    <col min="13570" max="13570" width="8.5" style="357" bestFit="1" customWidth="1"/>
    <col min="13571" max="13571" width="5.1640625" style="357" bestFit="1" customWidth="1"/>
    <col min="13572" max="13572" width="8.83203125" style="357" bestFit="1" customWidth="1"/>
    <col min="13573" max="13573" width="6.33203125" style="357" bestFit="1" customWidth="1"/>
    <col min="13574" max="13574" width="9.6640625" style="357" bestFit="1" customWidth="1"/>
    <col min="13575" max="13575" width="8.6640625" style="357" bestFit="1" customWidth="1"/>
    <col min="13576" max="13576" width="3.83203125" style="357" customWidth="1"/>
    <col min="13577" max="13577" width="8.5" style="357" bestFit="1" customWidth="1"/>
    <col min="13578" max="13578" width="5.1640625" style="357" bestFit="1" customWidth="1"/>
    <col min="13579" max="13579" width="8.83203125" style="357" bestFit="1" customWidth="1"/>
    <col min="13580" max="13580" width="6.33203125" style="357" bestFit="1" customWidth="1"/>
    <col min="13581" max="13581" width="9.6640625" style="357" bestFit="1" customWidth="1"/>
    <col min="13582" max="13582" width="8.6640625" style="357" bestFit="1" customWidth="1"/>
    <col min="13583" max="13583" width="3.5" style="357" customWidth="1"/>
    <col min="13584" max="13584" width="8.5" style="357" bestFit="1" customWidth="1"/>
    <col min="13585" max="13585" width="5.1640625" style="357" bestFit="1" customWidth="1"/>
    <col min="13586" max="13586" width="8.83203125" style="357" bestFit="1" customWidth="1"/>
    <col min="13587" max="13587" width="6.33203125" style="357" bestFit="1" customWidth="1"/>
    <col min="13588" max="13588" width="9.6640625" style="357" bestFit="1" customWidth="1"/>
    <col min="13589" max="13589" width="8.6640625" style="357" bestFit="1" customWidth="1"/>
    <col min="13590" max="13590" width="3.5" style="357" customWidth="1"/>
    <col min="13591" max="13591" width="8.5" style="357" bestFit="1" customWidth="1"/>
    <col min="13592" max="13592" width="5.1640625" style="357" bestFit="1" customWidth="1"/>
    <col min="13593" max="13593" width="8.83203125" style="357" bestFit="1" customWidth="1"/>
    <col min="13594" max="13594" width="6.33203125" style="357" bestFit="1" customWidth="1"/>
    <col min="13595" max="13595" width="9.6640625" style="357" bestFit="1" customWidth="1"/>
    <col min="13596" max="13596" width="8.6640625" style="357" bestFit="1" customWidth="1"/>
    <col min="13597" max="13597" width="3.5" style="357" customWidth="1"/>
    <col min="13598" max="13598" width="8.5" style="357" bestFit="1" customWidth="1"/>
    <col min="13599" max="13599" width="5.1640625" style="357" bestFit="1" customWidth="1"/>
    <col min="13600" max="13824" width="9.33203125" style="357"/>
    <col min="13825" max="13825" width="1.6640625" style="357" customWidth="1"/>
    <col min="13826" max="13826" width="8.5" style="357" bestFit="1" customWidth="1"/>
    <col min="13827" max="13827" width="5.1640625" style="357" bestFit="1" customWidth="1"/>
    <col min="13828" max="13828" width="8.83203125" style="357" bestFit="1" customWidth="1"/>
    <col min="13829" max="13829" width="6.33203125" style="357" bestFit="1" customWidth="1"/>
    <col min="13830" max="13830" width="9.6640625" style="357" bestFit="1" customWidth="1"/>
    <col min="13831" max="13831" width="8.6640625" style="357" bestFit="1" customWidth="1"/>
    <col min="13832" max="13832" width="3.83203125" style="357" customWidth="1"/>
    <col min="13833" max="13833" width="8.5" style="357" bestFit="1" customWidth="1"/>
    <col min="13834" max="13834" width="5.1640625" style="357" bestFit="1" customWidth="1"/>
    <col min="13835" max="13835" width="8.83203125" style="357" bestFit="1" customWidth="1"/>
    <col min="13836" max="13836" width="6.33203125" style="357" bestFit="1" customWidth="1"/>
    <col min="13837" max="13837" width="9.6640625" style="357" bestFit="1" customWidth="1"/>
    <col min="13838" max="13838" width="8.6640625" style="357" bestFit="1" customWidth="1"/>
    <col min="13839" max="13839" width="3.5" style="357" customWidth="1"/>
    <col min="13840" max="13840" width="8.5" style="357" bestFit="1" customWidth="1"/>
    <col min="13841" max="13841" width="5.1640625" style="357" bestFit="1" customWidth="1"/>
    <col min="13842" max="13842" width="8.83203125" style="357" bestFit="1" customWidth="1"/>
    <col min="13843" max="13843" width="6.33203125" style="357" bestFit="1" customWidth="1"/>
    <col min="13844" max="13844" width="9.6640625" style="357" bestFit="1" customWidth="1"/>
    <col min="13845" max="13845" width="8.6640625" style="357" bestFit="1" customWidth="1"/>
    <col min="13846" max="13846" width="3.5" style="357" customWidth="1"/>
    <col min="13847" max="13847" width="8.5" style="357" bestFit="1" customWidth="1"/>
    <col min="13848" max="13848" width="5.1640625" style="357" bestFit="1" customWidth="1"/>
    <col min="13849" max="13849" width="8.83203125" style="357" bestFit="1" customWidth="1"/>
    <col min="13850" max="13850" width="6.33203125" style="357" bestFit="1" customWidth="1"/>
    <col min="13851" max="13851" width="9.6640625" style="357" bestFit="1" customWidth="1"/>
    <col min="13852" max="13852" width="8.6640625" style="357" bestFit="1" customWidth="1"/>
    <col min="13853" max="13853" width="3.5" style="357" customWidth="1"/>
    <col min="13854" max="13854" width="8.5" style="357" bestFit="1" customWidth="1"/>
    <col min="13855" max="13855" width="5.1640625" style="357" bestFit="1" customWidth="1"/>
    <col min="13856" max="14080" width="9.33203125" style="357"/>
    <col min="14081" max="14081" width="1.6640625" style="357" customWidth="1"/>
    <col min="14082" max="14082" width="8.5" style="357" bestFit="1" customWidth="1"/>
    <col min="14083" max="14083" width="5.1640625" style="357" bestFit="1" customWidth="1"/>
    <col min="14084" max="14084" width="8.83203125" style="357" bestFit="1" customWidth="1"/>
    <col min="14085" max="14085" width="6.33203125" style="357" bestFit="1" customWidth="1"/>
    <col min="14086" max="14086" width="9.6640625" style="357" bestFit="1" customWidth="1"/>
    <col min="14087" max="14087" width="8.6640625" style="357" bestFit="1" customWidth="1"/>
    <col min="14088" max="14088" width="3.83203125" style="357" customWidth="1"/>
    <col min="14089" max="14089" width="8.5" style="357" bestFit="1" customWidth="1"/>
    <col min="14090" max="14090" width="5.1640625" style="357" bestFit="1" customWidth="1"/>
    <col min="14091" max="14091" width="8.83203125" style="357" bestFit="1" customWidth="1"/>
    <col min="14092" max="14092" width="6.33203125" style="357" bestFit="1" customWidth="1"/>
    <col min="14093" max="14093" width="9.6640625" style="357" bestFit="1" customWidth="1"/>
    <col min="14094" max="14094" width="8.6640625" style="357" bestFit="1" customWidth="1"/>
    <col min="14095" max="14095" width="3.5" style="357" customWidth="1"/>
    <col min="14096" max="14096" width="8.5" style="357" bestFit="1" customWidth="1"/>
    <col min="14097" max="14097" width="5.1640625" style="357" bestFit="1" customWidth="1"/>
    <col min="14098" max="14098" width="8.83203125" style="357" bestFit="1" customWidth="1"/>
    <col min="14099" max="14099" width="6.33203125" style="357" bestFit="1" customWidth="1"/>
    <col min="14100" max="14100" width="9.6640625" style="357" bestFit="1" customWidth="1"/>
    <col min="14101" max="14101" width="8.6640625" style="357" bestFit="1" customWidth="1"/>
    <col min="14102" max="14102" width="3.5" style="357" customWidth="1"/>
    <col min="14103" max="14103" width="8.5" style="357" bestFit="1" customWidth="1"/>
    <col min="14104" max="14104" width="5.1640625" style="357" bestFit="1" customWidth="1"/>
    <col min="14105" max="14105" width="8.83203125" style="357" bestFit="1" customWidth="1"/>
    <col min="14106" max="14106" width="6.33203125" style="357" bestFit="1" customWidth="1"/>
    <col min="14107" max="14107" width="9.6640625" style="357" bestFit="1" customWidth="1"/>
    <col min="14108" max="14108" width="8.6640625" style="357" bestFit="1" customWidth="1"/>
    <col min="14109" max="14109" width="3.5" style="357" customWidth="1"/>
    <col min="14110" max="14110" width="8.5" style="357" bestFit="1" customWidth="1"/>
    <col min="14111" max="14111" width="5.1640625" style="357" bestFit="1" customWidth="1"/>
    <col min="14112" max="14336" width="9.33203125" style="357"/>
    <col min="14337" max="14337" width="1.6640625" style="357" customWidth="1"/>
    <col min="14338" max="14338" width="8.5" style="357" bestFit="1" customWidth="1"/>
    <col min="14339" max="14339" width="5.1640625" style="357" bestFit="1" customWidth="1"/>
    <col min="14340" max="14340" width="8.83203125" style="357" bestFit="1" customWidth="1"/>
    <col min="14341" max="14341" width="6.33203125" style="357" bestFit="1" customWidth="1"/>
    <col min="14342" max="14342" width="9.6640625" style="357" bestFit="1" customWidth="1"/>
    <col min="14343" max="14343" width="8.6640625" style="357" bestFit="1" customWidth="1"/>
    <col min="14344" max="14344" width="3.83203125" style="357" customWidth="1"/>
    <col min="14345" max="14345" width="8.5" style="357" bestFit="1" customWidth="1"/>
    <col min="14346" max="14346" width="5.1640625" style="357" bestFit="1" customWidth="1"/>
    <col min="14347" max="14347" width="8.83203125" style="357" bestFit="1" customWidth="1"/>
    <col min="14348" max="14348" width="6.33203125" style="357" bestFit="1" customWidth="1"/>
    <col min="14349" max="14349" width="9.6640625" style="357" bestFit="1" customWidth="1"/>
    <col min="14350" max="14350" width="8.6640625" style="357" bestFit="1" customWidth="1"/>
    <col min="14351" max="14351" width="3.5" style="357" customWidth="1"/>
    <col min="14352" max="14352" width="8.5" style="357" bestFit="1" customWidth="1"/>
    <col min="14353" max="14353" width="5.1640625" style="357" bestFit="1" customWidth="1"/>
    <col min="14354" max="14354" width="8.83203125" style="357" bestFit="1" customWidth="1"/>
    <col min="14355" max="14355" width="6.33203125" style="357" bestFit="1" customWidth="1"/>
    <col min="14356" max="14356" width="9.6640625" style="357" bestFit="1" customWidth="1"/>
    <col min="14357" max="14357" width="8.6640625" style="357" bestFit="1" customWidth="1"/>
    <col min="14358" max="14358" width="3.5" style="357" customWidth="1"/>
    <col min="14359" max="14359" width="8.5" style="357" bestFit="1" customWidth="1"/>
    <col min="14360" max="14360" width="5.1640625" style="357" bestFit="1" customWidth="1"/>
    <col min="14361" max="14361" width="8.83203125" style="357" bestFit="1" customWidth="1"/>
    <col min="14362" max="14362" width="6.33203125" style="357" bestFit="1" customWidth="1"/>
    <col min="14363" max="14363" width="9.6640625" style="357" bestFit="1" customWidth="1"/>
    <col min="14364" max="14364" width="8.6640625" style="357" bestFit="1" customWidth="1"/>
    <col min="14365" max="14365" width="3.5" style="357" customWidth="1"/>
    <col min="14366" max="14366" width="8.5" style="357" bestFit="1" customWidth="1"/>
    <col min="14367" max="14367" width="5.1640625" style="357" bestFit="1" customWidth="1"/>
    <col min="14368" max="14592" width="9.33203125" style="357"/>
    <col min="14593" max="14593" width="1.6640625" style="357" customWidth="1"/>
    <col min="14594" max="14594" width="8.5" style="357" bestFit="1" customWidth="1"/>
    <col min="14595" max="14595" width="5.1640625" style="357" bestFit="1" customWidth="1"/>
    <col min="14596" max="14596" width="8.83203125" style="357" bestFit="1" customWidth="1"/>
    <col min="14597" max="14597" width="6.33203125" style="357" bestFit="1" customWidth="1"/>
    <col min="14598" max="14598" width="9.6640625" style="357" bestFit="1" customWidth="1"/>
    <col min="14599" max="14599" width="8.6640625" style="357" bestFit="1" customWidth="1"/>
    <col min="14600" max="14600" width="3.83203125" style="357" customWidth="1"/>
    <col min="14601" max="14601" width="8.5" style="357" bestFit="1" customWidth="1"/>
    <col min="14602" max="14602" width="5.1640625" style="357" bestFit="1" customWidth="1"/>
    <col min="14603" max="14603" width="8.83203125" style="357" bestFit="1" customWidth="1"/>
    <col min="14604" max="14604" width="6.33203125" style="357" bestFit="1" customWidth="1"/>
    <col min="14605" max="14605" width="9.6640625" style="357" bestFit="1" customWidth="1"/>
    <col min="14606" max="14606" width="8.6640625" style="357" bestFit="1" customWidth="1"/>
    <col min="14607" max="14607" width="3.5" style="357" customWidth="1"/>
    <col min="14608" max="14608" width="8.5" style="357" bestFit="1" customWidth="1"/>
    <col min="14609" max="14609" width="5.1640625" style="357" bestFit="1" customWidth="1"/>
    <col min="14610" max="14610" width="8.83203125" style="357" bestFit="1" customWidth="1"/>
    <col min="14611" max="14611" width="6.33203125" style="357" bestFit="1" customWidth="1"/>
    <col min="14612" max="14612" width="9.6640625" style="357" bestFit="1" customWidth="1"/>
    <col min="14613" max="14613" width="8.6640625" style="357" bestFit="1" customWidth="1"/>
    <col min="14614" max="14614" width="3.5" style="357" customWidth="1"/>
    <col min="14615" max="14615" width="8.5" style="357" bestFit="1" customWidth="1"/>
    <col min="14616" max="14616" width="5.1640625" style="357" bestFit="1" customWidth="1"/>
    <col min="14617" max="14617" width="8.83203125" style="357" bestFit="1" customWidth="1"/>
    <col min="14618" max="14618" width="6.33203125" style="357" bestFit="1" customWidth="1"/>
    <col min="14619" max="14619" width="9.6640625" style="357" bestFit="1" customWidth="1"/>
    <col min="14620" max="14620" width="8.6640625" style="357" bestFit="1" customWidth="1"/>
    <col min="14621" max="14621" width="3.5" style="357" customWidth="1"/>
    <col min="14622" max="14622" width="8.5" style="357" bestFit="1" customWidth="1"/>
    <col min="14623" max="14623" width="5.1640625" style="357" bestFit="1" customWidth="1"/>
    <col min="14624" max="14848" width="9.33203125" style="357"/>
    <col min="14849" max="14849" width="1.6640625" style="357" customWidth="1"/>
    <col min="14850" max="14850" width="8.5" style="357" bestFit="1" customWidth="1"/>
    <col min="14851" max="14851" width="5.1640625" style="357" bestFit="1" customWidth="1"/>
    <col min="14852" max="14852" width="8.83203125" style="357" bestFit="1" customWidth="1"/>
    <col min="14853" max="14853" width="6.33203125" style="357" bestFit="1" customWidth="1"/>
    <col min="14854" max="14854" width="9.6640625" style="357" bestFit="1" customWidth="1"/>
    <col min="14855" max="14855" width="8.6640625" style="357" bestFit="1" customWidth="1"/>
    <col min="14856" max="14856" width="3.83203125" style="357" customWidth="1"/>
    <col min="14857" max="14857" width="8.5" style="357" bestFit="1" customWidth="1"/>
    <col min="14858" max="14858" width="5.1640625" style="357" bestFit="1" customWidth="1"/>
    <col min="14859" max="14859" width="8.83203125" style="357" bestFit="1" customWidth="1"/>
    <col min="14860" max="14860" width="6.33203125" style="357" bestFit="1" customWidth="1"/>
    <col min="14861" max="14861" width="9.6640625" style="357" bestFit="1" customWidth="1"/>
    <col min="14862" max="14862" width="8.6640625" style="357" bestFit="1" customWidth="1"/>
    <col min="14863" max="14863" width="3.5" style="357" customWidth="1"/>
    <col min="14864" max="14864" width="8.5" style="357" bestFit="1" customWidth="1"/>
    <col min="14865" max="14865" width="5.1640625" style="357" bestFit="1" customWidth="1"/>
    <col min="14866" max="14866" width="8.83203125" style="357" bestFit="1" customWidth="1"/>
    <col min="14867" max="14867" width="6.33203125" style="357" bestFit="1" customWidth="1"/>
    <col min="14868" max="14868" width="9.6640625" style="357" bestFit="1" customWidth="1"/>
    <col min="14869" max="14869" width="8.6640625" style="357" bestFit="1" customWidth="1"/>
    <col min="14870" max="14870" width="3.5" style="357" customWidth="1"/>
    <col min="14871" max="14871" width="8.5" style="357" bestFit="1" customWidth="1"/>
    <col min="14872" max="14872" width="5.1640625" style="357" bestFit="1" customWidth="1"/>
    <col min="14873" max="14873" width="8.83203125" style="357" bestFit="1" customWidth="1"/>
    <col min="14874" max="14874" width="6.33203125" style="357" bestFit="1" customWidth="1"/>
    <col min="14875" max="14875" width="9.6640625" style="357" bestFit="1" customWidth="1"/>
    <col min="14876" max="14876" width="8.6640625" style="357" bestFit="1" customWidth="1"/>
    <col min="14877" max="14877" width="3.5" style="357" customWidth="1"/>
    <col min="14878" max="14878" width="8.5" style="357" bestFit="1" customWidth="1"/>
    <col min="14879" max="14879" width="5.1640625" style="357" bestFit="1" customWidth="1"/>
    <col min="14880" max="15104" width="9.33203125" style="357"/>
    <col min="15105" max="15105" width="1.6640625" style="357" customWidth="1"/>
    <col min="15106" max="15106" width="8.5" style="357" bestFit="1" customWidth="1"/>
    <col min="15107" max="15107" width="5.1640625" style="357" bestFit="1" customWidth="1"/>
    <col min="15108" max="15108" width="8.83203125" style="357" bestFit="1" customWidth="1"/>
    <col min="15109" max="15109" width="6.33203125" style="357" bestFit="1" customWidth="1"/>
    <col min="15110" max="15110" width="9.6640625" style="357" bestFit="1" customWidth="1"/>
    <col min="15111" max="15111" width="8.6640625" style="357" bestFit="1" customWidth="1"/>
    <col min="15112" max="15112" width="3.83203125" style="357" customWidth="1"/>
    <col min="15113" max="15113" width="8.5" style="357" bestFit="1" customWidth="1"/>
    <col min="15114" max="15114" width="5.1640625" style="357" bestFit="1" customWidth="1"/>
    <col min="15115" max="15115" width="8.83203125" style="357" bestFit="1" customWidth="1"/>
    <col min="15116" max="15116" width="6.33203125" style="357" bestFit="1" customWidth="1"/>
    <col min="15117" max="15117" width="9.6640625" style="357" bestFit="1" customWidth="1"/>
    <col min="15118" max="15118" width="8.6640625" style="357" bestFit="1" customWidth="1"/>
    <col min="15119" max="15119" width="3.5" style="357" customWidth="1"/>
    <col min="15120" max="15120" width="8.5" style="357" bestFit="1" customWidth="1"/>
    <col min="15121" max="15121" width="5.1640625" style="357" bestFit="1" customWidth="1"/>
    <col min="15122" max="15122" width="8.83203125" style="357" bestFit="1" customWidth="1"/>
    <col min="15123" max="15123" width="6.33203125" style="357" bestFit="1" customWidth="1"/>
    <col min="15124" max="15124" width="9.6640625" style="357" bestFit="1" customWidth="1"/>
    <col min="15125" max="15125" width="8.6640625" style="357" bestFit="1" customWidth="1"/>
    <col min="15126" max="15126" width="3.5" style="357" customWidth="1"/>
    <col min="15127" max="15127" width="8.5" style="357" bestFit="1" customWidth="1"/>
    <col min="15128" max="15128" width="5.1640625" style="357" bestFit="1" customWidth="1"/>
    <col min="15129" max="15129" width="8.83203125" style="357" bestFit="1" customWidth="1"/>
    <col min="15130" max="15130" width="6.33203125" style="357" bestFit="1" customWidth="1"/>
    <col min="15131" max="15131" width="9.6640625" style="357" bestFit="1" customWidth="1"/>
    <col min="15132" max="15132" width="8.6640625" style="357" bestFit="1" customWidth="1"/>
    <col min="15133" max="15133" width="3.5" style="357" customWidth="1"/>
    <col min="15134" max="15134" width="8.5" style="357" bestFit="1" customWidth="1"/>
    <col min="15135" max="15135" width="5.1640625" style="357" bestFit="1" customWidth="1"/>
    <col min="15136" max="15360" width="9.33203125" style="357"/>
    <col min="15361" max="15361" width="1.6640625" style="357" customWidth="1"/>
    <col min="15362" max="15362" width="8.5" style="357" bestFit="1" customWidth="1"/>
    <col min="15363" max="15363" width="5.1640625" style="357" bestFit="1" customWidth="1"/>
    <col min="15364" max="15364" width="8.83203125" style="357" bestFit="1" customWidth="1"/>
    <col min="15365" max="15365" width="6.33203125" style="357" bestFit="1" customWidth="1"/>
    <col min="15366" max="15366" width="9.6640625" style="357" bestFit="1" customWidth="1"/>
    <col min="15367" max="15367" width="8.6640625" style="357" bestFit="1" customWidth="1"/>
    <col min="15368" max="15368" width="3.83203125" style="357" customWidth="1"/>
    <col min="15369" max="15369" width="8.5" style="357" bestFit="1" customWidth="1"/>
    <col min="15370" max="15370" width="5.1640625" style="357" bestFit="1" customWidth="1"/>
    <col min="15371" max="15371" width="8.83203125" style="357" bestFit="1" customWidth="1"/>
    <col min="15372" max="15372" width="6.33203125" style="357" bestFit="1" customWidth="1"/>
    <col min="15373" max="15373" width="9.6640625" style="357" bestFit="1" customWidth="1"/>
    <col min="15374" max="15374" width="8.6640625" style="357" bestFit="1" customWidth="1"/>
    <col min="15375" max="15375" width="3.5" style="357" customWidth="1"/>
    <col min="15376" max="15376" width="8.5" style="357" bestFit="1" customWidth="1"/>
    <col min="15377" max="15377" width="5.1640625" style="357" bestFit="1" customWidth="1"/>
    <col min="15378" max="15378" width="8.83203125" style="357" bestFit="1" customWidth="1"/>
    <col min="15379" max="15379" width="6.33203125" style="357" bestFit="1" customWidth="1"/>
    <col min="15380" max="15380" width="9.6640625" style="357" bestFit="1" customWidth="1"/>
    <col min="15381" max="15381" width="8.6640625" style="357" bestFit="1" customWidth="1"/>
    <col min="15382" max="15382" width="3.5" style="357" customWidth="1"/>
    <col min="15383" max="15383" width="8.5" style="357" bestFit="1" customWidth="1"/>
    <col min="15384" max="15384" width="5.1640625" style="357" bestFit="1" customWidth="1"/>
    <col min="15385" max="15385" width="8.83203125" style="357" bestFit="1" customWidth="1"/>
    <col min="15386" max="15386" width="6.33203125" style="357" bestFit="1" customWidth="1"/>
    <col min="15387" max="15387" width="9.6640625" style="357" bestFit="1" customWidth="1"/>
    <col min="15388" max="15388" width="8.6640625" style="357" bestFit="1" customWidth="1"/>
    <col min="15389" max="15389" width="3.5" style="357" customWidth="1"/>
    <col min="15390" max="15390" width="8.5" style="357" bestFit="1" customWidth="1"/>
    <col min="15391" max="15391" width="5.1640625" style="357" bestFit="1" customWidth="1"/>
    <col min="15392" max="15616" width="9.33203125" style="357"/>
    <col min="15617" max="15617" width="1.6640625" style="357" customWidth="1"/>
    <col min="15618" max="15618" width="8.5" style="357" bestFit="1" customWidth="1"/>
    <col min="15619" max="15619" width="5.1640625" style="357" bestFit="1" customWidth="1"/>
    <col min="15620" max="15620" width="8.83203125" style="357" bestFit="1" customWidth="1"/>
    <col min="15621" max="15621" width="6.33203125" style="357" bestFit="1" customWidth="1"/>
    <col min="15622" max="15622" width="9.6640625" style="357" bestFit="1" customWidth="1"/>
    <col min="15623" max="15623" width="8.6640625" style="357" bestFit="1" customWidth="1"/>
    <col min="15624" max="15624" width="3.83203125" style="357" customWidth="1"/>
    <col min="15625" max="15625" width="8.5" style="357" bestFit="1" customWidth="1"/>
    <col min="15626" max="15626" width="5.1640625" style="357" bestFit="1" customWidth="1"/>
    <col min="15627" max="15627" width="8.83203125" style="357" bestFit="1" customWidth="1"/>
    <col min="15628" max="15628" width="6.33203125" style="357" bestFit="1" customWidth="1"/>
    <col min="15629" max="15629" width="9.6640625" style="357" bestFit="1" customWidth="1"/>
    <col min="15630" max="15630" width="8.6640625" style="357" bestFit="1" customWidth="1"/>
    <col min="15631" max="15631" width="3.5" style="357" customWidth="1"/>
    <col min="15632" max="15632" width="8.5" style="357" bestFit="1" customWidth="1"/>
    <col min="15633" max="15633" width="5.1640625" style="357" bestFit="1" customWidth="1"/>
    <col min="15634" max="15634" width="8.83203125" style="357" bestFit="1" customWidth="1"/>
    <col min="15635" max="15635" width="6.33203125" style="357" bestFit="1" customWidth="1"/>
    <col min="15636" max="15636" width="9.6640625" style="357" bestFit="1" customWidth="1"/>
    <col min="15637" max="15637" width="8.6640625" style="357" bestFit="1" customWidth="1"/>
    <col min="15638" max="15638" width="3.5" style="357" customWidth="1"/>
    <col min="15639" max="15639" width="8.5" style="357" bestFit="1" customWidth="1"/>
    <col min="15640" max="15640" width="5.1640625" style="357" bestFit="1" customWidth="1"/>
    <col min="15641" max="15641" width="8.83203125" style="357" bestFit="1" customWidth="1"/>
    <col min="15642" max="15642" width="6.33203125" style="357" bestFit="1" customWidth="1"/>
    <col min="15643" max="15643" width="9.6640625" style="357" bestFit="1" customWidth="1"/>
    <col min="15644" max="15644" width="8.6640625" style="357" bestFit="1" customWidth="1"/>
    <col min="15645" max="15645" width="3.5" style="357" customWidth="1"/>
    <col min="15646" max="15646" width="8.5" style="357" bestFit="1" customWidth="1"/>
    <col min="15647" max="15647" width="5.1640625" style="357" bestFit="1" customWidth="1"/>
    <col min="15648" max="15872" width="9.33203125" style="357"/>
    <col min="15873" max="15873" width="1.6640625" style="357" customWidth="1"/>
    <col min="15874" max="15874" width="8.5" style="357" bestFit="1" customWidth="1"/>
    <col min="15875" max="15875" width="5.1640625" style="357" bestFit="1" customWidth="1"/>
    <col min="15876" max="15876" width="8.83203125" style="357" bestFit="1" customWidth="1"/>
    <col min="15877" max="15877" width="6.33203125" style="357" bestFit="1" customWidth="1"/>
    <col min="15878" max="15878" width="9.6640625" style="357" bestFit="1" customWidth="1"/>
    <col min="15879" max="15879" width="8.6640625" style="357" bestFit="1" customWidth="1"/>
    <col min="15880" max="15880" width="3.83203125" style="357" customWidth="1"/>
    <col min="15881" max="15881" width="8.5" style="357" bestFit="1" customWidth="1"/>
    <col min="15882" max="15882" width="5.1640625" style="357" bestFit="1" customWidth="1"/>
    <col min="15883" max="15883" width="8.83203125" style="357" bestFit="1" customWidth="1"/>
    <col min="15884" max="15884" width="6.33203125" style="357" bestFit="1" customWidth="1"/>
    <col min="15885" max="15885" width="9.6640625" style="357" bestFit="1" customWidth="1"/>
    <col min="15886" max="15886" width="8.6640625" style="357" bestFit="1" customWidth="1"/>
    <col min="15887" max="15887" width="3.5" style="357" customWidth="1"/>
    <col min="15888" max="15888" width="8.5" style="357" bestFit="1" customWidth="1"/>
    <col min="15889" max="15889" width="5.1640625" style="357" bestFit="1" customWidth="1"/>
    <col min="15890" max="15890" width="8.83203125" style="357" bestFit="1" customWidth="1"/>
    <col min="15891" max="15891" width="6.33203125" style="357" bestFit="1" customWidth="1"/>
    <col min="15892" max="15892" width="9.6640625" style="357" bestFit="1" customWidth="1"/>
    <col min="15893" max="15893" width="8.6640625" style="357" bestFit="1" customWidth="1"/>
    <col min="15894" max="15894" width="3.5" style="357" customWidth="1"/>
    <col min="15895" max="15895" width="8.5" style="357" bestFit="1" customWidth="1"/>
    <col min="15896" max="15896" width="5.1640625" style="357" bestFit="1" customWidth="1"/>
    <col min="15897" max="15897" width="8.83203125" style="357" bestFit="1" customWidth="1"/>
    <col min="15898" max="15898" width="6.33203125" style="357" bestFit="1" customWidth="1"/>
    <col min="15899" max="15899" width="9.6640625" style="357" bestFit="1" customWidth="1"/>
    <col min="15900" max="15900" width="8.6640625" style="357" bestFit="1" customWidth="1"/>
    <col min="15901" max="15901" width="3.5" style="357" customWidth="1"/>
    <col min="15902" max="15902" width="8.5" style="357" bestFit="1" customWidth="1"/>
    <col min="15903" max="15903" width="5.1640625" style="357" bestFit="1" customWidth="1"/>
    <col min="15904" max="16128" width="9.33203125" style="357"/>
    <col min="16129" max="16129" width="1.6640625" style="357" customWidth="1"/>
    <col min="16130" max="16130" width="8.5" style="357" bestFit="1" customWidth="1"/>
    <col min="16131" max="16131" width="5.1640625" style="357" bestFit="1" customWidth="1"/>
    <col min="16132" max="16132" width="8.83203125" style="357" bestFit="1" customWidth="1"/>
    <col min="16133" max="16133" width="6.33203125" style="357" bestFit="1" customWidth="1"/>
    <col min="16134" max="16134" width="9.6640625" style="357" bestFit="1" customWidth="1"/>
    <col min="16135" max="16135" width="8.6640625" style="357" bestFit="1" customWidth="1"/>
    <col min="16136" max="16136" width="3.83203125" style="357" customWidth="1"/>
    <col min="16137" max="16137" width="8.5" style="357" bestFit="1" customWidth="1"/>
    <col min="16138" max="16138" width="5.1640625" style="357" bestFit="1" customWidth="1"/>
    <col min="16139" max="16139" width="8.83203125" style="357" bestFit="1" customWidth="1"/>
    <col min="16140" max="16140" width="6.33203125" style="357" bestFit="1" customWidth="1"/>
    <col min="16141" max="16141" width="9.6640625" style="357" bestFit="1" customWidth="1"/>
    <col min="16142" max="16142" width="8.6640625" style="357" bestFit="1" customWidth="1"/>
    <col min="16143" max="16143" width="3.5" style="357" customWidth="1"/>
    <col min="16144" max="16144" width="8.5" style="357" bestFit="1" customWidth="1"/>
    <col min="16145" max="16145" width="5.1640625" style="357" bestFit="1" customWidth="1"/>
    <col min="16146" max="16146" width="8.83203125" style="357" bestFit="1" customWidth="1"/>
    <col min="16147" max="16147" width="6.33203125" style="357" bestFit="1" customWidth="1"/>
    <col min="16148" max="16148" width="9.6640625" style="357" bestFit="1" customWidth="1"/>
    <col min="16149" max="16149" width="8.6640625" style="357" bestFit="1" customWidth="1"/>
    <col min="16150" max="16150" width="3.5" style="357" customWidth="1"/>
    <col min="16151" max="16151" width="8.5" style="357" bestFit="1" customWidth="1"/>
    <col min="16152" max="16152" width="5.1640625" style="357" bestFit="1" customWidth="1"/>
    <col min="16153" max="16153" width="8.83203125" style="357" bestFit="1" customWidth="1"/>
    <col min="16154" max="16154" width="6.33203125" style="357" bestFit="1" customWidth="1"/>
    <col min="16155" max="16155" width="9.6640625" style="357" bestFit="1" customWidth="1"/>
    <col min="16156" max="16156" width="8.6640625" style="357" bestFit="1" customWidth="1"/>
    <col min="16157" max="16157" width="3.5" style="357" customWidth="1"/>
    <col min="16158" max="16158" width="8.5" style="357" bestFit="1" customWidth="1"/>
    <col min="16159" max="16159" width="5.1640625" style="357" bestFit="1" customWidth="1"/>
    <col min="16160" max="16384" width="9.33203125" style="357"/>
  </cols>
  <sheetData>
    <row r="1" spans="2:35" ht="7.5" customHeight="1" x14ac:dyDescent="0.2"/>
    <row r="2" spans="2:35" ht="15.75" customHeight="1" x14ac:dyDescent="0.2">
      <c r="B2" s="952" t="s">
        <v>379</v>
      </c>
      <c r="C2" s="953"/>
      <c r="D2" s="953"/>
      <c r="E2" s="953"/>
      <c r="F2" s="953"/>
      <c r="G2" s="954"/>
      <c r="I2" s="952" t="s">
        <v>380</v>
      </c>
      <c r="J2" s="953"/>
      <c r="K2" s="953"/>
      <c r="L2" s="953"/>
      <c r="M2" s="953"/>
      <c r="N2" s="954"/>
      <c r="P2" s="952" t="s">
        <v>381</v>
      </c>
      <c r="Q2" s="953"/>
      <c r="R2" s="953"/>
      <c r="S2" s="953"/>
      <c r="T2" s="953"/>
      <c r="U2" s="954"/>
      <c r="W2" s="952" t="s">
        <v>382</v>
      </c>
      <c r="X2" s="953"/>
      <c r="Y2" s="953"/>
      <c r="Z2" s="953"/>
      <c r="AA2" s="953"/>
      <c r="AB2" s="954"/>
      <c r="AD2" s="952" t="s">
        <v>383</v>
      </c>
      <c r="AE2" s="953"/>
      <c r="AF2" s="953"/>
      <c r="AG2" s="953"/>
      <c r="AH2" s="953"/>
      <c r="AI2" s="954"/>
    </row>
    <row r="3" spans="2:35" x14ac:dyDescent="0.2">
      <c r="B3" s="358" t="s">
        <v>384</v>
      </c>
      <c r="C3" s="955"/>
      <c r="D3" s="955"/>
      <c r="E3" s="955"/>
      <c r="F3" s="955"/>
      <c r="G3" s="956"/>
      <c r="I3" s="358" t="s">
        <v>384</v>
      </c>
      <c r="J3" s="955"/>
      <c r="K3" s="955"/>
      <c r="L3" s="955"/>
      <c r="M3" s="955"/>
      <c r="N3" s="956"/>
      <c r="P3" s="358" t="s">
        <v>384</v>
      </c>
      <c r="Q3" s="955"/>
      <c r="R3" s="955"/>
      <c r="S3" s="955"/>
      <c r="T3" s="955"/>
      <c r="U3" s="956"/>
      <c r="W3" s="358" t="s">
        <v>384</v>
      </c>
      <c r="X3" s="955"/>
      <c r="Y3" s="955"/>
      <c r="Z3" s="955"/>
      <c r="AA3" s="955"/>
      <c r="AB3" s="956"/>
      <c r="AD3" s="358" t="s">
        <v>384</v>
      </c>
      <c r="AE3" s="955"/>
      <c r="AF3" s="955"/>
      <c r="AG3" s="955"/>
      <c r="AH3" s="955"/>
      <c r="AI3" s="956"/>
    </row>
    <row r="4" spans="2:35" ht="28.5" customHeight="1" x14ac:dyDescent="0.2">
      <c r="B4" s="947" t="s">
        <v>385</v>
      </c>
      <c r="C4" s="948"/>
      <c r="D4" s="359" t="s">
        <v>386</v>
      </c>
      <c r="E4" s="359" t="s">
        <v>387</v>
      </c>
      <c r="F4" s="359" t="s">
        <v>388</v>
      </c>
      <c r="G4" s="359" t="s">
        <v>389</v>
      </c>
      <c r="I4" s="947" t="s">
        <v>385</v>
      </c>
      <c r="J4" s="948"/>
      <c r="K4" s="359" t="s">
        <v>386</v>
      </c>
      <c r="L4" s="359" t="s">
        <v>387</v>
      </c>
      <c r="M4" s="359" t="s">
        <v>388</v>
      </c>
      <c r="N4" s="359" t="s">
        <v>389</v>
      </c>
      <c r="P4" s="947" t="s">
        <v>385</v>
      </c>
      <c r="Q4" s="948"/>
      <c r="R4" s="359" t="s">
        <v>386</v>
      </c>
      <c r="S4" s="359" t="s">
        <v>387</v>
      </c>
      <c r="T4" s="359" t="s">
        <v>388</v>
      </c>
      <c r="U4" s="359" t="s">
        <v>389</v>
      </c>
      <c r="W4" s="947" t="s">
        <v>385</v>
      </c>
      <c r="X4" s="948"/>
      <c r="Y4" s="359" t="s">
        <v>386</v>
      </c>
      <c r="Z4" s="359" t="s">
        <v>387</v>
      </c>
      <c r="AA4" s="359" t="s">
        <v>388</v>
      </c>
      <c r="AB4" s="359" t="s">
        <v>389</v>
      </c>
      <c r="AD4" s="947" t="s">
        <v>385</v>
      </c>
      <c r="AE4" s="948"/>
      <c r="AF4" s="359" t="s">
        <v>386</v>
      </c>
      <c r="AG4" s="359" t="s">
        <v>387</v>
      </c>
      <c r="AH4" s="359" t="s">
        <v>388</v>
      </c>
      <c r="AI4" s="359" t="s">
        <v>389</v>
      </c>
    </row>
    <row r="5" spans="2:35" ht="15" x14ac:dyDescent="0.2">
      <c r="B5" s="360" t="s">
        <v>390</v>
      </c>
      <c r="C5" s="360" t="s">
        <v>391</v>
      </c>
      <c r="D5" s="360" t="s">
        <v>392</v>
      </c>
      <c r="E5" s="360"/>
      <c r="F5" s="360" t="s">
        <v>393</v>
      </c>
      <c r="G5" s="361">
        <v>100</v>
      </c>
      <c r="I5" s="360" t="s">
        <v>390</v>
      </c>
      <c r="J5" s="360" t="s">
        <v>391</v>
      </c>
      <c r="K5" s="360" t="s">
        <v>392</v>
      </c>
      <c r="L5" s="360"/>
      <c r="M5" s="360" t="s">
        <v>393</v>
      </c>
      <c r="N5" s="361">
        <v>100</v>
      </c>
      <c r="P5" s="360" t="s">
        <v>390</v>
      </c>
      <c r="Q5" s="360" t="s">
        <v>391</v>
      </c>
      <c r="R5" s="360" t="s">
        <v>392</v>
      </c>
      <c r="S5" s="360"/>
      <c r="T5" s="360" t="s">
        <v>393</v>
      </c>
      <c r="U5" s="361">
        <v>100</v>
      </c>
      <c r="W5" s="360" t="s">
        <v>390</v>
      </c>
      <c r="X5" s="360" t="s">
        <v>391</v>
      </c>
      <c r="Y5" s="360" t="s">
        <v>392</v>
      </c>
      <c r="Z5" s="360"/>
      <c r="AA5" s="360" t="s">
        <v>393</v>
      </c>
      <c r="AB5" s="361">
        <v>100</v>
      </c>
      <c r="AD5" s="360" t="s">
        <v>390</v>
      </c>
      <c r="AE5" s="360" t="s">
        <v>391</v>
      </c>
      <c r="AF5" s="360" t="s">
        <v>392</v>
      </c>
      <c r="AG5" s="360"/>
      <c r="AH5" s="360" t="s">
        <v>393</v>
      </c>
      <c r="AI5" s="361">
        <v>100</v>
      </c>
    </row>
    <row r="6" spans="2:35" ht="16.5" customHeight="1" x14ac:dyDescent="0.3">
      <c r="B6" s="360">
        <v>2023</v>
      </c>
      <c r="C6" s="362" t="s">
        <v>394</v>
      </c>
      <c r="D6" s="363"/>
      <c r="E6" s="364">
        <v>25</v>
      </c>
      <c r="F6" s="363">
        <f>D6/30*E6</f>
        <v>0</v>
      </c>
      <c r="G6" s="365">
        <f>(G5*F6)+G5</f>
        <v>100</v>
      </c>
      <c r="I6" s="360">
        <f>B6+1</f>
        <v>2024</v>
      </c>
      <c r="J6" s="362" t="str">
        <f>C6</f>
        <v>AGO</v>
      </c>
      <c r="K6" s="363"/>
      <c r="L6" s="364">
        <f>$E$6</f>
        <v>25</v>
      </c>
      <c r="M6" s="363">
        <f>K6/30*L6</f>
        <v>0</v>
      </c>
      <c r="N6" s="365">
        <f>(N5*M6)+N5</f>
        <v>100</v>
      </c>
      <c r="P6" s="360">
        <f>I6+1</f>
        <v>2025</v>
      </c>
      <c r="Q6" s="362" t="s">
        <v>394</v>
      </c>
      <c r="R6" s="363"/>
      <c r="S6" s="364">
        <f>$E$6</f>
        <v>25</v>
      </c>
      <c r="T6" s="363">
        <f>R6/30*S6</f>
        <v>0</v>
      </c>
      <c r="U6" s="365">
        <f>(U5*T6)+U5</f>
        <v>100</v>
      </c>
      <c r="W6" s="360">
        <f>P6+1</f>
        <v>2026</v>
      </c>
      <c r="X6" s="362" t="s">
        <v>394</v>
      </c>
      <c r="Y6" s="363"/>
      <c r="Z6" s="364">
        <f>$E$6</f>
        <v>25</v>
      </c>
      <c r="AA6" s="363">
        <f>Y6/30*Z6</f>
        <v>0</v>
      </c>
      <c r="AB6" s="365">
        <f>(AB5*AA6)+AB5</f>
        <v>100</v>
      </c>
      <c r="AD6" s="360">
        <f>W6+1</f>
        <v>2027</v>
      </c>
      <c r="AE6" s="362" t="s">
        <v>394</v>
      </c>
      <c r="AF6" s="363"/>
      <c r="AG6" s="364">
        <f>$E$6</f>
        <v>25</v>
      </c>
      <c r="AH6" s="363">
        <f>AF6/30*AG6</f>
        <v>0</v>
      </c>
      <c r="AI6" s="365">
        <f>(AI5*AH6)+AI5</f>
        <v>100</v>
      </c>
    </row>
    <row r="7" spans="2:35" ht="16.5" x14ac:dyDescent="0.3">
      <c r="B7" s="360">
        <v>2023</v>
      </c>
      <c r="C7" s="362" t="s">
        <v>395</v>
      </c>
      <c r="D7" s="363"/>
      <c r="E7" s="364"/>
      <c r="F7" s="363">
        <f t="shared" ref="F7:F17" si="0">D7</f>
        <v>0</v>
      </c>
      <c r="G7" s="365">
        <f t="shared" ref="G7:G18" si="1">(G6*F7)+G6</f>
        <v>100</v>
      </c>
      <c r="I7" s="360">
        <f t="shared" ref="I7:I18" si="2">B7+1</f>
        <v>2024</v>
      </c>
      <c r="J7" s="362" t="str">
        <f t="shared" ref="J7:J18" si="3">C7</f>
        <v>SET</v>
      </c>
      <c r="K7" s="363"/>
      <c r="L7" s="364"/>
      <c r="M7" s="363">
        <f t="shared" ref="M7:M17" si="4">K7</f>
        <v>0</v>
      </c>
      <c r="N7" s="365">
        <f t="shared" ref="N7:N18" si="5">(N6*M7)+N6</f>
        <v>100</v>
      </c>
      <c r="P7" s="360">
        <f t="shared" ref="P7:P18" si="6">I7+1</f>
        <v>2025</v>
      </c>
      <c r="Q7" s="362" t="s">
        <v>395</v>
      </c>
      <c r="R7" s="363"/>
      <c r="S7" s="364"/>
      <c r="T7" s="363">
        <f t="shared" ref="T7:T17" si="7">R7</f>
        <v>0</v>
      </c>
      <c r="U7" s="365">
        <f t="shared" ref="U7:U18" si="8">(U6*T7)+U6</f>
        <v>100</v>
      </c>
      <c r="W7" s="360">
        <f t="shared" ref="W7:W18" si="9">P7+1</f>
        <v>2026</v>
      </c>
      <c r="X7" s="362" t="s">
        <v>395</v>
      </c>
      <c r="Y7" s="363"/>
      <c r="Z7" s="364"/>
      <c r="AA7" s="363">
        <f t="shared" ref="AA7:AA17" si="10">Y7</f>
        <v>0</v>
      </c>
      <c r="AB7" s="365">
        <f t="shared" ref="AB7:AB18" si="11">(AB6*AA7)+AB6</f>
        <v>100</v>
      </c>
      <c r="AD7" s="360">
        <f t="shared" ref="AD7:AD18" si="12">W7+1</f>
        <v>2027</v>
      </c>
      <c r="AE7" s="362" t="s">
        <v>395</v>
      </c>
      <c r="AF7" s="363"/>
      <c r="AG7" s="364"/>
      <c r="AH7" s="363">
        <f t="shared" ref="AH7:AH17" si="13">AF7</f>
        <v>0</v>
      </c>
      <c r="AI7" s="365">
        <f t="shared" ref="AI7:AI18" si="14">(AI6*AH7)+AI6</f>
        <v>100</v>
      </c>
    </row>
    <row r="8" spans="2:35" ht="16.5" x14ac:dyDescent="0.3">
      <c r="B8" s="360">
        <v>2023</v>
      </c>
      <c r="C8" s="362" t="s">
        <v>396</v>
      </c>
      <c r="D8" s="363"/>
      <c r="E8" s="364"/>
      <c r="F8" s="363">
        <f t="shared" si="0"/>
        <v>0</v>
      </c>
      <c r="G8" s="365">
        <f t="shared" si="1"/>
        <v>100</v>
      </c>
      <c r="I8" s="360">
        <f t="shared" si="2"/>
        <v>2024</v>
      </c>
      <c r="J8" s="362" t="str">
        <f t="shared" si="3"/>
        <v>OUT</v>
      </c>
      <c r="K8" s="363"/>
      <c r="L8" s="364"/>
      <c r="M8" s="363">
        <f t="shared" si="4"/>
        <v>0</v>
      </c>
      <c r="N8" s="365">
        <f t="shared" si="5"/>
        <v>100</v>
      </c>
      <c r="P8" s="360">
        <f t="shared" si="6"/>
        <v>2025</v>
      </c>
      <c r="Q8" s="362" t="s">
        <v>396</v>
      </c>
      <c r="R8" s="363"/>
      <c r="S8" s="364"/>
      <c r="T8" s="363">
        <f t="shared" si="7"/>
        <v>0</v>
      </c>
      <c r="U8" s="365">
        <f t="shared" si="8"/>
        <v>100</v>
      </c>
      <c r="W8" s="360">
        <f t="shared" si="9"/>
        <v>2026</v>
      </c>
      <c r="X8" s="362" t="s">
        <v>396</v>
      </c>
      <c r="Y8" s="363"/>
      <c r="Z8" s="364"/>
      <c r="AA8" s="363">
        <f t="shared" si="10"/>
        <v>0</v>
      </c>
      <c r="AB8" s="365">
        <f t="shared" si="11"/>
        <v>100</v>
      </c>
      <c r="AD8" s="360">
        <f t="shared" si="12"/>
        <v>2027</v>
      </c>
      <c r="AE8" s="362" t="s">
        <v>396</v>
      </c>
      <c r="AF8" s="363"/>
      <c r="AG8" s="364"/>
      <c r="AH8" s="363">
        <f t="shared" si="13"/>
        <v>0</v>
      </c>
      <c r="AI8" s="365">
        <f t="shared" si="14"/>
        <v>100</v>
      </c>
    </row>
    <row r="9" spans="2:35" ht="16.5" x14ac:dyDescent="0.3">
      <c r="B9" s="360">
        <v>2023</v>
      </c>
      <c r="C9" s="362" t="s">
        <v>397</v>
      </c>
      <c r="D9" s="363"/>
      <c r="E9" s="364"/>
      <c r="F9" s="363">
        <f t="shared" si="0"/>
        <v>0</v>
      </c>
      <c r="G9" s="365">
        <f t="shared" si="1"/>
        <v>100</v>
      </c>
      <c r="I9" s="360">
        <f t="shared" si="2"/>
        <v>2024</v>
      </c>
      <c r="J9" s="362" t="str">
        <f t="shared" si="3"/>
        <v>NOV</v>
      </c>
      <c r="K9" s="363"/>
      <c r="L9" s="364"/>
      <c r="M9" s="363">
        <f t="shared" si="4"/>
        <v>0</v>
      </c>
      <c r="N9" s="365">
        <f t="shared" si="5"/>
        <v>100</v>
      </c>
      <c r="P9" s="360">
        <f t="shared" si="6"/>
        <v>2025</v>
      </c>
      <c r="Q9" s="362" t="s">
        <v>397</v>
      </c>
      <c r="R9" s="363"/>
      <c r="S9" s="364"/>
      <c r="T9" s="363">
        <f t="shared" si="7"/>
        <v>0</v>
      </c>
      <c r="U9" s="365">
        <f t="shared" si="8"/>
        <v>100</v>
      </c>
      <c r="W9" s="360">
        <f t="shared" si="9"/>
        <v>2026</v>
      </c>
      <c r="X9" s="362" t="s">
        <v>397</v>
      </c>
      <c r="Y9" s="363"/>
      <c r="Z9" s="364"/>
      <c r="AA9" s="363">
        <f t="shared" si="10"/>
        <v>0</v>
      </c>
      <c r="AB9" s="365">
        <f t="shared" si="11"/>
        <v>100</v>
      </c>
      <c r="AD9" s="360">
        <f t="shared" si="12"/>
        <v>2027</v>
      </c>
      <c r="AE9" s="362" t="s">
        <v>397</v>
      </c>
      <c r="AF9" s="363"/>
      <c r="AG9" s="364"/>
      <c r="AH9" s="363">
        <f t="shared" si="13"/>
        <v>0</v>
      </c>
      <c r="AI9" s="365">
        <f t="shared" si="14"/>
        <v>100</v>
      </c>
    </row>
    <row r="10" spans="2:35" ht="16.5" x14ac:dyDescent="0.3">
      <c r="B10" s="360">
        <v>2023</v>
      </c>
      <c r="C10" s="362" t="s">
        <v>398</v>
      </c>
      <c r="D10" s="363"/>
      <c r="E10" s="364"/>
      <c r="F10" s="363">
        <f t="shared" si="0"/>
        <v>0</v>
      </c>
      <c r="G10" s="365">
        <f t="shared" si="1"/>
        <v>100</v>
      </c>
      <c r="I10" s="360">
        <f t="shared" si="2"/>
        <v>2024</v>
      </c>
      <c r="J10" s="362" t="str">
        <f t="shared" si="3"/>
        <v>DEZ</v>
      </c>
      <c r="K10" s="363"/>
      <c r="L10" s="364"/>
      <c r="M10" s="363">
        <f t="shared" si="4"/>
        <v>0</v>
      </c>
      <c r="N10" s="365">
        <f t="shared" si="5"/>
        <v>100</v>
      </c>
      <c r="P10" s="360">
        <f t="shared" si="6"/>
        <v>2025</v>
      </c>
      <c r="Q10" s="362" t="s">
        <v>398</v>
      </c>
      <c r="R10" s="363"/>
      <c r="S10" s="364"/>
      <c r="T10" s="363">
        <f t="shared" si="7"/>
        <v>0</v>
      </c>
      <c r="U10" s="365">
        <f t="shared" si="8"/>
        <v>100</v>
      </c>
      <c r="W10" s="360">
        <f t="shared" si="9"/>
        <v>2026</v>
      </c>
      <c r="X10" s="362" t="s">
        <v>398</v>
      </c>
      <c r="Y10" s="363"/>
      <c r="Z10" s="364"/>
      <c r="AA10" s="363">
        <f t="shared" si="10"/>
        <v>0</v>
      </c>
      <c r="AB10" s="365">
        <f t="shared" si="11"/>
        <v>100</v>
      </c>
      <c r="AD10" s="360">
        <f t="shared" si="12"/>
        <v>2027</v>
      </c>
      <c r="AE10" s="362" t="s">
        <v>398</v>
      </c>
      <c r="AF10" s="363"/>
      <c r="AG10" s="364"/>
      <c r="AH10" s="363">
        <f t="shared" si="13"/>
        <v>0</v>
      </c>
      <c r="AI10" s="365">
        <f t="shared" si="14"/>
        <v>100</v>
      </c>
    </row>
    <row r="11" spans="2:35" ht="16.5" x14ac:dyDescent="0.3">
      <c r="B11" s="360">
        <v>2023</v>
      </c>
      <c r="C11" s="362" t="s">
        <v>398</v>
      </c>
      <c r="D11" s="363"/>
      <c r="E11" s="364"/>
      <c r="F11" s="363">
        <f t="shared" si="0"/>
        <v>0</v>
      </c>
      <c r="G11" s="365">
        <f t="shared" si="1"/>
        <v>100</v>
      </c>
      <c r="I11" s="360">
        <f t="shared" si="2"/>
        <v>2024</v>
      </c>
      <c r="J11" s="362" t="str">
        <f t="shared" si="3"/>
        <v>DEZ</v>
      </c>
      <c r="K11" s="363"/>
      <c r="L11" s="364"/>
      <c r="M11" s="363">
        <f t="shared" si="4"/>
        <v>0</v>
      </c>
      <c r="N11" s="365">
        <f t="shared" si="5"/>
        <v>100</v>
      </c>
      <c r="P11" s="360">
        <f t="shared" si="6"/>
        <v>2025</v>
      </c>
      <c r="Q11" s="362" t="s">
        <v>398</v>
      </c>
      <c r="R11" s="363"/>
      <c r="S11" s="364"/>
      <c r="T11" s="363">
        <f t="shared" si="7"/>
        <v>0</v>
      </c>
      <c r="U11" s="365">
        <f t="shared" si="8"/>
        <v>100</v>
      </c>
      <c r="W11" s="360">
        <f t="shared" si="9"/>
        <v>2026</v>
      </c>
      <c r="X11" s="362" t="s">
        <v>398</v>
      </c>
      <c r="Y11" s="363"/>
      <c r="Z11" s="364"/>
      <c r="AA11" s="363">
        <f t="shared" si="10"/>
        <v>0</v>
      </c>
      <c r="AB11" s="365">
        <f t="shared" si="11"/>
        <v>100</v>
      </c>
      <c r="AD11" s="360">
        <f t="shared" si="12"/>
        <v>2027</v>
      </c>
      <c r="AE11" s="362" t="s">
        <v>398</v>
      </c>
      <c r="AF11" s="363"/>
      <c r="AG11" s="364"/>
      <c r="AH11" s="363">
        <f t="shared" si="13"/>
        <v>0</v>
      </c>
      <c r="AI11" s="365">
        <f t="shared" si="14"/>
        <v>100</v>
      </c>
    </row>
    <row r="12" spans="2:35" ht="16.5" customHeight="1" x14ac:dyDescent="0.3">
      <c r="B12" s="360">
        <v>2024</v>
      </c>
      <c r="C12" s="366" t="s">
        <v>399</v>
      </c>
      <c r="D12" s="367"/>
      <c r="E12" s="368"/>
      <c r="F12" s="363">
        <f t="shared" si="0"/>
        <v>0</v>
      </c>
      <c r="G12" s="365">
        <f t="shared" si="1"/>
        <v>100</v>
      </c>
      <c r="I12" s="360">
        <f t="shared" si="2"/>
        <v>2025</v>
      </c>
      <c r="J12" s="362" t="str">
        <f t="shared" si="3"/>
        <v>JAN</v>
      </c>
      <c r="K12" s="367"/>
      <c r="L12" s="364"/>
      <c r="M12" s="363">
        <f t="shared" si="4"/>
        <v>0</v>
      </c>
      <c r="N12" s="365">
        <f t="shared" si="5"/>
        <v>100</v>
      </c>
      <c r="P12" s="360">
        <f t="shared" si="6"/>
        <v>2026</v>
      </c>
      <c r="Q12" s="366" t="s">
        <v>399</v>
      </c>
      <c r="R12" s="367"/>
      <c r="S12" s="368"/>
      <c r="T12" s="363">
        <f t="shared" si="7"/>
        <v>0</v>
      </c>
      <c r="U12" s="365">
        <f t="shared" si="8"/>
        <v>100</v>
      </c>
      <c r="W12" s="360">
        <f t="shared" si="9"/>
        <v>2027</v>
      </c>
      <c r="X12" s="366" t="s">
        <v>399</v>
      </c>
      <c r="Y12" s="367"/>
      <c r="Z12" s="368"/>
      <c r="AA12" s="363">
        <f t="shared" si="10"/>
        <v>0</v>
      </c>
      <c r="AB12" s="365">
        <f t="shared" si="11"/>
        <v>100</v>
      </c>
      <c r="AD12" s="360">
        <f t="shared" si="12"/>
        <v>2028</v>
      </c>
      <c r="AE12" s="366" t="s">
        <v>399</v>
      </c>
      <c r="AF12" s="367"/>
      <c r="AG12" s="368"/>
      <c r="AH12" s="363">
        <f t="shared" si="13"/>
        <v>0</v>
      </c>
      <c r="AI12" s="365">
        <f t="shared" si="14"/>
        <v>100</v>
      </c>
    </row>
    <row r="13" spans="2:35" ht="16.5" x14ac:dyDescent="0.3">
      <c r="B13" s="360">
        <v>2024</v>
      </c>
      <c r="C13" s="362" t="s">
        <v>400</v>
      </c>
      <c r="D13" s="363"/>
      <c r="E13" s="364"/>
      <c r="F13" s="363">
        <f t="shared" si="0"/>
        <v>0</v>
      </c>
      <c r="G13" s="365">
        <f t="shared" si="1"/>
        <v>100</v>
      </c>
      <c r="I13" s="360">
        <f t="shared" si="2"/>
        <v>2025</v>
      </c>
      <c r="J13" s="362" t="str">
        <f t="shared" si="3"/>
        <v>FEV</v>
      </c>
      <c r="K13" s="363"/>
      <c r="L13" s="364"/>
      <c r="M13" s="363">
        <f t="shared" si="4"/>
        <v>0</v>
      </c>
      <c r="N13" s="365">
        <f t="shared" si="5"/>
        <v>100</v>
      </c>
      <c r="P13" s="360">
        <f t="shared" si="6"/>
        <v>2026</v>
      </c>
      <c r="Q13" s="362" t="s">
        <v>400</v>
      </c>
      <c r="R13" s="363"/>
      <c r="S13" s="364"/>
      <c r="T13" s="363">
        <f t="shared" si="7"/>
        <v>0</v>
      </c>
      <c r="U13" s="365">
        <f t="shared" si="8"/>
        <v>100</v>
      </c>
      <c r="W13" s="360">
        <f t="shared" si="9"/>
        <v>2027</v>
      </c>
      <c r="X13" s="362" t="s">
        <v>400</v>
      </c>
      <c r="Y13" s="363"/>
      <c r="Z13" s="364"/>
      <c r="AA13" s="363">
        <f t="shared" si="10"/>
        <v>0</v>
      </c>
      <c r="AB13" s="365">
        <f t="shared" si="11"/>
        <v>100</v>
      </c>
      <c r="AD13" s="360">
        <f t="shared" si="12"/>
        <v>2028</v>
      </c>
      <c r="AE13" s="362" t="s">
        <v>400</v>
      </c>
      <c r="AF13" s="363"/>
      <c r="AG13" s="364"/>
      <c r="AH13" s="363">
        <f t="shared" si="13"/>
        <v>0</v>
      </c>
      <c r="AI13" s="365">
        <f t="shared" si="14"/>
        <v>100</v>
      </c>
    </row>
    <row r="14" spans="2:35" ht="16.5" x14ac:dyDescent="0.3">
      <c r="B14" s="360">
        <v>2024</v>
      </c>
      <c r="C14" s="366" t="s">
        <v>401</v>
      </c>
      <c r="D14" s="363"/>
      <c r="E14" s="364"/>
      <c r="F14" s="363">
        <f t="shared" si="0"/>
        <v>0</v>
      </c>
      <c r="G14" s="365">
        <f t="shared" si="1"/>
        <v>100</v>
      </c>
      <c r="I14" s="360">
        <f t="shared" si="2"/>
        <v>2025</v>
      </c>
      <c r="J14" s="362" t="str">
        <f t="shared" si="3"/>
        <v>MAR</v>
      </c>
      <c r="K14" s="363"/>
      <c r="L14" s="364"/>
      <c r="M14" s="363">
        <f t="shared" si="4"/>
        <v>0</v>
      </c>
      <c r="N14" s="365">
        <f t="shared" si="5"/>
        <v>100</v>
      </c>
      <c r="P14" s="360">
        <f t="shared" si="6"/>
        <v>2026</v>
      </c>
      <c r="Q14" s="366" t="s">
        <v>401</v>
      </c>
      <c r="R14" s="363"/>
      <c r="S14" s="364"/>
      <c r="T14" s="363">
        <f t="shared" si="7"/>
        <v>0</v>
      </c>
      <c r="U14" s="365">
        <f t="shared" si="8"/>
        <v>100</v>
      </c>
      <c r="W14" s="360">
        <f t="shared" si="9"/>
        <v>2027</v>
      </c>
      <c r="X14" s="366" t="s">
        <v>401</v>
      </c>
      <c r="Y14" s="363"/>
      <c r="Z14" s="364"/>
      <c r="AA14" s="363">
        <f t="shared" si="10"/>
        <v>0</v>
      </c>
      <c r="AB14" s="365">
        <f t="shared" si="11"/>
        <v>100</v>
      </c>
      <c r="AD14" s="360">
        <f t="shared" si="12"/>
        <v>2028</v>
      </c>
      <c r="AE14" s="366" t="s">
        <v>401</v>
      </c>
      <c r="AF14" s="363"/>
      <c r="AG14" s="364"/>
      <c r="AH14" s="363">
        <f t="shared" si="13"/>
        <v>0</v>
      </c>
      <c r="AI14" s="365">
        <f t="shared" si="14"/>
        <v>100</v>
      </c>
    </row>
    <row r="15" spans="2:35" ht="16.5" x14ac:dyDescent="0.3">
      <c r="B15" s="360">
        <v>2024</v>
      </c>
      <c r="C15" s="362" t="s">
        <v>402</v>
      </c>
      <c r="D15" s="363"/>
      <c r="E15" s="364"/>
      <c r="F15" s="363">
        <f t="shared" si="0"/>
        <v>0</v>
      </c>
      <c r="G15" s="365">
        <f t="shared" si="1"/>
        <v>100</v>
      </c>
      <c r="I15" s="360">
        <f t="shared" si="2"/>
        <v>2025</v>
      </c>
      <c r="J15" s="362" t="str">
        <f t="shared" si="3"/>
        <v>ABR</v>
      </c>
      <c r="K15" s="363"/>
      <c r="L15" s="364"/>
      <c r="M15" s="363">
        <f t="shared" si="4"/>
        <v>0</v>
      </c>
      <c r="N15" s="365">
        <f t="shared" si="5"/>
        <v>100</v>
      </c>
      <c r="P15" s="360">
        <f t="shared" si="6"/>
        <v>2026</v>
      </c>
      <c r="Q15" s="362" t="s">
        <v>402</v>
      </c>
      <c r="R15" s="363"/>
      <c r="S15" s="364"/>
      <c r="T15" s="363">
        <f t="shared" si="7"/>
        <v>0</v>
      </c>
      <c r="U15" s="365">
        <f t="shared" si="8"/>
        <v>100</v>
      </c>
      <c r="W15" s="360">
        <f t="shared" si="9"/>
        <v>2027</v>
      </c>
      <c r="X15" s="362" t="s">
        <v>402</v>
      </c>
      <c r="Y15" s="363"/>
      <c r="Z15" s="364"/>
      <c r="AA15" s="363">
        <f t="shared" si="10"/>
        <v>0</v>
      </c>
      <c r="AB15" s="365">
        <f t="shared" si="11"/>
        <v>100</v>
      </c>
      <c r="AD15" s="360">
        <f t="shared" si="12"/>
        <v>2028</v>
      </c>
      <c r="AE15" s="362" t="s">
        <v>402</v>
      </c>
      <c r="AF15" s="363"/>
      <c r="AG15" s="364"/>
      <c r="AH15" s="363">
        <f t="shared" si="13"/>
        <v>0</v>
      </c>
      <c r="AI15" s="365">
        <f t="shared" si="14"/>
        <v>100</v>
      </c>
    </row>
    <row r="16" spans="2:35" ht="16.5" x14ac:dyDescent="0.3">
      <c r="B16" s="360">
        <v>2024</v>
      </c>
      <c r="C16" s="366" t="s">
        <v>403</v>
      </c>
      <c r="D16" s="363"/>
      <c r="E16" s="364"/>
      <c r="F16" s="363">
        <f t="shared" si="0"/>
        <v>0</v>
      </c>
      <c r="G16" s="365">
        <f t="shared" si="1"/>
        <v>100</v>
      </c>
      <c r="I16" s="360">
        <f t="shared" si="2"/>
        <v>2025</v>
      </c>
      <c r="J16" s="362" t="str">
        <f t="shared" si="3"/>
        <v>MAI</v>
      </c>
      <c r="K16" s="363"/>
      <c r="L16" s="364"/>
      <c r="M16" s="363">
        <f t="shared" si="4"/>
        <v>0</v>
      </c>
      <c r="N16" s="365">
        <f t="shared" si="5"/>
        <v>100</v>
      </c>
      <c r="P16" s="360">
        <f t="shared" si="6"/>
        <v>2026</v>
      </c>
      <c r="Q16" s="366" t="s">
        <v>403</v>
      </c>
      <c r="R16" s="363"/>
      <c r="S16" s="364"/>
      <c r="T16" s="363">
        <f t="shared" si="7"/>
        <v>0</v>
      </c>
      <c r="U16" s="365">
        <f t="shared" si="8"/>
        <v>100</v>
      </c>
      <c r="W16" s="360">
        <f t="shared" si="9"/>
        <v>2027</v>
      </c>
      <c r="X16" s="366" t="s">
        <v>403</v>
      </c>
      <c r="Y16" s="363"/>
      <c r="Z16" s="364"/>
      <c r="AA16" s="363">
        <f t="shared" si="10"/>
        <v>0</v>
      </c>
      <c r="AB16" s="365">
        <f t="shared" si="11"/>
        <v>100</v>
      </c>
      <c r="AD16" s="360">
        <f t="shared" si="12"/>
        <v>2028</v>
      </c>
      <c r="AE16" s="366" t="s">
        <v>403</v>
      </c>
      <c r="AF16" s="363"/>
      <c r="AG16" s="364"/>
      <c r="AH16" s="363">
        <f t="shared" si="13"/>
        <v>0</v>
      </c>
      <c r="AI16" s="365">
        <f t="shared" si="14"/>
        <v>100</v>
      </c>
    </row>
    <row r="17" spans="2:35" ht="16.5" x14ac:dyDescent="0.3">
      <c r="B17" s="360">
        <v>2024</v>
      </c>
      <c r="C17" s="362" t="s">
        <v>404</v>
      </c>
      <c r="D17" s="363"/>
      <c r="E17" s="364"/>
      <c r="F17" s="363">
        <f t="shared" si="0"/>
        <v>0</v>
      </c>
      <c r="G17" s="365">
        <f t="shared" si="1"/>
        <v>100</v>
      </c>
      <c r="I17" s="360">
        <f t="shared" si="2"/>
        <v>2025</v>
      </c>
      <c r="J17" s="362" t="str">
        <f t="shared" si="3"/>
        <v>JUN</v>
      </c>
      <c r="K17" s="363"/>
      <c r="L17" s="364"/>
      <c r="M17" s="363">
        <f t="shared" si="4"/>
        <v>0</v>
      </c>
      <c r="N17" s="365">
        <f t="shared" si="5"/>
        <v>100</v>
      </c>
      <c r="P17" s="360">
        <f t="shared" si="6"/>
        <v>2026</v>
      </c>
      <c r="Q17" s="362" t="s">
        <v>404</v>
      </c>
      <c r="R17" s="363"/>
      <c r="S17" s="364"/>
      <c r="T17" s="363">
        <f t="shared" si="7"/>
        <v>0</v>
      </c>
      <c r="U17" s="365">
        <f t="shared" si="8"/>
        <v>100</v>
      </c>
      <c r="W17" s="360">
        <f t="shared" si="9"/>
        <v>2027</v>
      </c>
      <c r="X17" s="362" t="s">
        <v>404</v>
      </c>
      <c r="Y17" s="363"/>
      <c r="Z17" s="364"/>
      <c r="AA17" s="363">
        <f t="shared" si="10"/>
        <v>0</v>
      </c>
      <c r="AB17" s="365">
        <f t="shared" si="11"/>
        <v>100</v>
      </c>
      <c r="AD17" s="360">
        <f t="shared" si="12"/>
        <v>2028</v>
      </c>
      <c r="AE17" s="362" t="s">
        <v>404</v>
      </c>
      <c r="AF17" s="363"/>
      <c r="AG17" s="364"/>
      <c r="AH17" s="363">
        <f t="shared" si="13"/>
        <v>0</v>
      </c>
      <c r="AI17" s="365">
        <f t="shared" si="14"/>
        <v>100</v>
      </c>
    </row>
    <row r="18" spans="2:35" ht="16.5" x14ac:dyDescent="0.3">
      <c r="B18" s="360">
        <v>2024</v>
      </c>
      <c r="C18" s="366" t="s">
        <v>405</v>
      </c>
      <c r="D18" s="363"/>
      <c r="E18" s="364">
        <v>5</v>
      </c>
      <c r="F18" s="363">
        <f>D18/30*E18</f>
        <v>0</v>
      </c>
      <c r="G18" s="365">
        <f t="shared" si="1"/>
        <v>100</v>
      </c>
      <c r="I18" s="360">
        <f t="shared" si="2"/>
        <v>2025</v>
      </c>
      <c r="J18" s="362" t="str">
        <f t="shared" si="3"/>
        <v>JUL</v>
      </c>
      <c r="K18" s="363"/>
      <c r="L18" s="364">
        <f>$E$18</f>
        <v>5</v>
      </c>
      <c r="M18" s="363">
        <f>K18/30*L18</f>
        <v>0</v>
      </c>
      <c r="N18" s="365">
        <f t="shared" si="5"/>
        <v>100</v>
      </c>
      <c r="P18" s="360">
        <f t="shared" si="6"/>
        <v>2026</v>
      </c>
      <c r="Q18" s="366" t="s">
        <v>405</v>
      </c>
      <c r="R18" s="363"/>
      <c r="S18" s="364">
        <f>$E$18</f>
        <v>5</v>
      </c>
      <c r="T18" s="363">
        <f>R18/30*S18</f>
        <v>0</v>
      </c>
      <c r="U18" s="365">
        <f t="shared" si="8"/>
        <v>100</v>
      </c>
      <c r="W18" s="360">
        <f t="shared" si="9"/>
        <v>2027</v>
      </c>
      <c r="X18" s="366" t="s">
        <v>405</v>
      </c>
      <c r="Y18" s="363"/>
      <c r="Z18" s="364">
        <f>$E$18</f>
        <v>5</v>
      </c>
      <c r="AA18" s="363">
        <f>Y18/30*Z18</f>
        <v>0</v>
      </c>
      <c r="AB18" s="365">
        <f t="shared" si="11"/>
        <v>100</v>
      </c>
      <c r="AD18" s="360">
        <f t="shared" si="12"/>
        <v>2028</v>
      </c>
      <c r="AE18" s="366" t="s">
        <v>405</v>
      </c>
      <c r="AF18" s="363"/>
      <c r="AG18" s="364">
        <f>$E$18</f>
        <v>5</v>
      </c>
      <c r="AH18" s="363">
        <f>AF18/30*AG18</f>
        <v>0</v>
      </c>
      <c r="AI18" s="365">
        <f t="shared" si="14"/>
        <v>100</v>
      </c>
    </row>
    <row r="19" spans="2:35" x14ac:dyDescent="0.2">
      <c r="B19" s="949" t="s">
        <v>406</v>
      </c>
      <c r="C19" s="950"/>
      <c r="D19" s="950"/>
      <c r="E19" s="950"/>
      <c r="F19" s="951"/>
      <c r="G19" s="369">
        <f>ROUND(((G18-G5)/G5),4)</f>
        <v>0</v>
      </c>
      <c r="I19" s="949" t="s">
        <v>406</v>
      </c>
      <c r="J19" s="950"/>
      <c r="K19" s="950"/>
      <c r="L19" s="950"/>
      <c r="M19" s="951"/>
      <c r="N19" s="369">
        <f>ROUND(((N18-N5)/N5),4)</f>
        <v>0</v>
      </c>
      <c r="P19" s="949" t="s">
        <v>406</v>
      </c>
      <c r="Q19" s="950"/>
      <c r="R19" s="950"/>
      <c r="S19" s="950"/>
      <c r="T19" s="951"/>
      <c r="U19" s="369">
        <f>ROUND(((U18-U5)/U5),4)</f>
        <v>0</v>
      </c>
      <c r="W19" s="949" t="s">
        <v>406</v>
      </c>
      <c r="X19" s="950"/>
      <c r="Y19" s="950"/>
      <c r="Z19" s="950"/>
      <c r="AA19" s="951"/>
      <c r="AB19" s="369">
        <f>ROUND(((AB18-AB5)/AB5),4)</f>
        <v>0</v>
      </c>
      <c r="AD19" s="949" t="s">
        <v>406</v>
      </c>
      <c r="AE19" s="950"/>
      <c r="AF19" s="950"/>
      <c r="AG19" s="950"/>
      <c r="AH19" s="951"/>
      <c r="AI19" s="369">
        <f>ROUND(((AI18-AI5)/AI5),4)</f>
        <v>0</v>
      </c>
    </row>
  </sheetData>
  <sheetProtection algorithmName="SHA-512" hashValue="uGbDlPySxjTQj+SsWE5iW8L2DpxoQ1X16wZCoo8G1+dhguBQVnuq3eTIiG/syWDIJlLrMAajdnZoRcfUq8/tUA==" saltValue="rV0Atm+0UZvdFpb23of3Ow==" spinCount="100000" sheet="1" objects="1" scenarios="1"/>
  <mergeCells count="20">
    <mergeCell ref="C3:G3"/>
    <mergeCell ref="J3:N3"/>
    <mergeCell ref="Q3:U3"/>
    <mergeCell ref="X3:AB3"/>
    <mergeCell ref="AE3:AI3"/>
    <mergeCell ref="B2:G2"/>
    <mergeCell ref="I2:N2"/>
    <mergeCell ref="P2:U2"/>
    <mergeCell ref="W2:AB2"/>
    <mergeCell ref="AD2:AI2"/>
    <mergeCell ref="B19:F19"/>
    <mergeCell ref="I19:M19"/>
    <mergeCell ref="P19:T19"/>
    <mergeCell ref="W19:AA19"/>
    <mergeCell ref="AD19:AH19"/>
    <mergeCell ref="B4:C4"/>
    <mergeCell ref="I4:J4"/>
    <mergeCell ref="P4:Q4"/>
    <mergeCell ref="W4:X4"/>
    <mergeCell ref="AD4:AE4"/>
  </mergeCells>
  <pageMargins left="0.51181102362204722" right="0.51181102362204722" top="0.78740157480314965" bottom="0.78740157480314965"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54"/>
  <sheetViews>
    <sheetView showGridLines="0" tabSelected="1" workbookViewId="0">
      <selection activeCell="M57" sqref="M57"/>
    </sheetView>
  </sheetViews>
  <sheetFormatPr defaultColWidth="9.33203125" defaultRowHeight="12.75" x14ac:dyDescent="0.2"/>
  <cols>
    <col min="1" max="16384" width="9.33203125" style="193"/>
  </cols>
  <sheetData>
    <row r="1" spans="1:27" s="517" customFormat="1" ht="25.5" customHeight="1" x14ac:dyDescent="0.3">
      <c r="A1" s="668" t="s">
        <v>288</v>
      </c>
      <c r="B1" s="668"/>
      <c r="C1" s="668"/>
      <c r="D1" s="668"/>
      <c r="E1" s="668"/>
      <c r="F1" s="668"/>
      <c r="G1" s="668"/>
      <c r="H1" s="668"/>
      <c r="I1" s="668"/>
      <c r="J1" s="668"/>
      <c r="K1" s="668"/>
      <c r="L1" s="668"/>
      <c r="M1" s="668"/>
      <c r="N1" s="668"/>
      <c r="O1" s="668"/>
      <c r="P1" s="668"/>
      <c r="Q1" s="668"/>
      <c r="R1" s="668"/>
      <c r="S1" s="668"/>
      <c r="T1" s="668"/>
      <c r="U1" s="668"/>
      <c r="V1" s="668"/>
      <c r="W1" s="668"/>
      <c r="X1" s="668"/>
      <c r="Y1" s="668"/>
      <c r="Z1" s="668"/>
    </row>
    <row r="2" spans="1:27" ht="15" x14ac:dyDescent="0.25">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0"/>
    </row>
    <row r="3" spans="1:27" ht="15" x14ac:dyDescent="0.25">
      <c r="A3" s="512" t="s">
        <v>289</v>
      </c>
      <c r="B3" s="512" t="s">
        <v>290</v>
      </c>
      <c r="C3" s="512"/>
      <c r="D3" s="512"/>
      <c r="E3" s="512"/>
      <c r="F3" s="512"/>
      <c r="G3" s="512"/>
      <c r="H3" s="512"/>
      <c r="I3" s="512"/>
      <c r="J3" s="512"/>
      <c r="K3" s="512"/>
      <c r="L3" s="512"/>
      <c r="M3" s="512"/>
      <c r="N3" s="512"/>
      <c r="O3" s="511"/>
      <c r="P3" s="511"/>
      <c r="Q3" s="511"/>
      <c r="R3" s="511"/>
      <c r="S3" s="511"/>
      <c r="T3" s="511"/>
      <c r="U3" s="511"/>
      <c r="V3" s="511"/>
      <c r="W3" s="511"/>
      <c r="X3" s="511"/>
      <c r="Y3" s="511"/>
      <c r="Z3" s="511"/>
      <c r="AA3" s="510"/>
    </row>
    <row r="4" spans="1:27" ht="15" x14ac:dyDescent="0.25">
      <c r="A4" s="51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0"/>
    </row>
    <row r="5" spans="1:27" ht="15" x14ac:dyDescent="0.25">
      <c r="A5" s="511"/>
      <c r="B5" s="513"/>
      <c r="C5" s="511" t="s">
        <v>291</v>
      </c>
      <c r="D5" s="511"/>
      <c r="E5" s="511"/>
      <c r="F5" s="511"/>
      <c r="G5" s="511"/>
      <c r="H5" s="511"/>
      <c r="I5" s="511"/>
      <c r="J5" s="511"/>
      <c r="K5" s="511"/>
      <c r="L5" s="511"/>
      <c r="M5" s="511"/>
      <c r="N5" s="511"/>
      <c r="O5" s="511"/>
      <c r="P5" s="511"/>
      <c r="Q5" s="511"/>
      <c r="R5" s="511"/>
      <c r="S5" s="511"/>
      <c r="T5" s="511"/>
      <c r="U5" s="511"/>
      <c r="V5" s="511"/>
      <c r="W5" s="511"/>
      <c r="X5" s="511"/>
      <c r="Y5" s="511"/>
      <c r="Z5" s="511"/>
      <c r="AA5" s="510"/>
    </row>
    <row r="6" spans="1:27" ht="15" x14ac:dyDescent="0.25">
      <c r="A6" s="511"/>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0"/>
    </row>
    <row r="7" spans="1:27" ht="15" x14ac:dyDescent="0.25">
      <c r="A7" s="511" t="s">
        <v>292</v>
      </c>
      <c r="B7" s="511" t="s">
        <v>293</v>
      </c>
      <c r="C7" s="511"/>
      <c r="D7" s="511"/>
      <c r="E7" s="511"/>
      <c r="F7" s="511"/>
      <c r="G7" s="511"/>
      <c r="H7" s="511"/>
      <c r="I7" s="511"/>
      <c r="J7" s="511"/>
      <c r="K7" s="511"/>
      <c r="L7" s="511"/>
      <c r="M7" s="511"/>
      <c r="N7" s="511"/>
      <c r="O7" s="511"/>
      <c r="P7" s="511"/>
      <c r="Q7" s="511"/>
      <c r="R7" s="511"/>
      <c r="S7" s="511"/>
      <c r="T7" s="511"/>
      <c r="U7" s="511"/>
      <c r="V7" s="511"/>
      <c r="W7" s="511"/>
      <c r="X7" s="511"/>
      <c r="Y7" s="511"/>
      <c r="Z7" s="511"/>
      <c r="AA7" s="510"/>
    </row>
    <row r="8" spans="1:27" ht="15" x14ac:dyDescent="0.25">
      <c r="A8" s="511"/>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0"/>
    </row>
    <row r="9" spans="1:27" s="525" customFormat="1" ht="21.75" customHeight="1" x14ac:dyDescent="0.2">
      <c r="A9" s="523" t="s">
        <v>294</v>
      </c>
      <c r="B9" s="523" t="s">
        <v>295</v>
      </c>
      <c r="C9" s="523"/>
      <c r="D9" s="523"/>
      <c r="E9" s="523"/>
      <c r="F9" s="523"/>
      <c r="G9" s="523"/>
      <c r="H9" s="523"/>
      <c r="I9" s="523"/>
      <c r="J9" s="523"/>
      <c r="K9" s="523"/>
      <c r="L9" s="523"/>
      <c r="M9" s="523"/>
      <c r="N9" s="523"/>
      <c r="O9" s="523"/>
      <c r="P9" s="523"/>
      <c r="Q9" s="523"/>
      <c r="R9" s="523"/>
      <c r="S9" s="523"/>
      <c r="T9" s="523"/>
      <c r="U9" s="523"/>
      <c r="V9" s="523"/>
      <c r="W9" s="523"/>
      <c r="X9" s="523"/>
      <c r="Y9" s="523"/>
      <c r="Z9" s="523"/>
      <c r="AA9" s="524"/>
    </row>
    <row r="10" spans="1:27" s="525" customFormat="1" ht="23.25" customHeight="1" x14ac:dyDescent="0.2">
      <c r="A10" s="523"/>
      <c r="B10" s="523" t="s">
        <v>296</v>
      </c>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4"/>
    </row>
    <row r="11" spans="1:27" s="522" customFormat="1" ht="19.5" customHeight="1" x14ac:dyDescent="0.2">
      <c r="A11" s="520"/>
      <c r="B11" s="520" t="s">
        <v>236</v>
      </c>
      <c r="C11" s="529" t="s">
        <v>297</v>
      </c>
      <c r="D11" s="529"/>
      <c r="E11" s="529"/>
      <c r="F11" s="529"/>
      <c r="G11" s="529"/>
      <c r="H11" s="529"/>
      <c r="I11" s="520"/>
      <c r="J11" s="520"/>
      <c r="K11" s="520"/>
      <c r="L11" s="520"/>
      <c r="M11" s="520"/>
      <c r="N11" s="520"/>
      <c r="O11" s="520"/>
      <c r="P11" s="520"/>
      <c r="Q11" s="520"/>
      <c r="R11" s="520"/>
      <c r="S11" s="520"/>
      <c r="T11" s="520"/>
      <c r="U11" s="520"/>
      <c r="V11" s="520"/>
      <c r="W11" s="520"/>
      <c r="X11" s="520"/>
      <c r="Y11" s="520"/>
      <c r="Z11" s="520"/>
      <c r="AA11" s="521"/>
    </row>
    <row r="12" spans="1:27" ht="15" x14ac:dyDescent="0.25">
      <c r="A12" s="511"/>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0"/>
    </row>
    <row r="13" spans="1:27" ht="15" x14ac:dyDescent="0.25">
      <c r="A13" s="511"/>
      <c r="B13" s="511"/>
      <c r="C13" s="514" t="s">
        <v>237</v>
      </c>
      <c r="D13" s="514" t="s">
        <v>298</v>
      </c>
      <c r="E13" s="514"/>
      <c r="F13" s="514"/>
      <c r="G13" s="514"/>
      <c r="H13" s="511"/>
      <c r="I13" s="511"/>
      <c r="J13" s="511"/>
      <c r="K13" s="511"/>
      <c r="L13" s="511"/>
      <c r="M13" s="511"/>
      <c r="N13" s="511"/>
      <c r="O13" s="511"/>
      <c r="P13" s="511"/>
      <c r="Q13" s="511"/>
      <c r="R13" s="511"/>
      <c r="S13" s="511"/>
      <c r="T13" s="511"/>
      <c r="U13" s="511"/>
      <c r="V13" s="511"/>
      <c r="W13" s="511"/>
      <c r="X13" s="511"/>
      <c r="Y13" s="511"/>
      <c r="Z13" s="511"/>
      <c r="AA13" s="510"/>
    </row>
    <row r="14" spans="1:27" ht="15" x14ac:dyDescent="0.25">
      <c r="A14" s="511"/>
      <c r="B14" s="511"/>
      <c r="C14" s="511"/>
      <c r="D14" s="511" t="s">
        <v>299</v>
      </c>
      <c r="E14" s="511"/>
      <c r="F14" s="511"/>
      <c r="G14" s="511"/>
      <c r="H14" s="511"/>
      <c r="I14" s="511"/>
      <c r="J14" s="511"/>
      <c r="K14" s="511"/>
      <c r="L14" s="511"/>
      <c r="M14" s="511"/>
      <c r="N14" s="511"/>
      <c r="O14" s="511"/>
      <c r="P14" s="511"/>
      <c r="Q14" s="511"/>
      <c r="R14" s="511"/>
      <c r="S14" s="511"/>
      <c r="T14" s="511"/>
      <c r="U14" s="511"/>
      <c r="V14" s="511"/>
      <c r="W14" s="511"/>
      <c r="X14" s="511"/>
      <c r="Y14" s="511"/>
      <c r="Z14" s="511"/>
      <c r="AA14" s="510"/>
    </row>
    <row r="15" spans="1:27" ht="15" x14ac:dyDescent="0.25">
      <c r="A15" s="511"/>
      <c r="B15" s="511"/>
      <c r="C15" s="511"/>
      <c r="D15" s="511" t="s">
        <v>300</v>
      </c>
      <c r="E15" s="511"/>
      <c r="F15" s="511"/>
      <c r="G15" s="511"/>
      <c r="H15" s="511"/>
      <c r="I15" s="511"/>
      <c r="J15" s="511"/>
      <c r="K15" s="511"/>
      <c r="L15" s="511"/>
      <c r="M15" s="511"/>
      <c r="N15" s="511"/>
      <c r="O15" s="511"/>
      <c r="P15" s="511"/>
      <c r="Q15" s="511"/>
      <c r="R15" s="511"/>
      <c r="S15" s="511"/>
      <c r="T15" s="511"/>
      <c r="U15" s="511"/>
      <c r="V15" s="511"/>
      <c r="W15" s="511"/>
      <c r="X15" s="511"/>
      <c r="Y15" s="511"/>
      <c r="Z15" s="511"/>
      <c r="AA15" s="510"/>
    </row>
    <row r="16" spans="1:27" ht="15" x14ac:dyDescent="0.25">
      <c r="A16" s="511"/>
      <c r="B16" s="511"/>
      <c r="C16" s="511"/>
      <c r="D16" s="511" t="s">
        <v>443</v>
      </c>
      <c r="E16" s="511"/>
      <c r="F16" s="511"/>
      <c r="G16" s="511"/>
      <c r="H16" s="511"/>
      <c r="I16" s="511"/>
      <c r="J16" s="511"/>
      <c r="K16" s="511"/>
      <c r="L16" s="511"/>
      <c r="M16" s="511"/>
      <c r="N16" s="511"/>
      <c r="O16" s="511"/>
      <c r="P16" s="511"/>
      <c r="Q16" s="511"/>
      <c r="R16" s="511"/>
      <c r="S16" s="511"/>
      <c r="T16" s="511"/>
      <c r="U16" s="511"/>
      <c r="V16" s="511"/>
      <c r="W16" s="511"/>
      <c r="X16" s="511"/>
      <c r="Y16" s="511"/>
      <c r="Z16" s="511"/>
      <c r="AA16" s="510"/>
    </row>
    <row r="17" spans="1:27" ht="15" x14ac:dyDescent="0.25">
      <c r="A17" s="511"/>
      <c r="B17" s="511"/>
      <c r="C17" s="511"/>
      <c r="D17" s="511" t="s">
        <v>444</v>
      </c>
      <c r="E17" s="511"/>
      <c r="F17" s="511"/>
      <c r="G17" s="511"/>
      <c r="H17" s="511"/>
      <c r="I17" s="511"/>
      <c r="J17" s="511"/>
      <c r="K17" s="511"/>
      <c r="L17" s="511"/>
      <c r="M17" s="511"/>
      <c r="N17" s="511"/>
      <c r="O17" s="511"/>
      <c r="P17" s="511"/>
      <c r="Q17" s="511"/>
      <c r="R17" s="511"/>
      <c r="S17" s="511"/>
      <c r="T17" s="511"/>
      <c r="U17" s="511"/>
      <c r="V17" s="511"/>
      <c r="W17" s="511"/>
      <c r="X17" s="511"/>
      <c r="Y17" s="511"/>
      <c r="Z17" s="511"/>
      <c r="AA17" s="510"/>
    </row>
    <row r="18" spans="1:27" ht="15" x14ac:dyDescent="0.25">
      <c r="A18" s="511"/>
      <c r="B18" s="511"/>
      <c r="C18" s="511"/>
      <c r="D18" s="511" t="s">
        <v>301</v>
      </c>
      <c r="E18" s="511"/>
      <c r="F18" s="511"/>
      <c r="G18" s="511"/>
      <c r="H18" s="511"/>
      <c r="I18" s="511"/>
      <c r="J18" s="511"/>
      <c r="K18" s="511"/>
      <c r="L18" s="511"/>
      <c r="M18" s="511"/>
      <c r="N18" s="511"/>
      <c r="O18" s="511"/>
      <c r="P18" s="511"/>
      <c r="Q18" s="511"/>
      <c r="R18" s="511"/>
      <c r="S18" s="511"/>
      <c r="T18" s="511"/>
      <c r="U18" s="511"/>
      <c r="V18" s="511"/>
      <c r="W18" s="511"/>
      <c r="X18" s="511"/>
      <c r="Y18" s="511"/>
      <c r="Z18" s="511"/>
      <c r="AA18" s="510"/>
    </row>
    <row r="19" spans="1:27" ht="15" x14ac:dyDescent="0.25">
      <c r="A19" s="511"/>
      <c r="B19" s="511"/>
      <c r="C19" s="511"/>
      <c r="D19" s="511" t="s">
        <v>302</v>
      </c>
      <c r="E19" s="511"/>
      <c r="F19" s="511"/>
      <c r="G19" s="511"/>
      <c r="H19" s="511"/>
      <c r="I19" s="511"/>
      <c r="J19" s="511"/>
      <c r="K19" s="511"/>
      <c r="L19" s="511"/>
      <c r="M19" s="511"/>
      <c r="N19" s="511"/>
      <c r="O19" s="511"/>
      <c r="P19" s="511"/>
      <c r="Q19" s="511"/>
      <c r="R19" s="511"/>
      <c r="S19" s="511"/>
      <c r="T19" s="511"/>
      <c r="U19" s="511"/>
      <c r="V19" s="511"/>
      <c r="W19" s="511"/>
      <c r="X19" s="511"/>
      <c r="Y19" s="511"/>
      <c r="Z19" s="511"/>
      <c r="AA19" s="510"/>
    </row>
    <row r="20" spans="1:27" ht="15" x14ac:dyDescent="0.25">
      <c r="A20" s="511"/>
      <c r="B20" s="511"/>
      <c r="C20" s="511"/>
      <c r="D20" s="511" t="s">
        <v>303</v>
      </c>
      <c r="E20" s="511"/>
      <c r="F20" s="511"/>
      <c r="G20" s="511"/>
      <c r="H20" s="511"/>
      <c r="I20" s="511"/>
      <c r="J20" s="511"/>
      <c r="K20" s="511"/>
      <c r="L20" s="511"/>
      <c r="M20" s="511"/>
      <c r="N20" s="511"/>
      <c r="O20" s="511"/>
      <c r="P20" s="511"/>
      <c r="Q20" s="511"/>
      <c r="R20" s="511"/>
      <c r="S20" s="511"/>
      <c r="T20" s="511"/>
      <c r="U20" s="511"/>
      <c r="V20" s="511"/>
      <c r="W20" s="511"/>
      <c r="X20" s="511"/>
      <c r="Y20" s="511"/>
      <c r="Z20" s="511"/>
      <c r="AA20" s="510"/>
    </row>
    <row r="21" spans="1:27" ht="15" x14ac:dyDescent="0.25">
      <c r="A21" s="511"/>
      <c r="B21" s="511"/>
      <c r="C21" s="511"/>
      <c r="D21" s="511" t="s">
        <v>304</v>
      </c>
      <c r="E21" s="511"/>
      <c r="F21" s="511"/>
      <c r="G21" s="511"/>
      <c r="H21" s="511"/>
      <c r="I21" s="511"/>
      <c r="J21" s="511"/>
      <c r="K21" s="511"/>
      <c r="L21" s="511"/>
      <c r="M21" s="511"/>
      <c r="N21" s="511"/>
      <c r="O21" s="511"/>
      <c r="P21" s="511"/>
      <c r="Q21" s="511"/>
      <c r="R21" s="511"/>
      <c r="S21" s="511"/>
      <c r="T21" s="511"/>
      <c r="U21" s="511"/>
      <c r="V21" s="511"/>
      <c r="W21" s="511"/>
      <c r="X21" s="511"/>
      <c r="Y21" s="511"/>
      <c r="Z21" s="511"/>
      <c r="AA21" s="510"/>
    </row>
    <row r="22" spans="1:27" ht="15" x14ac:dyDescent="0.25">
      <c r="A22" s="511"/>
      <c r="B22" s="511"/>
      <c r="C22" s="511"/>
      <c r="D22" s="511" t="s">
        <v>305</v>
      </c>
      <c r="E22" s="511"/>
      <c r="F22" s="511"/>
      <c r="G22" s="511"/>
      <c r="H22" s="511"/>
      <c r="I22" s="511"/>
      <c r="J22" s="511"/>
      <c r="K22" s="511"/>
      <c r="L22" s="511"/>
      <c r="M22" s="511"/>
      <c r="N22" s="511"/>
      <c r="O22" s="511"/>
      <c r="P22" s="511"/>
      <c r="Q22" s="511"/>
      <c r="R22" s="511"/>
      <c r="S22" s="511"/>
      <c r="T22" s="511"/>
      <c r="U22" s="511"/>
      <c r="V22" s="511"/>
      <c r="W22" s="511"/>
      <c r="X22" s="511"/>
      <c r="Y22" s="511"/>
      <c r="Z22" s="511"/>
      <c r="AA22" s="510"/>
    </row>
    <row r="23" spans="1:27" ht="15" x14ac:dyDescent="0.25">
      <c r="A23" s="511"/>
      <c r="B23" s="511"/>
      <c r="C23" s="511"/>
      <c r="D23" s="511" t="s">
        <v>306</v>
      </c>
      <c r="E23" s="511"/>
      <c r="F23" s="511"/>
      <c r="G23" s="511"/>
      <c r="H23" s="511"/>
      <c r="I23" s="511"/>
      <c r="J23" s="511"/>
      <c r="K23" s="511"/>
      <c r="L23" s="511"/>
      <c r="M23" s="511"/>
      <c r="N23" s="511"/>
      <c r="O23" s="511"/>
      <c r="P23" s="511"/>
      <c r="Q23" s="511"/>
      <c r="R23" s="511"/>
      <c r="S23" s="511"/>
      <c r="T23" s="511"/>
      <c r="U23" s="511"/>
      <c r="V23" s="511"/>
      <c r="W23" s="511"/>
      <c r="X23" s="511"/>
      <c r="Y23" s="511"/>
      <c r="Z23" s="511"/>
      <c r="AA23" s="510"/>
    </row>
    <row r="24" spans="1:27" ht="15" x14ac:dyDescent="0.25">
      <c r="A24" s="511"/>
      <c r="B24" s="511"/>
      <c r="C24" s="511"/>
      <c r="D24" s="511" t="s">
        <v>307</v>
      </c>
      <c r="E24" s="511"/>
      <c r="F24" s="511"/>
      <c r="G24" s="511"/>
      <c r="H24" s="511"/>
      <c r="I24" s="511"/>
      <c r="J24" s="511"/>
      <c r="K24" s="511"/>
      <c r="L24" s="511"/>
      <c r="M24" s="511"/>
      <c r="N24" s="511"/>
      <c r="O24" s="511"/>
      <c r="P24" s="511"/>
      <c r="Q24" s="511"/>
      <c r="R24" s="511"/>
      <c r="S24" s="511"/>
      <c r="T24" s="511"/>
      <c r="U24" s="511"/>
      <c r="V24" s="511"/>
      <c r="W24" s="511"/>
      <c r="X24" s="511"/>
      <c r="Y24" s="511"/>
      <c r="Z24" s="511"/>
      <c r="AA24" s="510"/>
    </row>
    <row r="25" spans="1:27" ht="15" x14ac:dyDescent="0.25">
      <c r="A25" s="511"/>
      <c r="B25" s="511"/>
      <c r="C25" s="511"/>
      <c r="D25" s="511" t="s">
        <v>447</v>
      </c>
      <c r="E25" s="511"/>
      <c r="F25" s="511"/>
      <c r="G25" s="511"/>
      <c r="H25" s="511"/>
      <c r="I25" s="511"/>
      <c r="J25" s="511"/>
      <c r="K25" s="511"/>
      <c r="L25" s="511"/>
      <c r="M25" s="511"/>
      <c r="N25" s="511"/>
      <c r="O25" s="511"/>
      <c r="P25" s="511"/>
      <c r="Q25" s="511"/>
      <c r="R25" s="511"/>
      <c r="S25" s="511"/>
      <c r="T25" s="511"/>
      <c r="U25" s="511"/>
      <c r="V25" s="511"/>
      <c r="W25" s="511"/>
      <c r="X25" s="511"/>
      <c r="Y25" s="511"/>
      <c r="Z25" s="511"/>
      <c r="AA25" s="510"/>
    </row>
    <row r="26" spans="1:27" ht="15" x14ac:dyDescent="0.25">
      <c r="A26" s="511"/>
      <c r="B26" s="511"/>
      <c r="C26" s="511"/>
      <c r="D26" s="511" t="s">
        <v>448</v>
      </c>
      <c r="E26" s="511"/>
      <c r="F26" s="511"/>
      <c r="G26" s="511"/>
      <c r="H26" s="511"/>
      <c r="I26" s="511"/>
      <c r="J26" s="511"/>
      <c r="K26" s="511"/>
      <c r="L26" s="511"/>
      <c r="M26" s="511"/>
      <c r="N26" s="511"/>
      <c r="O26" s="511"/>
      <c r="P26" s="511"/>
      <c r="Q26" s="511"/>
      <c r="R26" s="511"/>
      <c r="S26" s="511"/>
      <c r="T26" s="511"/>
      <c r="U26" s="511"/>
      <c r="V26" s="511"/>
      <c r="W26" s="511"/>
      <c r="X26" s="511"/>
      <c r="Y26" s="511"/>
      <c r="Z26" s="511"/>
      <c r="AA26" s="510"/>
    </row>
    <row r="27" spans="1:27" ht="15" x14ac:dyDescent="0.25">
      <c r="A27" s="511"/>
      <c r="B27" s="511"/>
      <c r="C27" s="511"/>
      <c r="D27" s="511" t="s">
        <v>308</v>
      </c>
      <c r="E27" s="511"/>
      <c r="F27" s="511"/>
      <c r="G27" s="511"/>
      <c r="H27" s="511"/>
      <c r="I27" s="511"/>
      <c r="J27" s="511"/>
      <c r="K27" s="511"/>
      <c r="L27" s="511"/>
      <c r="M27" s="511"/>
      <c r="N27" s="511"/>
      <c r="O27" s="511"/>
      <c r="P27" s="511"/>
      <c r="Q27" s="511"/>
      <c r="R27" s="511"/>
      <c r="S27" s="511"/>
      <c r="T27" s="511"/>
      <c r="U27" s="511"/>
      <c r="V27" s="511"/>
      <c r="W27" s="511"/>
      <c r="X27" s="511"/>
      <c r="Y27" s="511"/>
      <c r="Z27" s="511"/>
      <c r="AA27" s="510"/>
    </row>
    <row r="28" spans="1:27" ht="15" x14ac:dyDescent="0.25">
      <c r="A28" s="511"/>
      <c r="B28" s="511"/>
      <c r="C28" s="511"/>
      <c r="D28" s="511" t="s">
        <v>309</v>
      </c>
      <c r="E28" s="511"/>
      <c r="F28" s="511"/>
      <c r="G28" s="511"/>
      <c r="H28" s="511"/>
      <c r="I28" s="511"/>
      <c r="J28" s="511"/>
      <c r="K28" s="511"/>
      <c r="L28" s="511"/>
      <c r="M28" s="511"/>
      <c r="N28" s="511"/>
      <c r="O28" s="511"/>
      <c r="P28" s="511"/>
      <c r="Q28" s="511"/>
      <c r="R28" s="511"/>
      <c r="S28" s="511"/>
      <c r="T28" s="511"/>
      <c r="U28" s="511"/>
      <c r="V28" s="511"/>
      <c r="W28" s="511"/>
      <c r="X28" s="511"/>
      <c r="Y28" s="511"/>
      <c r="Z28" s="511"/>
      <c r="AA28" s="510"/>
    </row>
    <row r="29" spans="1:27" ht="15" x14ac:dyDescent="0.25">
      <c r="A29" s="511"/>
      <c r="B29" s="511"/>
      <c r="C29" s="511"/>
      <c r="D29" s="511" t="s">
        <v>310</v>
      </c>
      <c r="E29" s="511"/>
      <c r="F29" s="511"/>
      <c r="G29" s="511"/>
      <c r="H29" s="511"/>
      <c r="I29" s="511"/>
      <c r="J29" s="511"/>
      <c r="K29" s="511"/>
      <c r="L29" s="511"/>
      <c r="M29" s="511"/>
      <c r="N29" s="511"/>
      <c r="O29" s="511"/>
      <c r="P29" s="511"/>
      <c r="Q29" s="511"/>
      <c r="R29" s="511"/>
      <c r="S29" s="511"/>
      <c r="T29" s="511"/>
      <c r="U29" s="511"/>
      <c r="V29" s="511"/>
      <c r="W29" s="511"/>
      <c r="X29" s="511"/>
      <c r="Y29" s="511"/>
      <c r="Z29" s="511"/>
      <c r="AA29" s="510"/>
    </row>
    <row r="30" spans="1:27" ht="15" x14ac:dyDescent="0.25">
      <c r="A30" s="511"/>
      <c r="B30" s="511"/>
      <c r="C30" s="511"/>
      <c r="D30" s="511" t="s">
        <v>311</v>
      </c>
      <c r="E30" s="511"/>
      <c r="F30" s="511"/>
      <c r="G30" s="511"/>
      <c r="H30" s="511"/>
      <c r="I30" s="511"/>
      <c r="J30" s="511"/>
      <c r="K30" s="511"/>
      <c r="L30" s="511"/>
      <c r="M30" s="511"/>
      <c r="N30" s="511"/>
      <c r="O30" s="511"/>
      <c r="P30" s="511"/>
      <c r="Q30" s="511"/>
      <c r="R30" s="511"/>
      <c r="S30" s="511"/>
      <c r="T30" s="511"/>
      <c r="U30" s="511"/>
      <c r="V30" s="511"/>
      <c r="W30" s="511"/>
      <c r="X30" s="511"/>
      <c r="Y30" s="511"/>
      <c r="Z30" s="511"/>
      <c r="AA30" s="510"/>
    </row>
    <row r="31" spans="1:27" ht="15" x14ac:dyDescent="0.25">
      <c r="A31" s="511"/>
      <c r="B31" s="511"/>
      <c r="C31" s="511"/>
      <c r="D31" s="511" t="s">
        <v>312</v>
      </c>
      <c r="E31" s="511"/>
      <c r="F31" s="511"/>
      <c r="G31" s="511"/>
      <c r="H31" s="511"/>
      <c r="I31" s="511"/>
      <c r="J31" s="511"/>
      <c r="K31" s="511"/>
      <c r="L31" s="511"/>
      <c r="M31" s="511"/>
      <c r="N31" s="511"/>
      <c r="O31" s="511"/>
      <c r="P31" s="511"/>
      <c r="Q31" s="511"/>
      <c r="R31" s="511"/>
      <c r="S31" s="511"/>
      <c r="T31" s="511"/>
      <c r="U31" s="511"/>
      <c r="V31" s="511"/>
      <c r="W31" s="511"/>
      <c r="X31" s="511"/>
      <c r="Y31" s="511"/>
      <c r="Z31" s="511"/>
      <c r="AA31" s="510"/>
    </row>
    <row r="32" spans="1:27" ht="15" x14ac:dyDescent="0.25">
      <c r="A32" s="511"/>
      <c r="B32" s="511"/>
      <c r="C32" s="511"/>
      <c r="D32" s="511" t="s">
        <v>449</v>
      </c>
      <c r="E32" s="511"/>
      <c r="F32" s="511"/>
      <c r="G32" s="511"/>
      <c r="H32" s="511"/>
      <c r="I32" s="511"/>
      <c r="J32" s="511"/>
      <c r="K32" s="511"/>
      <c r="L32" s="511"/>
      <c r="M32" s="511"/>
      <c r="N32" s="511"/>
      <c r="O32" s="511"/>
      <c r="P32" s="511"/>
      <c r="Q32" s="511"/>
      <c r="R32" s="511"/>
      <c r="S32" s="511"/>
      <c r="T32" s="511"/>
      <c r="U32" s="511"/>
      <c r="V32" s="511"/>
      <c r="W32" s="511"/>
      <c r="X32" s="511"/>
      <c r="Y32" s="511"/>
      <c r="Z32" s="511"/>
      <c r="AA32" s="510"/>
    </row>
    <row r="33" spans="1:27" ht="15" x14ac:dyDescent="0.25">
      <c r="A33" s="511"/>
      <c r="B33" s="511"/>
      <c r="C33" s="511"/>
      <c r="D33" s="515" t="s">
        <v>313</v>
      </c>
      <c r="E33" s="515"/>
      <c r="F33" s="515"/>
      <c r="G33" s="515"/>
      <c r="H33" s="515"/>
      <c r="I33" s="515"/>
      <c r="J33" s="515"/>
      <c r="K33" s="511"/>
      <c r="L33" s="511"/>
      <c r="M33" s="511"/>
      <c r="N33" s="511"/>
      <c r="O33" s="511"/>
      <c r="P33" s="511"/>
      <c r="Q33" s="511"/>
      <c r="R33" s="511"/>
      <c r="S33" s="511"/>
      <c r="T33" s="511"/>
      <c r="U33" s="511"/>
      <c r="V33" s="511"/>
      <c r="W33" s="511"/>
      <c r="X33" s="511"/>
      <c r="Y33" s="511"/>
      <c r="Z33" s="511"/>
      <c r="AA33" s="510"/>
    </row>
    <row r="34" spans="1:27" ht="15" x14ac:dyDescent="0.25">
      <c r="A34" s="511"/>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0"/>
    </row>
    <row r="35" spans="1:27" s="519" customFormat="1" ht="15" x14ac:dyDescent="0.25">
      <c r="A35" s="514"/>
      <c r="B35" s="514"/>
      <c r="C35" s="514" t="s">
        <v>242</v>
      </c>
      <c r="D35" s="514" t="s">
        <v>314</v>
      </c>
      <c r="E35" s="514"/>
      <c r="F35" s="514"/>
      <c r="G35" s="514"/>
      <c r="H35" s="514"/>
      <c r="I35" s="514"/>
      <c r="J35" s="514"/>
      <c r="K35" s="514"/>
      <c r="L35" s="514"/>
      <c r="M35" s="514"/>
      <c r="N35" s="514"/>
      <c r="O35" s="514"/>
      <c r="P35" s="514"/>
      <c r="Q35" s="514"/>
      <c r="R35" s="514"/>
      <c r="S35" s="514"/>
      <c r="T35" s="514"/>
      <c r="U35" s="514"/>
      <c r="V35" s="514"/>
      <c r="W35" s="514"/>
      <c r="X35" s="514"/>
      <c r="Y35" s="514"/>
      <c r="Z35" s="514"/>
      <c r="AA35" s="518"/>
    </row>
    <row r="36" spans="1:27" ht="15" x14ac:dyDescent="0.25">
      <c r="A36" s="511"/>
      <c r="B36" s="511"/>
      <c r="C36" s="511"/>
      <c r="D36" s="511" t="s">
        <v>315</v>
      </c>
      <c r="E36" s="511"/>
      <c r="F36" s="511"/>
      <c r="G36" s="511"/>
      <c r="H36" s="511"/>
      <c r="I36" s="511"/>
      <c r="J36" s="511"/>
      <c r="K36" s="511"/>
      <c r="L36" s="511"/>
      <c r="M36" s="511"/>
      <c r="N36" s="511"/>
      <c r="O36" s="511"/>
      <c r="P36" s="511"/>
      <c r="Q36" s="511"/>
      <c r="R36" s="511"/>
      <c r="S36" s="511"/>
      <c r="T36" s="511"/>
      <c r="U36" s="511"/>
      <c r="V36" s="511"/>
      <c r="W36" s="511"/>
      <c r="X36" s="511"/>
      <c r="Y36" s="511"/>
      <c r="Z36" s="511"/>
      <c r="AA36" s="510"/>
    </row>
    <row r="37" spans="1:27" ht="15" x14ac:dyDescent="0.25">
      <c r="A37" s="511"/>
      <c r="B37" s="511"/>
      <c r="C37" s="511"/>
      <c r="D37" s="511" t="s">
        <v>446</v>
      </c>
      <c r="E37" s="511"/>
      <c r="F37" s="511"/>
      <c r="G37" s="511"/>
      <c r="H37" s="511"/>
      <c r="I37" s="511"/>
      <c r="J37" s="511"/>
      <c r="K37" s="511"/>
      <c r="L37" s="511"/>
      <c r="M37" s="511"/>
      <c r="N37" s="511"/>
      <c r="O37" s="511"/>
      <c r="P37" s="511"/>
      <c r="Q37" s="511"/>
      <c r="R37" s="511"/>
      <c r="S37" s="511"/>
      <c r="T37" s="511"/>
      <c r="U37" s="511"/>
      <c r="V37" s="511"/>
      <c r="W37" s="511"/>
      <c r="X37" s="511"/>
      <c r="Y37" s="511"/>
      <c r="Z37" s="511"/>
      <c r="AA37" s="510"/>
    </row>
    <row r="38" spans="1:27" ht="15" x14ac:dyDescent="0.25">
      <c r="A38" s="511"/>
      <c r="B38" s="511"/>
      <c r="C38" s="511"/>
      <c r="D38" s="515" t="s">
        <v>313</v>
      </c>
      <c r="E38" s="515"/>
      <c r="F38" s="515"/>
      <c r="G38" s="515"/>
      <c r="H38" s="515"/>
      <c r="I38" s="515"/>
      <c r="J38" s="515"/>
      <c r="K38" s="511"/>
      <c r="L38" s="511"/>
      <c r="M38" s="511"/>
      <c r="N38" s="511"/>
      <c r="O38" s="511"/>
      <c r="P38" s="511"/>
      <c r="Q38" s="511"/>
      <c r="R38" s="511"/>
      <c r="S38" s="511"/>
      <c r="T38" s="511"/>
      <c r="U38" s="511"/>
      <c r="V38" s="511"/>
      <c r="W38" s="511"/>
      <c r="X38" s="511"/>
      <c r="Y38" s="511"/>
      <c r="Z38" s="511"/>
      <c r="AA38" s="510"/>
    </row>
    <row r="39" spans="1:27" ht="14.25" customHeight="1" x14ac:dyDescent="0.25">
      <c r="A39" s="51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0"/>
    </row>
    <row r="40" spans="1:27" s="519" customFormat="1" ht="14.25" customHeight="1" x14ac:dyDescent="0.25">
      <c r="A40" s="514"/>
      <c r="B40" s="514"/>
      <c r="C40" s="514" t="s">
        <v>246</v>
      </c>
      <c r="D40" s="514" t="s">
        <v>316</v>
      </c>
      <c r="E40" s="514"/>
      <c r="F40" s="514"/>
      <c r="G40" s="514"/>
      <c r="H40" s="514"/>
      <c r="I40" s="514"/>
      <c r="J40" s="514"/>
      <c r="K40" s="514"/>
      <c r="L40" s="514"/>
      <c r="M40" s="514"/>
      <c r="N40" s="514"/>
      <c r="O40" s="514"/>
      <c r="P40" s="514"/>
      <c r="Q40" s="514"/>
      <c r="R40" s="514"/>
      <c r="S40" s="514"/>
      <c r="T40" s="514"/>
      <c r="U40" s="514"/>
      <c r="V40" s="514"/>
      <c r="W40" s="514"/>
      <c r="X40" s="514"/>
      <c r="Y40" s="514"/>
      <c r="Z40" s="514"/>
      <c r="AA40" s="518"/>
    </row>
    <row r="41" spans="1:27" ht="15" x14ac:dyDescent="0.25">
      <c r="A41" s="511"/>
      <c r="B41" s="511"/>
      <c r="C41" s="511"/>
      <c r="D41" s="511" t="s">
        <v>317</v>
      </c>
      <c r="E41" s="511"/>
      <c r="F41" s="511"/>
      <c r="G41" s="511"/>
      <c r="H41" s="511"/>
      <c r="I41" s="511"/>
      <c r="J41" s="511"/>
      <c r="K41" s="511"/>
      <c r="L41" s="511"/>
      <c r="M41" s="511"/>
      <c r="N41" s="511"/>
      <c r="O41" s="511"/>
      <c r="P41" s="511"/>
      <c r="Q41" s="511"/>
      <c r="R41" s="511"/>
      <c r="S41" s="511"/>
      <c r="T41" s="511"/>
      <c r="U41" s="511"/>
      <c r="V41" s="511"/>
      <c r="W41" s="511"/>
      <c r="X41" s="511"/>
      <c r="Y41" s="511"/>
      <c r="Z41" s="511"/>
      <c r="AA41" s="510"/>
    </row>
    <row r="42" spans="1:27" ht="15" x14ac:dyDescent="0.25">
      <c r="A42" s="511"/>
      <c r="B42" s="511"/>
      <c r="C42" s="511"/>
      <c r="D42" s="515" t="s">
        <v>313</v>
      </c>
      <c r="E42" s="515"/>
      <c r="F42" s="515"/>
      <c r="G42" s="515"/>
      <c r="H42" s="515"/>
      <c r="I42" s="515"/>
      <c r="J42" s="515"/>
      <c r="K42" s="511"/>
      <c r="L42" s="511"/>
      <c r="M42" s="511"/>
      <c r="N42" s="511"/>
      <c r="O42" s="511"/>
      <c r="P42" s="511"/>
      <c r="Q42" s="511"/>
      <c r="R42" s="511"/>
      <c r="S42" s="511"/>
      <c r="T42" s="511"/>
      <c r="U42" s="511"/>
      <c r="V42" s="511"/>
      <c r="W42" s="511"/>
      <c r="X42" s="511"/>
      <c r="Y42" s="511"/>
      <c r="Z42" s="511"/>
      <c r="AA42" s="510"/>
    </row>
    <row r="43" spans="1:27" ht="15" x14ac:dyDescent="0.25">
      <c r="A43" s="511"/>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0"/>
    </row>
    <row r="44" spans="1:27" ht="15" x14ac:dyDescent="0.25">
      <c r="A44" s="511"/>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0"/>
    </row>
    <row r="45" spans="1:27" ht="32.25" customHeight="1" x14ac:dyDescent="0.25">
      <c r="A45" s="516" t="s">
        <v>318</v>
      </c>
      <c r="B45" s="669" t="s">
        <v>455</v>
      </c>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510"/>
    </row>
    <row r="46" spans="1:27" s="528" customFormat="1" ht="19.5" customHeight="1" x14ac:dyDescent="0.2">
      <c r="A46" s="526"/>
      <c r="B46" s="520" t="s">
        <v>243</v>
      </c>
      <c r="C46" s="526" t="s">
        <v>454</v>
      </c>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7"/>
    </row>
    <row r="47" spans="1:27" s="519" customFormat="1" ht="15" x14ac:dyDescent="0.25">
      <c r="A47" s="514"/>
      <c r="B47" s="514" t="s">
        <v>244</v>
      </c>
      <c r="C47" s="584" t="s">
        <v>319</v>
      </c>
      <c r="D47" s="584"/>
      <c r="E47" s="584"/>
      <c r="F47" s="584"/>
      <c r="G47" s="584"/>
      <c r="H47" s="514"/>
      <c r="I47" s="514"/>
      <c r="J47" s="514"/>
      <c r="K47" s="514"/>
      <c r="L47" s="514"/>
      <c r="M47" s="514"/>
      <c r="N47" s="514"/>
      <c r="O47" s="514"/>
      <c r="P47" s="514"/>
      <c r="Q47" s="514"/>
      <c r="R47" s="514"/>
      <c r="S47" s="514"/>
      <c r="T47" s="514"/>
      <c r="U47" s="514"/>
      <c r="V47" s="514"/>
      <c r="W47" s="514"/>
      <c r="X47" s="514"/>
      <c r="Y47" s="514"/>
      <c r="Z47" s="514"/>
      <c r="AA47" s="518"/>
    </row>
    <row r="48" spans="1:27" ht="15" x14ac:dyDescent="0.25">
      <c r="A48" s="511"/>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0"/>
    </row>
    <row r="49" spans="1:27" s="522" customFormat="1" ht="16.5" customHeight="1" x14ac:dyDescent="0.2">
      <c r="A49" s="520" t="s">
        <v>451</v>
      </c>
      <c r="B49" s="520" t="s">
        <v>320</v>
      </c>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1"/>
    </row>
    <row r="50" spans="1:27" s="525" customFormat="1" ht="18.75" customHeight="1" x14ac:dyDescent="0.2">
      <c r="A50" s="523"/>
      <c r="B50" s="523" t="s">
        <v>452</v>
      </c>
      <c r="C50" s="523" t="s">
        <v>445</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4"/>
    </row>
    <row r="51" spans="1:27" s="519" customFormat="1" ht="15" x14ac:dyDescent="0.25">
      <c r="A51" s="514"/>
      <c r="B51" s="514" t="s">
        <v>453</v>
      </c>
      <c r="C51" s="585" t="s">
        <v>321</v>
      </c>
      <c r="D51" s="585"/>
      <c r="E51" s="585"/>
      <c r="F51" s="585"/>
      <c r="G51" s="514"/>
      <c r="H51" s="514"/>
      <c r="I51" s="514"/>
      <c r="J51" s="514"/>
      <c r="K51" s="514"/>
      <c r="L51" s="514"/>
      <c r="M51" s="514"/>
      <c r="N51" s="514"/>
      <c r="O51" s="514"/>
      <c r="P51" s="514"/>
      <c r="Q51" s="514"/>
      <c r="R51" s="514"/>
      <c r="S51" s="514"/>
      <c r="T51" s="514"/>
      <c r="U51" s="514"/>
      <c r="V51" s="514"/>
      <c r="W51" s="514"/>
      <c r="X51" s="514"/>
      <c r="Y51" s="514"/>
      <c r="Z51" s="514"/>
      <c r="AA51" s="518"/>
    </row>
    <row r="52" spans="1:27" x14ac:dyDescent="0.2">
      <c r="A52" s="452"/>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row>
    <row r="53" spans="1:27" x14ac:dyDescent="0.2">
      <c r="A53" s="452"/>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row>
    <row r="54" spans="1:27" x14ac:dyDescent="0.2">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row>
  </sheetData>
  <mergeCells count="2">
    <mergeCell ref="A1:Z1"/>
    <mergeCell ref="B45:Z45"/>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Z26"/>
  <sheetViews>
    <sheetView view="pageBreakPreview" zoomScale="80" zoomScaleNormal="80" zoomScaleSheetLayoutView="80" workbookViewId="0">
      <selection activeCell="N10" sqref="N10"/>
    </sheetView>
  </sheetViews>
  <sheetFormatPr defaultColWidth="9.1640625" defaultRowHeight="14.25" x14ac:dyDescent="0.2"/>
  <cols>
    <col min="1" max="1" width="10" style="6" customWidth="1"/>
    <col min="2" max="2" width="43.5" style="6" customWidth="1"/>
    <col min="3" max="3" width="8.33203125" style="6" customWidth="1"/>
    <col min="4" max="4" width="8" style="6" customWidth="1"/>
    <col min="5" max="5" width="14.33203125" style="6" customWidth="1"/>
    <col min="6" max="6" width="17.83203125" style="6" customWidth="1"/>
    <col min="7" max="7" width="12.5" style="6" customWidth="1"/>
    <col min="8" max="8" width="11.6640625" style="6" customWidth="1"/>
    <col min="9" max="9" width="12.83203125" style="6" customWidth="1"/>
    <col min="10" max="10" width="14.1640625" style="6" customWidth="1"/>
    <col min="11" max="11" width="10.83203125" style="6" customWidth="1"/>
    <col min="12" max="13" width="12.83203125" style="6" customWidth="1"/>
    <col min="14" max="14" width="8.83203125" style="6" customWidth="1"/>
    <col min="15" max="18" width="12.83203125" style="6" customWidth="1"/>
    <col min="19" max="19" width="16.33203125" style="6" customWidth="1"/>
    <col min="20" max="20" width="18.33203125" style="6" customWidth="1"/>
    <col min="21" max="21" width="20.33203125" style="6" customWidth="1"/>
    <col min="22" max="22" width="9.33203125" style="6" customWidth="1"/>
    <col min="23" max="23" width="14.33203125" style="6" customWidth="1"/>
    <col min="24" max="25" width="16.6640625" style="6" customWidth="1"/>
    <col min="26" max="26" width="15.6640625" style="6" customWidth="1"/>
    <col min="27" max="27" width="13.33203125" style="6" customWidth="1"/>
    <col min="28" max="28" width="15.1640625" style="6" customWidth="1"/>
    <col min="29" max="30" width="13.33203125" style="6" customWidth="1"/>
    <col min="31" max="31" width="14.33203125" style="6" customWidth="1"/>
    <col min="32" max="260" width="9.33203125" style="6" customWidth="1"/>
  </cols>
  <sheetData>
    <row r="1" spans="1:23" ht="15" x14ac:dyDescent="0.25">
      <c r="A1" s="36"/>
      <c r="B1" s="298" t="s">
        <v>0</v>
      </c>
      <c r="C1" s="37"/>
      <c r="D1" s="37"/>
      <c r="E1" s="37"/>
      <c r="F1" s="37"/>
      <c r="G1" s="37"/>
      <c r="H1" s="37"/>
      <c r="I1" s="37"/>
      <c r="J1" s="38"/>
      <c r="K1" s="38"/>
      <c r="L1" s="38"/>
      <c r="M1" s="38"/>
      <c r="N1" s="38"/>
      <c r="O1" s="38"/>
      <c r="P1" s="38"/>
      <c r="Q1" s="38"/>
      <c r="R1" s="38"/>
      <c r="S1" s="38"/>
      <c r="T1" s="38"/>
      <c r="U1" s="42"/>
      <c r="V1" s="31"/>
      <c r="W1" s="31"/>
    </row>
    <row r="2" spans="1:23" ht="15" x14ac:dyDescent="0.25">
      <c r="A2" s="39"/>
      <c r="B2" s="300" t="s">
        <v>210</v>
      </c>
      <c r="C2" s="35"/>
      <c r="D2" s="35"/>
      <c r="E2" s="35"/>
      <c r="F2" s="35"/>
      <c r="G2" s="35"/>
      <c r="H2" s="35"/>
      <c r="I2" s="35"/>
      <c r="J2" s="31"/>
      <c r="K2" s="31"/>
      <c r="L2" s="31"/>
      <c r="M2" s="31"/>
      <c r="N2" s="31"/>
      <c r="O2" s="31"/>
      <c r="P2" s="31"/>
      <c r="Q2" s="31"/>
      <c r="R2" s="31"/>
      <c r="S2" s="31"/>
      <c r="T2" s="31"/>
      <c r="U2" s="43"/>
      <c r="V2" s="31"/>
      <c r="W2" s="31"/>
    </row>
    <row r="3" spans="1:23" ht="15.75" thickBot="1" x14ac:dyDescent="0.3">
      <c r="A3" s="44"/>
      <c r="B3" s="342" t="s">
        <v>1</v>
      </c>
      <c r="C3" s="45"/>
      <c r="D3" s="45"/>
      <c r="E3" s="45"/>
      <c r="F3" s="45"/>
      <c r="G3" s="45"/>
      <c r="H3" s="45"/>
      <c r="I3" s="45"/>
      <c r="J3" s="41"/>
      <c r="K3" s="41"/>
      <c r="L3" s="41"/>
      <c r="M3" s="41"/>
      <c r="N3" s="41"/>
      <c r="O3" s="41"/>
      <c r="P3" s="41"/>
      <c r="Q3" s="41"/>
      <c r="R3" s="41"/>
      <c r="S3" s="41"/>
      <c r="T3" s="41"/>
      <c r="U3" s="46"/>
      <c r="V3" s="31"/>
      <c r="W3" s="31"/>
    </row>
    <row r="4" spans="1:23" s="7" customFormat="1" ht="30.75" customHeight="1" thickBot="1" x14ac:dyDescent="0.25">
      <c r="A4" s="673" t="s">
        <v>213</v>
      </c>
      <c r="B4" s="673"/>
      <c r="C4" s="673"/>
      <c r="D4" s="673"/>
      <c r="E4" s="673"/>
      <c r="F4" s="673"/>
      <c r="G4" s="673"/>
      <c r="H4" s="673"/>
      <c r="I4" s="673"/>
      <c r="J4" s="673"/>
      <c r="K4" s="673"/>
      <c r="L4" s="673"/>
      <c r="M4" s="673"/>
      <c r="N4" s="673"/>
      <c r="O4" s="673"/>
      <c r="P4" s="673"/>
      <c r="Q4" s="673"/>
      <c r="R4" s="673"/>
      <c r="S4" s="673"/>
      <c r="T4" s="673"/>
      <c r="U4" s="673"/>
      <c r="V4" s="47"/>
      <c r="W4" s="47"/>
    </row>
    <row r="5" spans="1:23" s="7" customFormat="1" ht="21.75" customHeight="1" thickBot="1" x14ac:dyDescent="0.25">
      <c r="A5" s="674" t="s">
        <v>112</v>
      </c>
      <c r="B5" s="674"/>
      <c r="C5" s="674"/>
      <c r="D5" s="674"/>
      <c r="E5" s="674"/>
      <c r="F5" s="674"/>
      <c r="G5" s="674"/>
      <c r="H5" s="674"/>
      <c r="I5" s="674"/>
      <c r="J5" s="674"/>
      <c r="K5" s="674"/>
      <c r="L5" s="674"/>
      <c r="M5" s="674"/>
      <c r="N5" s="674"/>
      <c r="O5" s="674"/>
      <c r="P5" s="674"/>
      <c r="Q5" s="674"/>
      <c r="R5" s="674"/>
      <c r="S5" s="674"/>
      <c r="T5" s="674"/>
      <c r="U5" s="674"/>
      <c r="V5" s="47"/>
      <c r="W5" s="47"/>
    </row>
    <row r="6" spans="1:23" s="7" customFormat="1" ht="42.75" customHeight="1" thickBot="1" x14ac:dyDescent="0.25">
      <c r="A6" s="693" t="str">
        <f>Dados!A5</f>
        <v>Sindicato utilizado - SINDEAC/MG. Vigência: 01/01/2023 à 31/12/2023
Sendo a data base da categoria 01º de Janeiro. Com número de registro no MTE MG000001/2023.</v>
      </c>
      <c r="B6" s="694"/>
      <c r="C6" s="694"/>
      <c r="D6" s="694"/>
      <c r="E6" s="694"/>
      <c r="F6" s="694"/>
      <c r="G6" s="694"/>
      <c r="H6" s="694"/>
      <c r="I6" s="334" t="s">
        <v>113</v>
      </c>
      <c r="J6" s="335"/>
      <c r="K6" s="336"/>
      <c r="L6" s="336"/>
      <c r="M6" s="336"/>
      <c r="N6" s="336"/>
      <c r="O6" s="337"/>
      <c r="P6" s="336"/>
      <c r="Q6" s="336"/>
      <c r="R6" s="336"/>
      <c r="S6" s="675" t="s">
        <v>114</v>
      </c>
      <c r="T6" s="676"/>
      <c r="U6" s="48"/>
      <c r="V6" s="47"/>
      <c r="W6" s="47"/>
    </row>
    <row r="7" spans="1:23" s="7" customFormat="1" ht="12.75" customHeight="1" thickBot="1" x14ac:dyDescent="0.25">
      <c r="A7" s="677" t="s">
        <v>115</v>
      </c>
      <c r="B7" s="678" t="s">
        <v>116</v>
      </c>
      <c r="C7" s="678"/>
      <c r="D7" s="679" t="s">
        <v>117</v>
      </c>
      <c r="E7" s="679"/>
      <c r="F7" s="679"/>
      <c r="G7" s="679"/>
      <c r="H7" s="679"/>
      <c r="I7" s="679"/>
      <c r="J7" s="679"/>
      <c r="K7" s="679"/>
      <c r="L7" s="679"/>
      <c r="M7" s="679"/>
      <c r="N7" s="679"/>
      <c r="O7" s="679"/>
      <c r="P7" s="679"/>
      <c r="Q7" s="679"/>
      <c r="R7" s="679"/>
      <c r="S7" s="679"/>
      <c r="T7" s="680" t="s">
        <v>118</v>
      </c>
      <c r="U7" s="682" t="s">
        <v>119</v>
      </c>
      <c r="V7" s="47"/>
      <c r="W7" s="47"/>
    </row>
    <row r="8" spans="1:23" s="7" customFormat="1" ht="15" customHeight="1" thickBot="1" x14ac:dyDescent="0.25">
      <c r="A8" s="677"/>
      <c r="B8" s="678"/>
      <c r="C8" s="678"/>
      <c r="D8" s="683" t="s">
        <v>120</v>
      </c>
      <c r="E8" s="683"/>
      <c r="F8" s="683"/>
      <c r="G8" s="680" t="s">
        <v>121</v>
      </c>
      <c r="H8" s="680"/>
      <c r="I8" s="680"/>
      <c r="J8" s="686" t="s">
        <v>122</v>
      </c>
      <c r="K8" s="687"/>
      <c r="L8" s="687"/>
      <c r="M8" s="687"/>
      <c r="N8" s="687"/>
      <c r="O8" s="688"/>
      <c r="P8" s="689" t="s">
        <v>460</v>
      </c>
      <c r="Q8" s="690"/>
      <c r="R8" s="691"/>
      <c r="S8" s="587"/>
      <c r="T8" s="680"/>
      <c r="U8" s="682"/>
      <c r="V8" s="47"/>
      <c r="W8" s="47"/>
    </row>
    <row r="9" spans="1:23" s="7" customFormat="1" ht="29.25" customHeight="1" thickBot="1" x14ac:dyDescent="0.25">
      <c r="A9" s="677"/>
      <c r="B9" s="678"/>
      <c r="C9" s="678"/>
      <c r="D9" s="684" t="s">
        <v>123</v>
      </c>
      <c r="E9" s="684"/>
      <c r="F9" s="684"/>
      <c r="G9" s="685" t="s">
        <v>124</v>
      </c>
      <c r="H9" s="671" t="s">
        <v>125</v>
      </c>
      <c r="I9" s="671"/>
      <c r="J9" s="672" t="s">
        <v>126</v>
      </c>
      <c r="K9" s="672"/>
      <c r="L9" s="672"/>
      <c r="M9" s="697" t="s">
        <v>127</v>
      </c>
      <c r="N9" s="697"/>
      <c r="O9" s="697"/>
      <c r="P9" s="698" t="s">
        <v>461</v>
      </c>
      <c r="Q9" s="699"/>
      <c r="R9" s="700"/>
      <c r="S9" s="692" t="s">
        <v>459</v>
      </c>
      <c r="T9" s="680"/>
      <c r="U9" s="682"/>
      <c r="V9" s="47"/>
      <c r="W9" s="47"/>
    </row>
    <row r="10" spans="1:23" s="7" customFormat="1" ht="84" customHeight="1" thickBot="1" x14ac:dyDescent="0.25">
      <c r="A10" s="677"/>
      <c r="B10" s="351" t="s">
        <v>90</v>
      </c>
      <c r="C10" s="352" t="s">
        <v>91</v>
      </c>
      <c r="D10" s="50" t="s">
        <v>128</v>
      </c>
      <c r="E10" s="51" t="s">
        <v>129</v>
      </c>
      <c r="F10" s="52" t="s">
        <v>130</v>
      </c>
      <c r="G10" s="685"/>
      <c r="H10" s="53" t="s">
        <v>131</v>
      </c>
      <c r="I10" s="52" t="s">
        <v>132</v>
      </c>
      <c r="J10" s="54" t="s">
        <v>133</v>
      </c>
      <c r="K10" s="51" t="s">
        <v>134</v>
      </c>
      <c r="L10" s="55" t="s">
        <v>135</v>
      </c>
      <c r="M10" s="54" t="s">
        <v>136</v>
      </c>
      <c r="N10" s="51" t="s">
        <v>137</v>
      </c>
      <c r="O10" s="49" t="s">
        <v>138</v>
      </c>
      <c r="P10" s="589" t="s">
        <v>462</v>
      </c>
      <c r="Q10" s="590" t="s">
        <v>463</v>
      </c>
      <c r="R10" s="591" t="s">
        <v>464</v>
      </c>
      <c r="S10" s="692"/>
      <c r="T10" s="681"/>
      <c r="U10" s="682"/>
      <c r="V10" s="47"/>
      <c r="W10" s="47"/>
    </row>
    <row r="11" spans="1:23" s="7" customFormat="1" ht="34.5" customHeight="1" thickBot="1" x14ac:dyDescent="0.25">
      <c r="A11" s="702">
        <v>333903701</v>
      </c>
      <c r="B11" s="106" t="str">
        <f>Dados!B8</f>
        <v>Ascensorista</v>
      </c>
      <c r="C11" s="107">
        <f>Dados!C8</f>
        <v>150</v>
      </c>
      <c r="D11" s="78">
        <f>Dados!D8</f>
        <v>2</v>
      </c>
      <c r="E11" s="86">
        <f>'Ascensorista 150'!F40</f>
        <v>3988.12</v>
      </c>
      <c r="F11" s="87">
        <f t="shared" ref="F11:F21" si="0">ROUND(D11*E11,2)</f>
        <v>7976.24</v>
      </c>
      <c r="G11" s="88">
        <f>'Ascensorista 150'!I40</f>
        <v>545.54999999999995</v>
      </c>
      <c r="H11" s="347">
        <f>'Ocorrências Mensais - FAT'!F14+'Ocorrências Mensais - FAT'!G14</f>
        <v>0</v>
      </c>
      <c r="I11" s="89">
        <f>(ROUND(G11/Dados!$G$38*H11,2)-(G11/'Ocorrências Mensais - FAT'!$E$8*'Ocorrências Mensais - FAT'!H14))</f>
        <v>0</v>
      </c>
      <c r="J11" s="90">
        <f>'Ascensorista 150'!F40-'Ascensorista 150'!H40</f>
        <v>3988.12</v>
      </c>
      <c r="K11" s="392">
        <f>'Ocorrências Mensais - FAT'!K14</f>
        <v>0</v>
      </c>
      <c r="L11" s="92">
        <f>J11/'Ocorrências Mensais - FAT'!$E$8*K11</f>
        <v>0</v>
      </c>
      <c r="M11" s="329">
        <f>'Custo Estimativo Substituto'!F33</f>
        <v>3319.63</v>
      </c>
      <c r="N11" s="91">
        <f>'Ocorrências Mensais - FAT'!L14</f>
        <v>0</v>
      </c>
      <c r="O11" s="93">
        <f>ROUND((M11/'Ocorrências Mensais - FAT'!$E$8*N11),2)</f>
        <v>0</v>
      </c>
      <c r="P11" s="593">
        <f>'Ascensorista 150'!G39</f>
        <v>0</v>
      </c>
      <c r="Q11" s="594">
        <f>'Ocorrências Mensais - FAT'!M14</f>
        <v>0</v>
      </c>
      <c r="R11" s="595">
        <f>ROUND((P11/Dados!$G$38*Q11),2)</f>
        <v>0</v>
      </c>
      <c r="S11" s="588">
        <f>I11+L11+O11+R11</f>
        <v>0</v>
      </c>
      <c r="T11" s="94">
        <f t="shared" ref="T11:T21" si="1">(((F11-S11)))</f>
        <v>7976.24</v>
      </c>
      <c r="U11" s="670">
        <f>SUM(T11:T21)</f>
        <v>1123903.3800000001</v>
      </c>
      <c r="V11" s="47"/>
      <c r="W11" s="47"/>
    </row>
    <row r="12" spans="1:23" s="7" customFormat="1" ht="34.5" customHeight="1" thickBot="1" x14ac:dyDescent="0.25">
      <c r="A12" s="702"/>
      <c r="B12" s="353" t="str">
        <f>Dados!B9</f>
        <v>Atendente</v>
      </c>
      <c r="C12" s="354">
        <f>Dados!C9</f>
        <v>200</v>
      </c>
      <c r="D12" s="78">
        <f>Dados!D9</f>
        <v>15</v>
      </c>
      <c r="E12" s="86">
        <f>'Atendente 200'!F40</f>
        <v>6494.95</v>
      </c>
      <c r="F12" s="87">
        <f t="shared" si="0"/>
        <v>97424.25</v>
      </c>
      <c r="G12" s="88">
        <f>'Atendente 200'!I40</f>
        <v>477.68</v>
      </c>
      <c r="H12" s="347">
        <f>'Ocorrências Mensais - FAT'!F15+'Ocorrências Mensais - FAT'!G15</f>
        <v>0</v>
      </c>
      <c r="I12" s="89">
        <f>(ROUND(G12/Dados!$G$38*H12,2)-(G12/'Ocorrências Mensais - FAT'!$E$8*'Ocorrências Mensais - FAT'!H15))</f>
        <v>0</v>
      </c>
      <c r="J12" s="90">
        <f>'Atendente 200'!F40-'Atendente 200'!H40</f>
        <v>6494.95</v>
      </c>
      <c r="K12" s="392">
        <f>'Ocorrências Mensais - FAT'!K15</f>
        <v>0</v>
      </c>
      <c r="L12" s="92">
        <f>J12/'Ocorrências Mensais - FAT'!$E$8*K12</f>
        <v>0</v>
      </c>
      <c r="M12" s="329">
        <f>'Custo Estimativo Substituto'!G33</f>
        <v>5530.67</v>
      </c>
      <c r="N12" s="91">
        <f>'Ocorrências Mensais - FAT'!L15</f>
        <v>0</v>
      </c>
      <c r="O12" s="93">
        <f>ROUND((M12/'Ocorrências Mensais - FAT'!$E$8*N12),2)</f>
        <v>0</v>
      </c>
      <c r="P12" s="596">
        <f>'Atendente 200'!G39</f>
        <v>554.02</v>
      </c>
      <c r="Q12" s="592">
        <f>'Ocorrências Mensais - FAT'!M15</f>
        <v>0</v>
      </c>
      <c r="R12" s="597">
        <f>ROUND((P12/Dados!$G$38*Q12),2)</f>
        <v>0</v>
      </c>
      <c r="S12" s="588">
        <f t="shared" ref="S12:S21" si="2">I12+L12+O12+R12</f>
        <v>0</v>
      </c>
      <c r="T12" s="348">
        <f t="shared" si="1"/>
        <v>97424.25</v>
      </c>
      <c r="U12" s="670"/>
      <c r="V12" s="47"/>
      <c r="W12" s="47"/>
    </row>
    <row r="13" spans="1:23" s="7" customFormat="1" ht="34.5" customHeight="1" thickBot="1" x14ac:dyDescent="0.25">
      <c r="A13" s="702"/>
      <c r="B13" s="353" t="str">
        <f>Dados!B10</f>
        <v>Auxiliar de Almoxarifado</v>
      </c>
      <c r="C13" s="354">
        <f>Dados!C10</f>
        <v>200</v>
      </c>
      <c r="D13" s="78">
        <f>Dados!D10</f>
        <v>3</v>
      </c>
      <c r="E13" s="95">
        <f>'Aux. Almoxarifado 200'!F40</f>
        <v>6232</v>
      </c>
      <c r="F13" s="87">
        <f t="shared" si="0"/>
        <v>18696</v>
      </c>
      <c r="G13" s="96">
        <f>'Aux. Almoxarifado 200'!I40</f>
        <v>485.38</v>
      </c>
      <c r="H13" s="347">
        <f>'Ocorrências Mensais - FAT'!F16+'Ocorrências Mensais - FAT'!G16</f>
        <v>0</v>
      </c>
      <c r="I13" s="89">
        <f>(ROUND(G13/Dados!$G$38*H13,2)-(G13/'Ocorrências Mensais - FAT'!$E$8*'Ocorrências Mensais - FAT'!H16))</f>
        <v>0</v>
      </c>
      <c r="J13" s="97">
        <f>'Aux. Almoxarifado 200'!F40-'Aux. Almoxarifado 200'!H40</f>
        <v>6232</v>
      </c>
      <c r="K13" s="392">
        <f>'Ocorrências Mensais - FAT'!K16</f>
        <v>0</v>
      </c>
      <c r="L13" s="92">
        <f>J13/'Ocorrências Mensais - FAT'!$E$8*K13</f>
        <v>0</v>
      </c>
      <c r="M13" s="330">
        <f>'Custo Estimativo Substituto'!H33</f>
        <v>5342.7300000000005</v>
      </c>
      <c r="N13" s="91">
        <f>'Ocorrências Mensais - FAT'!L16</f>
        <v>0</v>
      </c>
      <c r="O13" s="93">
        <f>ROUND((M13/'Ocorrências Mensais - FAT'!$E$8*N13),2)</f>
        <v>0</v>
      </c>
      <c r="P13" s="596">
        <f>'Aux. Almoxarifado 200'!G39</f>
        <v>554.02</v>
      </c>
      <c r="Q13" s="592">
        <f>'Ocorrências Mensais - FAT'!M16</f>
        <v>0</v>
      </c>
      <c r="R13" s="597">
        <f>ROUND((P13/Dados!$G$38*Q13),2)</f>
        <v>0</v>
      </c>
      <c r="S13" s="588">
        <f t="shared" si="2"/>
        <v>0</v>
      </c>
      <c r="T13" s="349">
        <f t="shared" si="1"/>
        <v>18696</v>
      </c>
      <c r="U13" s="670"/>
      <c r="V13" s="47"/>
      <c r="W13" s="47"/>
    </row>
    <row r="14" spans="1:23" ht="32.25" customHeight="1" thickBot="1" x14ac:dyDescent="0.3">
      <c r="A14" s="702"/>
      <c r="B14" s="353" t="str">
        <f>Dados!B11</f>
        <v>Auxiliar Administrativo - Classe I</v>
      </c>
      <c r="C14" s="354">
        <f>Dados!C11</f>
        <v>150</v>
      </c>
      <c r="D14" s="78">
        <f>Dados!D11</f>
        <v>27</v>
      </c>
      <c r="E14" s="98">
        <f>'Aux Admin I 150'!F40</f>
        <v>4664.57</v>
      </c>
      <c r="F14" s="99">
        <f t="shared" si="0"/>
        <v>125943.39</v>
      </c>
      <c r="G14" s="100">
        <f>'Aux Admin I 150'!I40</f>
        <v>521.95000000000005</v>
      </c>
      <c r="H14" s="347">
        <f>'Ocorrências Mensais - FAT'!F17+'Ocorrências Mensais - FAT'!G17</f>
        <v>0</v>
      </c>
      <c r="I14" s="89">
        <f>(ROUND(G14/Dados!$G$38*H14,2)-(G14/'Ocorrências Mensais - FAT'!$E$8*'Ocorrências Mensais - FAT'!H17))</f>
        <v>0</v>
      </c>
      <c r="J14" s="101">
        <f>'Aux Admin I 150'!F40-'Aux Admin I 150'!H40</f>
        <v>4664.57</v>
      </c>
      <c r="K14" s="392">
        <f>'Ocorrências Mensais - FAT'!K17</f>
        <v>0</v>
      </c>
      <c r="L14" s="92">
        <f>J14/'Ocorrências Mensais - FAT'!$E$8*K14</f>
        <v>0</v>
      </c>
      <c r="M14" s="331">
        <f>'Custo Estimativo Substituto'!I33</f>
        <v>3896.17</v>
      </c>
      <c r="N14" s="91">
        <f>'Ocorrências Mensais - FAT'!L17</f>
        <v>0</v>
      </c>
      <c r="O14" s="93">
        <f>ROUND((M14/'Ocorrências Mensais - FAT'!$E$8*N14),2)</f>
        <v>0</v>
      </c>
      <c r="P14" s="596">
        <f>'Aux Admin I 150'!G39</f>
        <v>0</v>
      </c>
      <c r="Q14" s="592">
        <f>'Ocorrências Mensais - FAT'!M17</f>
        <v>0</v>
      </c>
      <c r="R14" s="597">
        <f>ROUND((P14/Dados!$G$38*Q14),2)</f>
        <v>0</v>
      </c>
      <c r="S14" s="588">
        <f t="shared" si="2"/>
        <v>0</v>
      </c>
      <c r="T14" s="348">
        <f t="shared" si="1"/>
        <v>125943.39</v>
      </c>
      <c r="U14" s="670"/>
      <c r="V14" s="31"/>
      <c r="W14" s="31"/>
    </row>
    <row r="15" spans="1:23" ht="32.25" customHeight="1" thickBot="1" x14ac:dyDescent="0.3">
      <c r="A15" s="702"/>
      <c r="B15" s="353" t="str">
        <f>Dados!B12</f>
        <v>Auxiliar Administrativo - Classe II</v>
      </c>
      <c r="C15" s="354">
        <f>Dados!C12</f>
        <v>200</v>
      </c>
      <c r="D15" s="78">
        <f>Dados!D12</f>
        <v>71</v>
      </c>
      <c r="E15" s="98">
        <f>'Aux Admin II 200'!F40</f>
        <v>6494.95</v>
      </c>
      <c r="F15" s="102">
        <f t="shared" si="0"/>
        <v>461141.45</v>
      </c>
      <c r="G15" s="100">
        <f>'Aux Admin II 200'!I40</f>
        <v>477.68</v>
      </c>
      <c r="H15" s="347">
        <f>'Ocorrências Mensais - FAT'!F18+'Ocorrências Mensais - FAT'!G18</f>
        <v>0</v>
      </c>
      <c r="I15" s="89">
        <f>(ROUND(G15/Dados!$G$38*H15,2)-(G15/'Ocorrências Mensais - FAT'!$E$8*'Ocorrências Mensais - FAT'!H18))</f>
        <v>0</v>
      </c>
      <c r="J15" s="104">
        <f>'Aux Admin II 200'!F40-'Aux Admin II 200'!H40</f>
        <v>6494.95</v>
      </c>
      <c r="K15" s="392">
        <f>'Ocorrências Mensais - FAT'!K18</f>
        <v>0</v>
      </c>
      <c r="L15" s="92">
        <f>J15/'Ocorrências Mensais - FAT'!$E$8*K15</f>
        <v>0</v>
      </c>
      <c r="M15" s="332">
        <f>'Custo Estimativo Substituto'!J33</f>
        <v>5530.67</v>
      </c>
      <c r="N15" s="91">
        <f>'Ocorrências Mensais - FAT'!L18</f>
        <v>0</v>
      </c>
      <c r="O15" s="93">
        <f>ROUND((M15/'Ocorrências Mensais - FAT'!$E$8*N15),2)</f>
        <v>0</v>
      </c>
      <c r="P15" s="596">
        <f>'Aux Admin II 200'!G39</f>
        <v>554.02</v>
      </c>
      <c r="Q15" s="592">
        <f>'Ocorrências Mensais - FAT'!M18</f>
        <v>0</v>
      </c>
      <c r="R15" s="597">
        <f>ROUND((P15/Dados!$G$38*Q15),2)</f>
        <v>0</v>
      </c>
      <c r="S15" s="588">
        <f t="shared" si="2"/>
        <v>0</v>
      </c>
      <c r="T15" s="348">
        <f t="shared" si="1"/>
        <v>461141.45</v>
      </c>
      <c r="U15" s="670"/>
      <c r="V15" s="31"/>
      <c r="W15" s="56"/>
    </row>
    <row r="16" spans="1:23" ht="32.25" customHeight="1" thickBot="1" x14ac:dyDescent="0.3">
      <c r="A16" s="702"/>
      <c r="B16" s="353" t="str">
        <f>Dados!B13</f>
        <v>Auxiliar Administrativo - Classe III (Nível Superior)</v>
      </c>
      <c r="C16" s="354">
        <f>Dados!C13</f>
        <v>150</v>
      </c>
      <c r="D16" s="78">
        <f>Dados!D13</f>
        <v>3</v>
      </c>
      <c r="E16" s="103">
        <f>'Aux Admin III 150'!F40</f>
        <v>5813.31</v>
      </c>
      <c r="F16" s="102">
        <f t="shared" si="0"/>
        <v>17439.93</v>
      </c>
      <c r="G16" s="104">
        <f>'Aux Admin III 150'!I40</f>
        <v>482.12</v>
      </c>
      <c r="H16" s="347">
        <f>'Ocorrências Mensais - FAT'!F19+'Ocorrências Mensais - FAT'!G19</f>
        <v>0</v>
      </c>
      <c r="I16" s="89">
        <f>(ROUND(G16/Dados!$G$38*H16,2)-(G16/'Ocorrências Mensais - FAT'!$E$8*'Ocorrências Mensais - FAT'!H19))</f>
        <v>0</v>
      </c>
      <c r="J16" s="104">
        <f>'Aux Admin III 150'!F40-'Aux Admin III 150'!H40</f>
        <v>5813.31</v>
      </c>
      <c r="K16" s="392">
        <f>'Ocorrências Mensais - FAT'!K19</f>
        <v>0</v>
      </c>
      <c r="L16" s="92">
        <f>J16/'Ocorrências Mensais - FAT'!$E$8*K16</f>
        <v>0</v>
      </c>
      <c r="M16" s="332">
        <f>'Custo Estimativo Substituto'!K33</f>
        <v>4868.5600000000004</v>
      </c>
      <c r="N16" s="91">
        <f>'Ocorrências Mensais - FAT'!L19</f>
        <v>0</v>
      </c>
      <c r="O16" s="93">
        <f>ROUND((M16/'Ocorrências Mensais - FAT'!$E$8*N16),2)</f>
        <v>0</v>
      </c>
      <c r="P16" s="596">
        <f>'Aux Admin III 150'!G39</f>
        <v>0</v>
      </c>
      <c r="Q16" s="592">
        <f>'Ocorrências Mensais - FAT'!M19</f>
        <v>0</v>
      </c>
      <c r="R16" s="597">
        <f>ROUND((P16/Dados!$G$38*Q16),2)</f>
        <v>0</v>
      </c>
      <c r="S16" s="588">
        <f t="shared" si="2"/>
        <v>0</v>
      </c>
      <c r="T16" s="348">
        <f t="shared" si="1"/>
        <v>17439.93</v>
      </c>
      <c r="U16" s="670"/>
      <c r="V16" s="31"/>
      <c r="W16" s="31"/>
    </row>
    <row r="17" spans="1:33" ht="32.25" customHeight="1" thickBot="1" x14ac:dyDescent="0.3">
      <c r="A17" s="702"/>
      <c r="B17" s="353" t="str">
        <f>Dados!B14</f>
        <v>Auxiliar Administrativo - Classe IV (Nível Superior)</v>
      </c>
      <c r="C17" s="354">
        <f>Dados!C14</f>
        <v>200</v>
      </c>
      <c r="D17" s="78">
        <f>Dados!D14</f>
        <v>21</v>
      </c>
      <c r="E17" s="103">
        <f>'Aux Admin IV 200'!F40</f>
        <v>8026.59</v>
      </c>
      <c r="F17" s="102">
        <f t="shared" si="0"/>
        <v>168558.39</v>
      </c>
      <c r="G17" s="104">
        <f>'Aux Admin IV 200'!I40</f>
        <v>424.58</v>
      </c>
      <c r="H17" s="347">
        <f>'Ocorrências Mensais - FAT'!F20+'Ocorrências Mensais - FAT'!G20</f>
        <v>0</v>
      </c>
      <c r="I17" s="89">
        <f>(ROUND(G17/Dados!$G$38*H17,2)-(G17/'Ocorrências Mensais - FAT'!$E$8*'Ocorrências Mensais - FAT'!H20))</f>
        <v>0</v>
      </c>
      <c r="J17" s="104">
        <f>'Aux Admin IV 200'!F40-'Aux Admin IV 200'!H40</f>
        <v>8026.59</v>
      </c>
      <c r="K17" s="392">
        <f>'Ocorrências Mensais - FAT'!K20</f>
        <v>0</v>
      </c>
      <c r="L17" s="92">
        <f>J17/'Ocorrências Mensais - FAT'!$E$8*K17</f>
        <v>0</v>
      </c>
      <c r="M17" s="332">
        <f>'Custo Estimativo Substituto'!L33</f>
        <v>6827.2</v>
      </c>
      <c r="N17" s="91">
        <f>'Ocorrências Mensais - FAT'!L20</f>
        <v>0</v>
      </c>
      <c r="O17" s="93">
        <f>ROUND((M17/'Ocorrências Mensais - FAT'!$E$8*N17),2)</f>
        <v>0</v>
      </c>
      <c r="P17" s="596">
        <f>'Aux Admin IV 200'!G39</f>
        <v>554.02</v>
      </c>
      <c r="Q17" s="592">
        <f>'Ocorrências Mensais - FAT'!M20</f>
        <v>0</v>
      </c>
      <c r="R17" s="597">
        <f>ROUND((P17/Dados!$G$38*Q17),2)</f>
        <v>0</v>
      </c>
      <c r="S17" s="588">
        <f t="shared" si="2"/>
        <v>0</v>
      </c>
      <c r="T17" s="348">
        <f t="shared" si="1"/>
        <v>168558.39</v>
      </c>
      <c r="U17" s="670"/>
      <c r="V17" s="31"/>
      <c r="W17" s="31"/>
    </row>
    <row r="18" spans="1:33" ht="32.25" customHeight="1" thickBot="1" x14ac:dyDescent="0.3">
      <c r="A18" s="702"/>
      <c r="B18" s="353" t="str">
        <f>Dados!B15</f>
        <v>Assistente de Apoio Financeiro (Nível Superior)</v>
      </c>
      <c r="C18" s="354">
        <f>Dados!C15</f>
        <v>200</v>
      </c>
      <c r="D18" s="78">
        <f>Dados!D15</f>
        <v>6</v>
      </c>
      <c r="E18" s="103">
        <f>'Assistente Financeiro 200'!F40</f>
        <v>12212.85</v>
      </c>
      <c r="F18" s="102">
        <f t="shared" si="0"/>
        <v>73277.100000000006</v>
      </c>
      <c r="G18" s="104">
        <f>'Assistente Financeiro 200'!I40</f>
        <v>279.51</v>
      </c>
      <c r="H18" s="347">
        <f>'Ocorrências Mensais - FAT'!F21+'Ocorrências Mensais - FAT'!G21</f>
        <v>0</v>
      </c>
      <c r="I18" s="89">
        <f>(ROUND(G18/Dados!$G$38*H18,2)-(G18/'Ocorrências Mensais - FAT'!$E$8*'Ocorrências Mensais - FAT'!H21))</f>
        <v>0</v>
      </c>
      <c r="J18" s="104">
        <f>'Assistente Financeiro 200'!F40-'Assistente Financeiro 200'!H40</f>
        <v>12212.85</v>
      </c>
      <c r="K18" s="392">
        <f>'Ocorrências Mensais - FAT'!K21</f>
        <v>0</v>
      </c>
      <c r="L18" s="92">
        <f>J18/'Ocorrências Mensais - FAT'!$E$8*K18</f>
        <v>0</v>
      </c>
      <c r="M18" s="332">
        <f>'Custo Estimativo Substituto'!M33</f>
        <v>10369.459999999999</v>
      </c>
      <c r="N18" s="91">
        <f>'Ocorrências Mensais - FAT'!L21</f>
        <v>0</v>
      </c>
      <c r="O18" s="93">
        <f>ROUND((M18/'Ocorrências Mensais - FAT'!$E$8*N18),2)</f>
        <v>0</v>
      </c>
      <c r="P18" s="596">
        <f>'Assistente Financeiro 200'!G39</f>
        <v>554.02</v>
      </c>
      <c r="Q18" s="592">
        <f>'Ocorrências Mensais - FAT'!M21</f>
        <v>0</v>
      </c>
      <c r="R18" s="597">
        <f>ROUND((P18/Dados!$G$38*Q18),2)</f>
        <v>0</v>
      </c>
      <c r="S18" s="588">
        <f t="shared" si="2"/>
        <v>0</v>
      </c>
      <c r="T18" s="348">
        <f t="shared" si="1"/>
        <v>73277.100000000006</v>
      </c>
      <c r="U18" s="670"/>
      <c r="V18" s="31"/>
      <c r="W18" s="31"/>
    </row>
    <row r="19" spans="1:33" ht="32.25" customHeight="1" thickBot="1" x14ac:dyDescent="0.3">
      <c r="A19" s="702"/>
      <c r="B19" s="353" t="str">
        <f>Dados!B16</f>
        <v>Encarregado Geral</v>
      </c>
      <c r="C19" s="354">
        <f>Dados!C16</f>
        <v>220</v>
      </c>
      <c r="D19" s="78">
        <f>Dados!D16</f>
        <v>1</v>
      </c>
      <c r="E19" s="103">
        <f>'Encarregado Geral 220'!F40</f>
        <v>7502.57</v>
      </c>
      <c r="F19" s="102">
        <f t="shared" si="0"/>
        <v>7502.57</v>
      </c>
      <c r="G19" s="104">
        <f>'Encarregado Geral 220'!I40</f>
        <v>442.74</v>
      </c>
      <c r="H19" s="347">
        <f>'Ocorrências Mensais - FAT'!F22+'Ocorrências Mensais - FAT'!G22</f>
        <v>0</v>
      </c>
      <c r="I19" s="89">
        <f>(ROUND(G19/Dados!$G$38*H19,2)-(G19/'Ocorrências Mensais - FAT'!$E$8*'Ocorrências Mensais - FAT'!H22))</f>
        <v>0</v>
      </c>
      <c r="J19" s="104">
        <f>'Encarregado Geral 220'!F40-'Encarregado Geral 220'!H40</f>
        <v>7502.57</v>
      </c>
      <c r="K19" s="392">
        <f>'Ocorrências Mensais - FAT'!K22</f>
        <v>0</v>
      </c>
      <c r="L19" s="92">
        <f>J19/'Ocorrências Mensais - FAT'!$E$8*K19</f>
        <v>0</v>
      </c>
      <c r="M19" s="332">
        <f>'Custo Estimativo Substituto'!N33</f>
        <v>6383.59</v>
      </c>
      <c r="N19" s="91">
        <f>'Ocorrências Mensais - FAT'!L22</f>
        <v>0</v>
      </c>
      <c r="O19" s="93">
        <f>ROUND((M19/'Ocorrências Mensais - FAT'!$E$8*N19),2)</f>
        <v>0</v>
      </c>
      <c r="P19" s="596">
        <f>'Encarregado Geral 220'!G39</f>
        <v>554.02</v>
      </c>
      <c r="Q19" s="592">
        <f>'Ocorrências Mensais - FAT'!M22</f>
        <v>0</v>
      </c>
      <c r="R19" s="597">
        <f>ROUND((P19/Dados!$G$38*Q19),2)</f>
        <v>0</v>
      </c>
      <c r="S19" s="588">
        <f t="shared" si="2"/>
        <v>0</v>
      </c>
      <c r="T19" s="348">
        <f t="shared" si="1"/>
        <v>7502.57</v>
      </c>
      <c r="U19" s="670"/>
      <c r="V19" s="31"/>
      <c r="W19" s="31"/>
    </row>
    <row r="20" spans="1:33" ht="32.25" customHeight="1" thickBot="1" x14ac:dyDescent="0.3">
      <c r="A20" s="702"/>
      <c r="B20" s="353" t="str">
        <f>Dados!B17</f>
        <v>Operador e Editor de Áudio e Vídeo</v>
      </c>
      <c r="C20" s="354">
        <f>Dados!C17</f>
        <v>150</v>
      </c>
      <c r="D20" s="78">
        <f>Dados!D17</f>
        <v>8</v>
      </c>
      <c r="E20" s="103">
        <f>'Op. Ed. Audio e Video 150'!F40</f>
        <v>8785.4</v>
      </c>
      <c r="F20" s="102">
        <f t="shared" si="0"/>
        <v>70283.199999999997</v>
      </c>
      <c r="G20" s="104">
        <f>'Op. Ed. Audio e Video 150'!I40</f>
        <v>378.23</v>
      </c>
      <c r="H20" s="347">
        <f>'Ocorrências Mensais - FAT'!F23+'Ocorrências Mensais - FAT'!G23</f>
        <v>0</v>
      </c>
      <c r="I20" s="89">
        <f>(ROUND(G20/Dados!$G$38*H20,2)-(G20/'Ocorrências Mensais - FAT'!$E$8*'Ocorrências Mensais - FAT'!H23))</f>
        <v>0</v>
      </c>
      <c r="J20" s="104">
        <f>'Op. Ed. Audio e Video 150'!F40-'Op. Ed. Audio e Video 150'!H40</f>
        <v>8785.4</v>
      </c>
      <c r="K20" s="392">
        <f>'Ocorrências Mensais - FAT'!K23</f>
        <v>0</v>
      </c>
      <c r="L20" s="92">
        <f>J20/'Ocorrências Mensais - FAT'!$E$8*K20</f>
        <v>0</v>
      </c>
      <c r="M20" s="332">
        <f>'Custo Estimativo Substituto'!O33</f>
        <v>7405</v>
      </c>
      <c r="N20" s="91">
        <f>'Ocorrências Mensais - FAT'!L23</f>
        <v>0</v>
      </c>
      <c r="O20" s="93">
        <f>ROUND((M20/'Ocorrências Mensais - FAT'!$E$8*N20),2)</f>
        <v>0</v>
      </c>
      <c r="P20" s="596">
        <f>'Op. Ed. Audio e Video 150'!G39</f>
        <v>0</v>
      </c>
      <c r="Q20" s="592">
        <f>'Ocorrências Mensais - FAT'!M23</f>
        <v>0</v>
      </c>
      <c r="R20" s="597">
        <f>ROUND((P20/Dados!$G$38*Q20),2)</f>
        <v>0</v>
      </c>
      <c r="S20" s="588">
        <f t="shared" si="2"/>
        <v>0</v>
      </c>
      <c r="T20" s="348">
        <f t="shared" si="1"/>
        <v>70283.199999999997</v>
      </c>
      <c r="U20" s="670"/>
      <c r="V20" s="31"/>
      <c r="W20" s="57"/>
      <c r="X20" s="9"/>
      <c r="Y20" s="9"/>
      <c r="Z20" s="9"/>
      <c r="AA20" s="9"/>
      <c r="AB20" s="9"/>
      <c r="AC20" s="9"/>
      <c r="AD20" s="9"/>
      <c r="AE20" s="9"/>
      <c r="AF20" s="9"/>
      <c r="AG20" s="9"/>
    </row>
    <row r="21" spans="1:33" ht="32.25" customHeight="1" thickBot="1" x14ac:dyDescent="0.3">
      <c r="A21" s="703"/>
      <c r="B21" s="355" t="str">
        <f>Dados!B18</f>
        <v xml:space="preserve">Recepcionista </v>
      </c>
      <c r="C21" s="356">
        <f>Dados!C18</f>
        <v>220</v>
      </c>
      <c r="D21" s="338">
        <f>Dados!D18</f>
        <v>11</v>
      </c>
      <c r="E21" s="339">
        <f>'Recepcionista 220'!F40</f>
        <v>6878.26</v>
      </c>
      <c r="F21" s="340">
        <f t="shared" si="0"/>
        <v>75660.86</v>
      </c>
      <c r="G21" s="341">
        <f>'Recepcionista 220'!I40</f>
        <v>464.4</v>
      </c>
      <c r="H21" s="347">
        <f>'Ocorrências Mensais - FAT'!F24+'Ocorrências Mensais - FAT'!G24</f>
        <v>0</v>
      </c>
      <c r="I21" s="89">
        <f>(ROUND(G21/Dados!$G$38*H21,2)-(G21/'Ocorrências Mensais - FAT'!$E$8*'Ocorrências Mensais - FAT'!H24))</f>
        <v>0</v>
      </c>
      <c r="J21" s="341">
        <f>'Recepcionista 220'!F40-'Recepcionista 220'!H40</f>
        <v>6878.26</v>
      </c>
      <c r="K21" s="392">
        <f>'Ocorrências Mensais - FAT'!K24</f>
        <v>0</v>
      </c>
      <c r="L21" s="92">
        <f>J21/'Ocorrências Mensais - FAT'!$E$8*K21</f>
        <v>0</v>
      </c>
      <c r="M21" s="333">
        <f>'Custo Estimativo Substituto'!P33</f>
        <v>5855.2500000000009</v>
      </c>
      <c r="N21" s="91">
        <f>'Ocorrências Mensais - FAT'!L24</f>
        <v>0</v>
      </c>
      <c r="O21" s="93">
        <f>ROUND((M21/'Ocorrências Mensais - FAT'!$E$8*N21),2)</f>
        <v>0</v>
      </c>
      <c r="P21" s="598">
        <f>'Recepcionista 220'!G39</f>
        <v>554.02</v>
      </c>
      <c r="Q21" s="599">
        <f>'Ocorrências Mensais - FAT'!M24</f>
        <v>0</v>
      </c>
      <c r="R21" s="600">
        <f>ROUND((P21/Dados!$G$38*Q21),2)</f>
        <v>0</v>
      </c>
      <c r="S21" s="588">
        <f t="shared" si="2"/>
        <v>0</v>
      </c>
      <c r="T21" s="350">
        <f t="shared" si="1"/>
        <v>75660.86</v>
      </c>
      <c r="U21" s="670"/>
      <c r="V21" s="31"/>
      <c r="W21" s="57"/>
      <c r="X21" s="9"/>
      <c r="Y21" s="9"/>
      <c r="Z21" s="9"/>
      <c r="AA21" s="9"/>
      <c r="AB21" s="9"/>
      <c r="AC21" s="9"/>
      <c r="AD21" s="9"/>
      <c r="AE21" s="9"/>
      <c r="AF21" s="9"/>
      <c r="AG21" s="9"/>
    </row>
    <row r="22" spans="1:33" s="8" customFormat="1" ht="55.5" customHeight="1" thickBot="1" x14ac:dyDescent="0.3">
      <c r="A22" s="695" t="s">
        <v>141</v>
      </c>
      <c r="B22" s="696"/>
      <c r="C22" s="696"/>
      <c r="D22" s="601">
        <f>SUM(D11:D21)</f>
        <v>168</v>
      </c>
      <c r="E22" s="602"/>
      <c r="F22" s="603">
        <f>SUM(F11:F21)</f>
        <v>1123903.3800000001</v>
      </c>
      <c r="G22" s="604"/>
      <c r="H22" s="605">
        <f t="shared" ref="H22:T22" si="3">SUM(H11:H21)</f>
        <v>0</v>
      </c>
      <c r="I22" s="606">
        <f t="shared" si="3"/>
        <v>0</v>
      </c>
      <c r="J22" s="607">
        <f t="shared" si="3"/>
        <v>77093.569999999992</v>
      </c>
      <c r="K22" s="605">
        <f t="shared" si="3"/>
        <v>0</v>
      </c>
      <c r="L22" s="606">
        <f t="shared" si="3"/>
        <v>0</v>
      </c>
      <c r="M22" s="607">
        <f t="shared" si="3"/>
        <v>65328.929999999993</v>
      </c>
      <c r="N22" s="605">
        <f t="shared" si="3"/>
        <v>0</v>
      </c>
      <c r="O22" s="608">
        <f t="shared" si="3"/>
        <v>0</v>
      </c>
      <c r="P22" s="609"/>
      <c r="Q22" s="610">
        <f>SUM(Q11:Q21)</f>
        <v>0</v>
      </c>
      <c r="R22" s="612">
        <f>SUM(R11:R21)</f>
        <v>0</v>
      </c>
      <c r="S22" s="611">
        <f t="shared" si="3"/>
        <v>0</v>
      </c>
      <c r="T22" s="530">
        <f t="shared" si="3"/>
        <v>1123903.3800000001</v>
      </c>
      <c r="U22" s="105"/>
      <c r="V22" s="60" t="s">
        <v>287</v>
      </c>
      <c r="W22" s="61"/>
      <c r="X22" s="10"/>
      <c r="Y22" s="10"/>
      <c r="Z22" s="11"/>
      <c r="AA22" s="10"/>
      <c r="AB22" s="10"/>
      <c r="AC22" s="10"/>
      <c r="AD22" s="10"/>
      <c r="AE22" s="12"/>
      <c r="AF22" s="13"/>
      <c r="AG22" s="13"/>
    </row>
    <row r="23" spans="1:33" s="8" customFormat="1" ht="55.5" customHeight="1" thickBot="1" x14ac:dyDescent="0.3">
      <c r="A23" s="701" t="s">
        <v>142</v>
      </c>
      <c r="B23" s="701"/>
      <c r="C23" s="701"/>
      <c r="D23" s="701"/>
      <c r="E23" s="701"/>
      <c r="F23" s="701"/>
      <c r="G23" s="701"/>
      <c r="H23" s="701"/>
      <c r="I23" s="701"/>
      <c r="J23" s="701"/>
      <c r="K23" s="701"/>
      <c r="L23" s="701"/>
      <c r="M23" s="701"/>
      <c r="N23" s="701"/>
      <c r="O23" s="701"/>
      <c r="P23" s="701"/>
      <c r="Q23" s="701"/>
      <c r="R23" s="701"/>
      <c r="S23" s="701"/>
      <c r="T23" s="58">
        <f>T22*12</f>
        <v>13486840.560000002</v>
      </c>
      <c r="U23" s="59"/>
      <c r="V23" s="60"/>
      <c r="W23" s="62"/>
      <c r="X23" s="14"/>
      <c r="Y23" s="14"/>
      <c r="Z23" s="14"/>
      <c r="AA23" s="14"/>
      <c r="AB23" s="14"/>
      <c r="AC23" s="14"/>
      <c r="AD23" s="14"/>
      <c r="AE23" s="15"/>
      <c r="AF23" s="13"/>
      <c r="AG23" s="13"/>
    </row>
    <row r="24" spans="1:33" ht="18" customHeight="1" x14ac:dyDescent="0.25">
      <c r="A24" s="31"/>
      <c r="B24" s="31"/>
      <c r="C24" s="31"/>
      <c r="D24" s="31"/>
      <c r="E24" s="56"/>
      <c r="F24" s="31"/>
      <c r="G24" s="31"/>
      <c r="H24" s="31"/>
      <c r="I24" s="31"/>
      <c r="J24" s="31"/>
      <c r="K24" s="31"/>
      <c r="L24" s="31"/>
      <c r="M24" s="31"/>
      <c r="N24" s="31"/>
      <c r="O24" s="31"/>
      <c r="P24" s="31"/>
      <c r="Q24" s="31"/>
      <c r="R24" s="31"/>
      <c r="S24" s="31"/>
      <c r="T24" s="31"/>
      <c r="U24" s="31"/>
      <c r="V24" s="31"/>
      <c r="W24" s="62"/>
      <c r="X24" s="14"/>
      <c r="Y24" s="14"/>
      <c r="Z24" s="14"/>
      <c r="AA24" s="14"/>
      <c r="AB24" s="14"/>
      <c r="AC24" s="14"/>
      <c r="AD24" s="14"/>
      <c r="AE24" s="15"/>
      <c r="AF24" s="9"/>
      <c r="AG24" s="9"/>
    </row>
    <row r="25" spans="1:33" ht="18" customHeight="1" x14ac:dyDescent="0.2">
      <c r="W25" s="9"/>
      <c r="X25" s="9"/>
      <c r="Y25" s="9"/>
      <c r="Z25" s="9"/>
      <c r="AA25" s="9"/>
      <c r="AB25" s="9"/>
      <c r="AC25" s="9"/>
      <c r="AD25" s="9"/>
      <c r="AE25" s="9"/>
      <c r="AF25" s="9"/>
      <c r="AG25" s="9"/>
    </row>
    <row r="26" spans="1:33" ht="18" customHeight="1" x14ac:dyDescent="0.2"/>
  </sheetData>
  <sheetProtection algorithmName="SHA-512" hashValue="3RN9RklyZuJUxCZ8Wv3aktGo1FVIyiWOT895qZHcC98lWZ0NYJIGJr10zkN2lYtHkaucqgEyJAL/Am8sls95/g==" saltValue="JGD9ItQtRyqjs4BBBslhzw==" spinCount="100000" sheet="1" objects="1" scenarios="1"/>
  <mergeCells count="24">
    <mergeCell ref="A23:S23"/>
    <mergeCell ref="A11:A21"/>
    <mergeCell ref="P8:R8"/>
    <mergeCell ref="S9:S10"/>
    <mergeCell ref="A6:H6"/>
    <mergeCell ref="A22:C22"/>
    <mergeCell ref="M9:O9"/>
    <mergeCell ref="P9:R9"/>
    <mergeCell ref="U11:U21"/>
    <mergeCell ref="H9:I9"/>
    <mergeCell ref="J9:L9"/>
    <mergeCell ref="A4:U4"/>
    <mergeCell ref="A5:U5"/>
    <mergeCell ref="S6:T6"/>
    <mergeCell ref="A7:A10"/>
    <mergeCell ref="B7:C9"/>
    <mergeCell ref="D7:S7"/>
    <mergeCell ref="T7:T10"/>
    <mergeCell ref="U7:U10"/>
    <mergeCell ref="D8:F8"/>
    <mergeCell ref="G8:I8"/>
    <mergeCell ref="D9:F9"/>
    <mergeCell ref="G9:G10"/>
    <mergeCell ref="J8:O8"/>
  </mergeCells>
  <printOptions horizontalCentered="1"/>
  <pageMargins left="0.19685039370078741" right="0.19685039370078741" top="0.19685039370078741" bottom="0.39370078740157483" header="0.51181102362204722" footer="0.51181102362204722"/>
  <pageSetup paperSize="9" scale="51"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R85"/>
  <sheetViews>
    <sheetView showGridLines="0" view="pageBreakPreview" topLeftCell="A7" zoomScaleNormal="115" zoomScaleSheetLayoutView="100" workbookViewId="0">
      <selection activeCell="E9" sqref="E9"/>
    </sheetView>
  </sheetViews>
  <sheetFormatPr defaultColWidth="13.83203125" defaultRowHeight="15" x14ac:dyDescent="0.25"/>
  <cols>
    <col min="1" max="1" width="10" style="31" customWidth="1"/>
    <col min="2" max="2" width="39.1640625" style="31" customWidth="1"/>
    <col min="3" max="3" width="10" style="31" customWidth="1"/>
    <col min="4" max="4" width="6.6640625" style="31" bestFit="1" customWidth="1"/>
    <col min="5" max="7" width="14.1640625" style="31" customWidth="1"/>
    <col min="8" max="8" width="18.1640625" style="31" customWidth="1"/>
    <col min="9" max="9" width="16" style="31" customWidth="1"/>
    <col min="10" max="10" width="15.33203125" style="31" bestFit="1" customWidth="1"/>
    <col min="11" max="11" width="14.83203125" style="31" bestFit="1" customWidth="1"/>
    <col min="12" max="12" width="14.6640625" style="31" bestFit="1" customWidth="1"/>
    <col min="13" max="246" width="9.33203125" style="31" customWidth="1"/>
    <col min="247" max="247" width="7" style="31" customWidth="1"/>
    <col min="248" max="248" width="45.83203125" style="31" customWidth="1"/>
    <col min="249" max="249" width="10" style="31" customWidth="1"/>
    <col min="250" max="253" width="14.1640625" style="31" customWidth="1"/>
    <col min="254" max="1020" width="13.83203125" style="31"/>
    <col min="1021" max="1025" width="12.83203125" style="31" customWidth="1"/>
    <col min="1026" max="16384" width="13.83203125" style="31"/>
  </cols>
  <sheetData>
    <row r="1" spans="1:12" ht="12.6" customHeight="1" x14ac:dyDescent="0.25">
      <c r="A1" s="579"/>
      <c r="B1" s="580" t="s">
        <v>0</v>
      </c>
      <c r="C1" s="581"/>
      <c r="D1" s="38"/>
      <c r="E1" s="38"/>
      <c r="F1" s="38"/>
      <c r="G1" s="38"/>
      <c r="H1" s="38"/>
      <c r="I1" s="38"/>
    </row>
    <row r="2" spans="1:12" ht="12.75" customHeight="1" x14ac:dyDescent="0.25">
      <c r="A2" s="582"/>
      <c r="B2" s="580" t="s">
        <v>210</v>
      </c>
      <c r="C2" s="583"/>
    </row>
    <row r="3" spans="1:12" ht="12.75" customHeight="1" thickBot="1" x14ac:dyDescent="0.3">
      <c r="A3" s="582"/>
      <c r="B3" s="580" t="s">
        <v>456</v>
      </c>
      <c r="C3" s="583"/>
    </row>
    <row r="4" spans="1:12" s="34" customFormat="1" ht="18.75" x14ac:dyDescent="0.2">
      <c r="A4" s="751" t="s">
        <v>212</v>
      </c>
      <c r="B4" s="752"/>
      <c r="C4" s="752"/>
      <c r="D4" s="752"/>
      <c r="E4" s="752"/>
      <c r="F4" s="752"/>
      <c r="G4" s="752"/>
      <c r="H4" s="752"/>
      <c r="I4" s="753"/>
      <c r="J4" s="142"/>
    </row>
    <row r="5" spans="1:12" s="34" customFormat="1" ht="40.5" customHeight="1" x14ac:dyDescent="0.2">
      <c r="A5" s="757" t="str">
        <f>CONCATENATE("Sindicato utilizado - ",E22,". Vigência: ",E24,"
Sendo a data base da categoria ",E25,". Com número de registro no MTE ",E23,".")</f>
        <v>Sindicato utilizado - SINDEAC/MG. Vigência: 01/01/2023 à 31/12/2023
Sendo a data base da categoria 01º de Janeiro. Com número de registro no MTE MG000001/2023.</v>
      </c>
      <c r="B5" s="758"/>
      <c r="C5" s="758"/>
      <c r="D5" s="758"/>
      <c r="E5" s="758"/>
      <c r="F5" s="758"/>
      <c r="G5" s="758"/>
      <c r="H5" s="758"/>
      <c r="I5" s="759"/>
      <c r="J5" s="142"/>
    </row>
    <row r="6" spans="1:12" s="34" customFormat="1" ht="24.75" customHeight="1" thickBot="1" x14ac:dyDescent="0.25">
      <c r="A6" s="760"/>
      <c r="B6" s="761"/>
      <c r="C6" s="761"/>
      <c r="D6" s="762"/>
      <c r="E6" s="754" t="s">
        <v>88</v>
      </c>
      <c r="F6" s="754"/>
      <c r="G6" s="754"/>
      <c r="H6" s="754"/>
      <c r="I6" s="755"/>
    </row>
    <row r="7" spans="1:12" s="34" customFormat="1" ht="96" customHeight="1" thickBot="1" x14ac:dyDescent="0.25">
      <c r="A7" s="143" t="s">
        <v>89</v>
      </c>
      <c r="B7" s="144" t="s">
        <v>90</v>
      </c>
      <c r="C7" s="145" t="s">
        <v>91</v>
      </c>
      <c r="D7" s="145" t="s">
        <v>128</v>
      </c>
      <c r="E7" s="145" t="s">
        <v>252</v>
      </c>
      <c r="F7" s="145" t="s">
        <v>215</v>
      </c>
      <c r="G7" s="145" t="s">
        <v>92</v>
      </c>
      <c r="H7" s="145" t="s">
        <v>214</v>
      </c>
      <c r="I7" s="146" t="s">
        <v>216</v>
      </c>
      <c r="L7" s="147"/>
    </row>
    <row r="8" spans="1:12" s="34" customFormat="1" ht="24.75" customHeight="1" thickBot="1" x14ac:dyDescent="0.25">
      <c r="A8" s="756">
        <v>333903701</v>
      </c>
      <c r="B8" s="148" t="s">
        <v>67</v>
      </c>
      <c r="C8" s="149">
        <v>150</v>
      </c>
      <c r="D8" s="149">
        <v>2</v>
      </c>
      <c r="E8" s="131">
        <v>2080</v>
      </c>
      <c r="F8" s="150">
        <f t="shared" ref="F8:F16" si="0">ROUND(((E8/220)*C8),2)</f>
        <v>1418.18</v>
      </c>
      <c r="G8" s="151">
        <v>0</v>
      </c>
      <c r="H8" s="150">
        <f>SUM(F8:G8)</f>
        <v>1418.18</v>
      </c>
      <c r="I8" s="152">
        <f>Uniforme!F14</f>
        <v>76.239999999999995</v>
      </c>
      <c r="J8" s="147"/>
      <c r="L8" s="147"/>
    </row>
    <row r="9" spans="1:12" s="34" customFormat="1" ht="24.75" customHeight="1" thickBot="1" x14ac:dyDescent="0.25">
      <c r="A9" s="756"/>
      <c r="B9" s="148" t="s">
        <v>76</v>
      </c>
      <c r="C9" s="149">
        <v>200</v>
      </c>
      <c r="D9" s="149">
        <v>15</v>
      </c>
      <c r="E9" s="131">
        <f>E12</f>
        <v>2530</v>
      </c>
      <c r="F9" s="150">
        <f t="shared" si="0"/>
        <v>2300</v>
      </c>
      <c r="G9" s="151">
        <v>0</v>
      </c>
      <c r="H9" s="150">
        <f t="shared" ref="H9:H18" si="1">SUM(F9:G9)</f>
        <v>2300</v>
      </c>
      <c r="I9" s="153">
        <f>Uniforme!F21</f>
        <v>72.650000000000006</v>
      </c>
      <c r="J9" s="147"/>
      <c r="L9" s="147"/>
    </row>
    <row r="10" spans="1:12" s="34" customFormat="1" ht="24.75" customHeight="1" thickBot="1" x14ac:dyDescent="0.25">
      <c r="A10" s="756"/>
      <c r="B10" s="154" t="s">
        <v>208</v>
      </c>
      <c r="C10" s="155">
        <v>200</v>
      </c>
      <c r="D10" s="155">
        <v>3</v>
      </c>
      <c r="E10" s="132">
        <v>2420</v>
      </c>
      <c r="F10" s="150">
        <f t="shared" si="0"/>
        <v>2200</v>
      </c>
      <c r="G10" s="151">
        <v>0</v>
      </c>
      <c r="H10" s="150">
        <f t="shared" si="1"/>
        <v>2200</v>
      </c>
      <c r="I10" s="153">
        <f>Uniforme!F28</f>
        <v>40.71</v>
      </c>
      <c r="J10" s="147"/>
      <c r="L10" s="147"/>
    </row>
    <row r="11" spans="1:12" ht="24" customHeight="1" thickBot="1" x14ac:dyDescent="0.3">
      <c r="A11" s="756"/>
      <c r="B11" s="156" t="s">
        <v>94</v>
      </c>
      <c r="C11" s="157">
        <v>150</v>
      </c>
      <c r="D11" s="157">
        <v>27</v>
      </c>
      <c r="E11" s="133">
        <v>2530</v>
      </c>
      <c r="F11" s="158">
        <f t="shared" si="0"/>
        <v>1725</v>
      </c>
      <c r="G11" s="151">
        <v>0</v>
      </c>
      <c r="H11" s="150">
        <f t="shared" si="1"/>
        <v>1725</v>
      </c>
      <c r="I11" s="159">
        <f>Uniforme!F35</f>
        <v>72.650000000000006</v>
      </c>
      <c r="J11" s="147"/>
    </row>
    <row r="12" spans="1:12" ht="24" customHeight="1" thickBot="1" x14ac:dyDescent="0.3">
      <c r="A12" s="756"/>
      <c r="B12" s="156" t="s">
        <v>95</v>
      </c>
      <c r="C12" s="160">
        <v>200</v>
      </c>
      <c r="D12" s="160">
        <v>71</v>
      </c>
      <c r="E12" s="134">
        <v>2530</v>
      </c>
      <c r="F12" s="161">
        <f t="shared" si="0"/>
        <v>2300</v>
      </c>
      <c r="G12" s="151">
        <v>0</v>
      </c>
      <c r="H12" s="150">
        <f t="shared" si="1"/>
        <v>2300</v>
      </c>
      <c r="I12" s="159">
        <f>Uniforme!F35</f>
        <v>72.650000000000006</v>
      </c>
      <c r="J12" s="147"/>
    </row>
    <row r="13" spans="1:12" ht="27.75" customHeight="1" thickBot="1" x14ac:dyDescent="0.3">
      <c r="A13" s="756"/>
      <c r="B13" s="162" t="s">
        <v>139</v>
      </c>
      <c r="C13" s="163">
        <v>150</v>
      </c>
      <c r="D13" s="163">
        <v>3</v>
      </c>
      <c r="E13" s="134">
        <v>3289</v>
      </c>
      <c r="F13" s="161">
        <f t="shared" si="0"/>
        <v>2242.5</v>
      </c>
      <c r="G13" s="151">
        <v>0</v>
      </c>
      <c r="H13" s="150">
        <f t="shared" si="1"/>
        <v>2242.5</v>
      </c>
      <c r="I13" s="159">
        <f>Uniforme!F35</f>
        <v>72.650000000000006</v>
      </c>
      <c r="J13" s="147"/>
    </row>
    <row r="14" spans="1:12" ht="27.75" customHeight="1" thickBot="1" x14ac:dyDescent="0.3">
      <c r="A14" s="756"/>
      <c r="B14" s="164" t="s">
        <v>140</v>
      </c>
      <c r="C14" s="163">
        <v>200</v>
      </c>
      <c r="D14" s="163">
        <v>21</v>
      </c>
      <c r="E14" s="134">
        <v>3289</v>
      </c>
      <c r="F14" s="161">
        <f t="shared" si="0"/>
        <v>2990</v>
      </c>
      <c r="G14" s="151">
        <v>0</v>
      </c>
      <c r="H14" s="150">
        <f t="shared" si="1"/>
        <v>2990</v>
      </c>
      <c r="I14" s="159">
        <f>Uniforme!F35</f>
        <v>72.650000000000006</v>
      </c>
      <c r="J14" s="147"/>
    </row>
    <row r="15" spans="1:12" ht="27.75" customHeight="1" thickBot="1" x14ac:dyDescent="0.3">
      <c r="A15" s="756"/>
      <c r="B15" s="162" t="s">
        <v>96</v>
      </c>
      <c r="C15" s="163">
        <v>200</v>
      </c>
      <c r="D15" s="163">
        <v>6</v>
      </c>
      <c r="E15" s="134">
        <v>5362.5</v>
      </c>
      <c r="F15" s="161">
        <f t="shared" si="0"/>
        <v>4875</v>
      </c>
      <c r="G15" s="151">
        <v>0</v>
      </c>
      <c r="H15" s="150">
        <f t="shared" si="1"/>
        <v>4875</v>
      </c>
      <c r="I15" s="165">
        <f>Uniforme!F43</f>
        <v>74.23</v>
      </c>
      <c r="J15" s="147"/>
    </row>
    <row r="16" spans="1:12" ht="27.75" customHeight="1" thickBot="1" x14ac:dyDescent="0.3">
      <c r="A16" s="756"/>
      <c r="B16" s="162" t="s">
        <v>86</v>
      </c>
      <c r="C16" s="163">
        <v>220</v>
      </c>
      <c r="D16" s="163">
        <v>1</v>
      </c>
      <c r="E16" s="134">
        <v>2753.93</v>
      </c>
      <c r="F16" s="161">
        <f t="shared" si="0"/>
        <v>2753.93</v>
      </c>
      <c r="G16" s="151">
        <v>0</v>
      </c>
      <c r="H16" s="150">
        <f t="shared" si="1"/>
        <v>2753.93</v>
      </c>
      <c r="I16" s="165">
        <f>Uniforme!F50</f>
        <v>72.650000000000006</v>
      </c>
      <c r="J16" s="147"/>
    </row>
    <row r="17" spans="1:13" ht="24" customHeight="1" thickBot="1" x14ac:dyDescent="0.3">
      <c r="A17" s="756"/>
      <c r="B17" s="166" t="s">
        <v>97</v>
      </c>
      <c r="C17" s="167">
        <v>150</v>
      </c>
      <c r="D17" s="167">
        <v>8</v>
      </c>
      <c r="E17" s="134">
        <v>4789.71</v>
      </c>
      <c r="F17" s="161">
        <f>ROUND(((E17/200)*C17),2)</f>
        <v>3592.28</v>
      </c>
      <c r="G17" s="151">
        <v>0</v>
      </c>
      <c r="H17" s="150">
        <f t="shared" si="1"/>
        <v>3592.28</v>
      </c>
      <c r="I17" s="159">
        <f>Uniforme!F58</f>
        <v>53.87</v>
      </c>
      <c r="J17" s="147"/>
    </row>
    <row r="18" spans="1:13" ht="24" customHeight="1" thickBot="1" x14ac:dyDescent="0.3">
      <c r="A18" s="756"/>
      <c r="B18" s="168" t="s">
        <v>98</v>
      </c>
      <c r="C18" s="169">
        <v>220</v>
      </c>
      <c r="D18" s="169">
        <v>11</v>
      </c>
      <c r="E18" s="135">
        <v>2472.6799999999998</v>
      </c>
      <c r="F18" s="170">
        <f>ROUND(((E18/220)*C18),2)</f>
        <v>2472.6799999999998</v>
      </c>
      <c r="G18" s="171">
        <v>0</v>
      </c>
      <c r="H18" s="172">
        <f t="shared" si="1"/>
        <v>2472.6799999999998</v>
      </c>
      <c r="I18" s="173">
        <f>Uniforme!F65</f>
        <v>72.650000000000006</v>
      </c>
      <c r="J18" s="147"/>
    </row>
    <row r="19" spans="1:13" ht="24" customHeight="1" x14ac:dyDescent="0.25">
      <c r="E19" s="174" t="s">
        <v>253</v>
      </c>
    </row>
    <row r="20" spans="1:13" x14ac:dyDescent="0.25">
      <c r="A20" s="763" t="s">
        <v>217</v>
      </c>
      <c r="B20" s="763"/>
      <c r="C20" s="763"/>
      <c r="D20" s="763"/>
      <c r="E20" s="763"/>
      <c r="F20" s="763"/>
      <c r="G20" s="763"/>
      <c r="H20" s="175"/>
      <c r="I20" s="175"/>
    </row>
    <row r="21" spans="1:13" ht="30.75" customHeight="1" x14ac:dyDescent="0.25">
      <c r="A21" s="176">
        <v>1</v>
      </c>
      <c r="B21" s="746" t="s">
        <v>218</v>
      </c>
      <c r="C21" s="746"/>
      <c r="D21" s="746"/>
      <c r="E21" s="747" t="s">
        <v>219</v>
      </c>
      <c r="F21" s="747"/>
      <c r="G21" s="747"/>
      <c r="H21" s="738" t="s">
        <v>220</v>
      </c>
      <c r="I21" s="739"/>
      <c r="J21" s="739"/>
      <c r="K21" s="739"/>
      <c r="L21" s="739"/>
    </row>
    <row r="22" spans="1:13" ht="30.75" customHeight="1" x14ac:dyDescent="0.25">
      <c r="A22" s="176">
        <v>2</v>
      </c>
      <c r="B22" s="746" t="s">
        <v>221</v>
      </c>
      <c r="C22" s="746"/>
      <c r="D22" s="746"/>
      <c r="E22" s="747" t="s">
        <v>322</v>
      </c>
      <c r="F22" s="747"/>
      <c r="G22" s="747"/>
      <c r="H22" s="738" t="s">
        <v>222</v>
      </c>
      <c r="I22" s="739"/>
      <c r="J22" s="739"/>
      <c r="K22" s="739"/>
      <c r="L22" s="739"/>
    </row>
    <row r="23" spans="1:13" ht="30.75" customHeight="1" x14ac:dyDescent="0.25">
      <c r="A23" s="176">
        <v>3</v>
      </c>
      <c r="B23" s="746" t="s">
        <v>223</v>
      </c>
      <c r="C23" s="746"/>
      <c r="D23" s="746"/>
      <c r="E23" s="747" t="s">
        <v>323</v>
      </c>
      <c r="F23" s="747"/>
      <c r="G23" s="747"/>
      <c r="H23" s="738" t="s">
        <v>224</v>
      </c>
      <c r="I23" s="739"/>
      <c r="J23" s="739"/>
      <c r="K23" s="739"/>
      <c r="L23" s="739"/>
    </row>
    <row r="24" spans="1:13" ht="30.75" customHeight="1" x14ac:dyDescent="0.25">
      <c r="A24" s="176">
        <v>4</v>
      </c>
      <c r="B24" s="746" t="s">
        <v>225</v>
      </c>
      <c r="C24" s="746"/>
      <c r="D24" s="746"/>
      <c r="E24" s="747" t="s">
        <v>324</v>
      </c>
      <c r="F24" s="747"/>
      <c r="G24" s="747"/>
      <c r="H24" s="738" t="s">
        <v>226</v>
      </c>
      <c r="I24" s="739"/>
      <c r="J24" s="739"/>
      <c r="K24" s="739"/>
      <c r="L24" s="739"/>
    </row>
    <row r="25" spans="1:13" ht="30.75" customHeight="1" x14ac:dyDescent="0.25">
      <c r="A25" s="176">
        <v>5</v>
      </c>
      <c r="B25" s="746" t="s">
        <v>227</v>
      </c>
      <c r="C25" s="746"/>
      <c r="D25" s="746"/>
      <c r="E25" s="747" t="s">
        <v>325</v>
      </c>
      <c r="F25" s="747"/>
      <c r="G25" s="747"/>
      <c r="H25" s="738" t="s">
        <v>228</v>
      </c>
      <c r="I25" s="739"/>
      <c r="J25" s="739"/>
      <c r="K25" s="739"/>
      <c r="L25" s="739"/>
    </row>
    <row r="26" spans="1:13" x14ac:dyDescent="0.25">
      <c r="E26" s="174"/>
    </row>
    <row r="27" spans="1:13" x14ac:dyDescent="0.25">
      <c r="A27" s="735" t="s">
        <v>99</v>
      </c>
      <c r="B27" s="735"/>
      <c r="C27" s="735"/>
      <c r="D27" s="735"/>
      <c r="E27" s="735"/>
      <c r="F27" s="735"/>
      <c r="G27" s="735"/>
      <c r="H27" s="34"/>
      <c r="I27" s="34"/>
    </row>
    <row r="28" spans="1:13" x14ac:dyDescent="0.25">
      <c r="A28" s="177" t="s">
        <v>229</v>
      </c>
      <c r="B28" s="723" t="s">
        <v>100</v>
      </c>
      <c r="C28" s="724"/>
      <c r="D28" s="724"/>
      <c r="E28" s="724"/>
      <c r="F28" s="725"/>
      <c r="G28" s="178">
        <f>Encargos!$C$55</f>
        <v>0.79049999999999998</v>
      </c>
    </row>
    <row r="29" spans="1:13" x14ac:dyDescent="0.25">
      <c r="E29" s="174"/>
    </row>
    <row r="30" spans="1:13" x14ac:dyDescent="0.25">
      <c r="A30" s="179">
        <v>1</v>
      </c>
      <c r="B30" s="732" t="s">
        <v>230</v>
      </c>
      <c r="C30" s="733"/>
      <c r="D30" s="733"/>
      <c r="E30" s="733"/>
      <c r="F30" s="734"/>
      <c r="G30" s="180">
        <f>G31*G32</f>
        <v>0.06</v>
      </c>
      <c r="H30" s="175"/>
    </row>
    <row r="31" spans="1:13" s="34" customFormat="1" x14ac:dyDescent="0.2">
      <c r="A31" s="179">
        <v>2</v>
      </c>
      <c r="B31" s="732" t="s">
        <v>231</v>
      </c>
      <c r="C31" s="733"/>
      <c r="D31" s="733"/>
      <c r="E31" s="733"/>
      <c r="F31" s="734"/>
      <c r="G31" s="109">
        <v>0.03</v>
      </c>
      <c r="H31" s="181" t="s">
        <v>232</v>
      </c>
    </row>
    <row r="32" spans="1:13" x14ac:dyDescent="0.25">
      <c r="A32" s="179">
        <v>3</v>
      </c>
      <c r="B32" s="732" t="s">
        <v>233</v>
      </c>
      <c r="C32" s="733"/>
      <c r="D32" s="733"/>
      <c r="E32" s="733"/>
      <c r="F32" s="734"/>
      <c r="G32" s="110">
        <v>2</v>
      </c>
      <c r="H32" s="181" t="s">
        <v>234</v>
      </c>
      <c r="I32" s="182"/>
      <c r="L32" s="183"/>
      <c r="M32" s="183"/>
    </row>
    <row r="33" spans="1:13" x14ac:dyDescent="0.25">
      <c r="L33" s="183"/>
      <c r="M33" s="183"/>
    </row>
    <row r="34" spans="1:13" s="34" customFormat="1" x14ac:dyDescent="0.25">
      <c r="A34" s="735" t="s">
        <v>101</v>
      </c>
      <c r="B34" s="735"/>
      <c r="C34" s="735"/>
      <c r="D34" s="735"/>
      <c r="E34" s="735"/>
      <c r="F34" s="735"/>
      <c r="G34" s="735"/>
      <c r="I34" s="56"/>
    </row>
    <row r="35" spans="1:13" x14ac:dyDescent="0.25">
      <c r="A35" s="184">
        <v>1</v>
      </c>
      <c r="B35" s="729" t="s">
        <v>102</v>
      </c>
      <c r="C35" s="730"/>
      <c r="D35" s="730"/>
      <c r="E35" s="730"/>
      <c r="F35" s="731"/>
      <c r="G35" s="136">
        <v>2.2000000000000002</v>
      </c>
      <c r="H35" s="181" t="s">
        <v>257</v>
      </c>
    </row>
    <row r="36" spans="1:13" x14ac:dyDescent="0.25">
      <c r="A36" s="184">
        <v>2</v>
      </c>
      <c r="B36" s="729" t="s">
        <v>235</v>
      </c>
      <c r="C36" s="730"/>
      <c r="D36" s="730"/>
      <c r="E36" s="730"/>
      <c r="F36" s="731"/>
      <c r="G36" s="136">
        <v>66.099999999999994</v>
      </c>
      <c r="H36" s="181" t="s">
        <v>257</v>
      </c>
      <c r="K36" s="111"/>
    </row>
    <row r="37" spans="1:13" x14ac:dyDescent="0.25">
      <c r="A37" s="742">
        <v>3</v>
      </c>
      <c r="B37" s="750" t="s">
        <v>105</v>
      </c>
      <c r="C37" s="740" t="s">
        <v>245</v>
      </c>
      <c r="D37" s="740"/>
      <c r="E37" s="740"/>
      <c r="F37" s="740"/>
      <c r="G37" s="137">
        <v>24.54</v>
      </c>
      <c r="H37" s="31" t="s">
        <v>258</v>
      </c>
    </row>
    <row r="38" spans="1:13" x14ac:dyDescent="0.25">
      <c r="A38" s="742"/>
      <c r="B38" s="750"/>
      <c r="C38" s="750" t="s">
        <v>249</v>
      </c>
      <c r="D38" s="750"/>
      <c r="E38" s="750"/>
      <c r="F38" s="750"/>
      <c r="G38" s="185">
        <v>22</v>
      </c>
      <c r="H38" s="181" t="s">
        <v>251</v>
      </c>
    </row>
    <row r="39" spans="1:13" x14ac:dyDescent="0.25">
      <c r="A39" s="742"/>
      <c r="B39" s="750"/>
      <c r="C39" s="750" t="s">
        <v>250</v>
      </c>
      <c r="D39" s="750"/>
      <c r="E39" s="750"/>
      <c r="F39" s="750"/>
      <c r="G39" s="138">
        <v>0.2</v>
      </c>
      <c r="H39" s="31" t="s">
        <v>265</v>
      </c>
    </row>
    <row r="40" spans="1:13" x14ac:dyDescent="0.25">
      <c r="A40" s="742">
        <v>4</v>
      </c>
      <c r="B40" s="750" t="s">
        <v>104</v>
      </c>
      <c r="C40" s="740" t="s">
        <v>247</v>
      </c>
      <c r="D40" s="740"/>
      <c r="E40" s="740"/>
      <c r="F40" s="740"/>
      <c r="G40" s="139">
        <v>2</v>
      </c>
      <c r="H40" s="31" t="s">
        <v>240</v>
      </c>
    </row>
    <row r="41" spans="1:13" x14ac:dyDescent="0.25">
      <c r="A41" s="742"/>
      <c r="B41" s="750"/>
      <c r="C41" s="740" t="s">
        <v>238</v>
      </c>
      <c r="D41" s="740"/>
      <c r="E41" s="740"/>
      <c r="F41" s="740"/>
      <c r="G41" s="137">
        <v>4.5</v>
      </c>
      <c r="H41" s="31" t="s">
        <v>241</v>
      </c>
    </row>
    <row r="42" spans="1:13" x14ac:dyDescent="0.25">
      <c r="A42" s="742"/>
      <c r="B42" s="750"/>
      <c r="C42" s="740" t="s">
        <v>248</v>
      </c>
      <c r="D42" s="740"/>
      <c r="E42" s="740"/>
      <c r="F42" s="740"/>
      <c r="G42" s="139">
        <v>2</v>
      </c>
      <c r="H42" s="31" t="s">
        <v>240</v>
      </c>
    </row>
    <row r="43" spans="1:13" x14ac:dyDescent="0.25">
      <c r="A43" s="742"/>
      <c r="B43" s="750"/>
      <c r="C43" s="740" t="s">
        <v>239</v>
      </c>
      <c r="D43" s="740"/>
      <c r="E43" s="740"/>
      <c r="F43" s="740"/>
      <c r="G43" s="140">
        <v>7.1</v>
      </c>
      <c r="H43" s="31" t="s">
        <v>256</v>
      </c>
    </row>
    <row r="44" spans="1:13" x14ac:dyDescent="0.25">
      <c r="A44" s="742"/>
      <c r="B44" s="750"/>
      <c r="C44" s="750" t="s">
        <v>249</v>
      </c>
      <c r="D44" s="750"/>
      <c r="E44" s="750"/>
      <c r="F44" s="750"/>
      <c r="G44" s="185">
        <v>22</v>
      </c>
      <c r="H44" s="181" t="s">
        <v>251</v>
      </c>
    </row>
    <row r="45" spans="1:13" x14ac:dyDescent="0.25">
      <c r="A45" s="742"/>
      <c r="B45" s="750"/>
      <c r="C45" s="750" t="s">
        <v>250</v>
      </c>
      <c r="D45" s="750"/>
      <c r="E45" s="750"/>
      <c r="F45" s="750"/>
      <c r="G45" s="138">
        <v>0.06</v>
      </c>
      <c r="H45" s="31" t="s">
        <v>265</v>
      </c>
    </row>
    <row r="46" spans="1:13" s="186" customFormat="1" ht="28.5" customHeight="1" x14ac:dyDescent="0.2">
      <c r="A46" s="508">
        <v>5</v>
      </c>
      <c r="B46" s="743" t="s">
        <v>254</v>
      </c>
      <c r="C46" s="744"/>
      <c r="D46" s="744"/>
      <c r="E46" s="744"/>
      <c r="F46" s="745"/>
      <c r="G46" s="509">
        <v>0</v>
      </c>
      <c r="H46" s="738" t="s">
        <v>255</v>
      </c>
      <c r="I46" s="739"/>
      <c r="J46" s="739"/>
      <c r="K46" s="739"/>
      <c r="L46" s="739"/>
    </row>
    <row r="47" spans="1:13" s="186" customFormat="1" ht="28.5" customHeight="1" x14ac:dyDescent="0.2">
      <c r="A47" s="508">
        <v>6</v>
      </c>
      <c r="B47" s="743" t="s">
        <v>254</v>
      </c>
      <c r="C47" s="744"/>
      <c r="D47" s="744"/>
      <c r="E47" s="744"/>
      <c r="F47" s="745"/>
      <c r="G47" s="509">
        <v>0</v>
      </c>
      <c r="H47" s="738" t="s">
        <v>255</v>
      </c>
      <c r="I47" s="739"/>
      <c r="J47" s="739"/>
      <c r="K47" s="739"/>
      <c r="L47" s="739"/>
    </row>
    <row r="48" spans="1:13" ht="18.75" customHeight="1" x14ac:dyDescent="0.25">
      <c r="A48" s="187"/>
      <c r="B48" s="188"/>
      <c r="C48" s="188"/>
      <c r="D48" s="188"/>
      <c r="E48" s="188"/>
      <c r="F48" s="188"/>
    </row>
    <row r="49" spans="1:18" s="34" customFormat="1" x14ac:dyDescent="0.2">
      <c r="A49" s="741" t="s">
        <v>106</v>
      </c>
      <c r="B49" s="741"/>
      <c r="C49" s="741"/>
      <c r="D49" s="741"/>
      <c r="E49" s="741"/>
      <c r="F49" s="741"/>
      <c r="G49" s="741"/>
    </row>
    <row r="50" spans="1:18" x14ac:dyDescent="0.25">
      <c r="A50" s="189">
        <v>1</v>
      </c>
      <c r="B50" s="723" t="s">
        <v>107</v>
      </c>
      <c r="C50" s="724"/>
      <c r="D50" s="724"/>
      <c r="E50" s="724"/>
      <c r="F50" s="725"/>
      <c r="G50" s="631">
        <v>0.03</v>
      </c>
      <c r="H50" s="181" t="s">
        <v>259</v>
      </c>
    </row>
    <row r="51" spans="1:18" x14ac:dyDescent="0.25">
      <c r="A51" s="189">
        <v>2</v>
      </c>
      <c r="B51" s="740" t="s">
        <v>108</v>
      </c>
      <c r="C51" s="740"/>
      <c r="D51" s="740"/>
      <c r="E51" s="740"/>
      <c r="F51" s="740"/>
      <c r="G51" s="631">
        <v>6.7900000000000002E-2</v>
      </c>
      <c r="H51" s="181" t="s">
        <v>259</v>
      </c>
    </row>
    <row r="52" spans="1:18" x14ac:dyDescent="0.25">
      <c r="A52" s="34"/>
      <c r="B52" s="190"/>
      <c r="C52" s="190"/>
      <c r="D52" s="190"/>
      <c r="E52" s="190"/>
      <c r="F52" s="190"/>
      <c r="G52" s="191"/>
      <c r="H52" s="181"/>
    </row>
    <row r="53" spans="1:18" x14ac:dyDescent="0.25">
      <c r="A53" s="741" t="s">
        <v>260</v>
      </c>
      <c r="B53" s="741"/>
      <c r="C53" s="741"/>
      <c r="D53" s="741"/>
      <c r="E53" s="741"/>
      <c r="F53" s="741"/>
      <c r="G53" s="741"/>
      <c r="H53" s="181"/>
    </row>
    <row r="54" spans="1:18" x14ac:dyDescent="0.25">
      <c r="A54" s="748" t="s">
        <v>261</v>
      </c>
      <c r="B54" s="749" t="str">
        <f>IF(F57="LUCRO REAL","INFORMAR ALÍQUOTAS MÉDIAS DE RECOLHIMENTO DOS ÚLTIMOS 12 (DOZE) MESES.",IF(F57="LUCRO PRESUMIDO","ALÍQUOTAS FIXAS - PIS: 0,65%; COFINS: 3,00%.",IF(F57="SIMPLES NACIONAL","NECESSÁRIO COMUNICAR A EXCLUSÃO DO SIMPLES NACIONAL - REGIME DE CONTRATAÇÃO INCOMPATÍVEL COM A LEI 123/2003. DEFINIR OUTRO REGIME TRIBUTÁRIO PARA O PRESENTE PROCESSO, OU APRESENTAR AS JUSTIFICATIVAS LEGAIS.","INFORMAR ALÍQUOTA E APRESENTAR AS JUSTIFICATIVAS LEGAIS.")))</f>
        <v>INFORMAR ALÍQUOTAS MÉDIAS DE RECOLHIMENTO DOS ÚLTIMOS 12 (DOZE) MESES.</v>
      </c>
      <c r="C54" s="749"/>
      <c r="D54" s="749"/>
      <c r="E54" s="749"/>
      <c r="F54" s="749"/>
      <c r="G54" s="749"/>
      <c r="H54" s="181"/>
    </row>
    <row r="55" spans="1:18" x14ac:dyDescent="0.25">
      <c r="A55" s="748"/>
      <c r="B55" s="749"/>
      <c r="C55" s="749"/>
      <c r="D55" s="749"/>
      <c r="E55" s="749"/>
      <c r="F55" s="749"/>
      <c r="G55" s="749"/>
      <c r="H55" s="181"/>
    </row>
    <row r="56" spans="1:18" x14ac:dyDescent="0.25">
      <c r="A56" s="748"/>
      <c r="B56" s="749"/>
      <c r="C56" s="749"/>
      <c r="D56" s="749"/>
      <c r="E56" s="749"/>
      <c r="F56" s="749"/>
      <c r="G56" s="749"/>
      <c r="H56" s="181"/>
    </row>
    <row r="57" spans="1:18" x14ac:dyDescent="0.25">
      <c r="A57" s="192">
        <v>1</v>
      </c>
      <c r="B57" s="737" t="s">
        <v>262</v>
      </c>
      <c r="C57" s="737"/>
      <c r="D57" s="737"/>
      <c r="E57" s="737"/>
      <c r="F57" s="736" t="s">
        <v>264</v>
      </c>
      <c r="G57" s="736"/>
    </row>
    <row r="58" spans="1:18" x14ac:dyDescent="0.25">
      <c r="A58" s="192">
        <v>2</v>
      </c>
      <c r="B58" s="723" t="s">
        <v>109</v>
      </c>
      <c r="C58" s="724"/>
      <c r="D58" s="724"/>
      <c r="E58" s="724"/>
      <c r="F58" s="725"/>
      <c r="G58" s="178">
        <v>7.5999999999999998E-2</v>
      </c>
    </row>
    <row r="59" spans="1:18" x14ac:dyDescent="0.25">
      <c r="A59" s="192">
        <v>3</v>
      </c>
      <c r="B59" s="723" t="s">
        <v>110</v>
      </c>
      <c r="C59" s="724"/>
      <c r="D59" s="724"/>
      <c r="E59" s="724"/>
      <c r="F59" s="725"/>
      <c r="G59" s="178">
        <v>1.6500000000000001E-2</v>
      </c>
    </row>
    <row r="60" spans="1:18" x14ac:dyDescent="0.25">
      <c r="A60" s="192">
        <v>4</v>
      </c>
      <c r="B60" s="723" t="s">
        <v>111</v>
      </c>
      <c r="C60" s="724"/>
      <c r="D60" s="724"/>
      <c r="E60" s="724"/>
      <c r="F60" s="725"/>
      <c r="G60" s="178">
        <v>0.05</v>
      </c>
    </row>
    <row r="61" spans="1:18" x14ac:dyDescent="0.25">
      <c r="A61" s="192">
        <v>5</v>
      </c>
      <c r="B61" s="726" t="s">
        <v>254</v>
      </c>
      <c r="C61" s="727"/>
      <c r="D61" s="727"/>
      <c r="E61" s="727"/>
      <c r="F61" s="728"/>
      <c r="G61" s="141">
        <v>0</v>
      </c>
    </row>
    <row r="62" spans="1:18" x14ac:dyDescent="0.25">
      <c r="A62" s="192">
        <v>6</v>
      </c>
      <c r="B62" s="723" t="s">
        <v>263</v>
      </c>
      <c r="C62" s="724"/>
      <c r="D62" s="724"/>
      <c r="E62" s="724"/>
      <c r="F62" s="725"/>
      <c r="G62" s="178">
        <f>SUM(G58:G61)</f>
        <v>0.14250000000000002</v>
      </c>
    </row>
    <row r="64" spans="1:18" ht="30" hidden="1" customHeight="1" x14ac:dyDescent="0.25">
      <c r="A64" s="722" t="s">
        <v>407</v>
      </c>
      <c r="B64" s="722"/>
      <c r="C64" s="722"/>
      <c r="D64" s="722"/>
      <c r="E64" s="722"/>
      <c r="F64" s="722"/>
      <c r="G64" s="722"/>
      <c r="H64" s="722"/>
      <c r="I64" s="722"/>
      <c r="J64" s="722"/>
      <c r="K64" s="370" t="s">
        <v>62</v>
      </c>
      <c r="L64" s="371" t="s">
        <v>424</v>
      </c>
      <c r="M64" s="720" t="s">
        <v>425</v>
      </c>
      <c r="N64" s="721"/>
      <c r="O64" s="712" t="s">
        <v>426</v>
      </c>
      <c r="P64" s="712"/>
      <c r="Q64" s="712" t="s">
        <v>427</v>
      </c>
      <c r="R64" s="712"/>
    </row>
    <row r="65" spans="1:18" hidden="1" x14ac:dyDescent="0.25">
      <c r="A65" s="386" t="s">
        <v>379</v>
      </c>
      <c r="B65" s="386"/>
      <c r="C65" s="709" t="s">
        <v>408</v>
      </c>
      <c r="D65" s="709"/>
      <c r="E65" s="709"/>
      <c r="F65" s="372">
        <f>IPCA!G27</f>
        <v>0</v>
      </c>
      <c r="G65" s="386" t="s">
        <v>409</v>
      </c>
      <c r="H65" s="386"/>
      <c r="I65" s="387"/>
      <c r="J65" s="387"/>
      <c r="K65" s="373" t="s">
        <v>349</v>
      </c>
      <c r="L65" s="373" t="s">
        <v>349</v>
      </c>
      <c r="M65" s="707">
        <f>ROUND((100%+F65),2)</f>
        <v>1</v>
      </c>
      <c r="N65" s="707"/>
      <c r="O65" s="708"/>
      <c r="P65" s="708"/>
      <c r="Q65" s="719"/>
      <c r="R65" s="719"/>
    </row>
    <row r="66" spans="1:18" hidden="1" x14ac:dyDescent="0.25">
      <c r="A66" s="386" t="s">
        <v>380</v>
      </c>
      <c r="B66" s="386"/>
      <c r="C66" s="709" t="s">
        <v>408</v>
      </c>
      <c r="D66" s="709"/>
      <c r="E66" s="709"/>
      <c r="F66" s="372">
        <f>IPCA!N27</f>
        <v>0</v>
      </c>
      <c r="G66" s="386" t="s">
        <v>409</v>
      </c>
      <c r="H66" s="386"/>
      <c r="I66" s="387"/>
      <c r="J66" s="387"/>
      <c r="K66" s="373" t="s">
        <v>349</v>
      </c>
      <c r="L66" s="373" t="s">
        <v>349</v>
      </c>
      <c r="M66" s="707">
        <f t="shared" ref="M66:M69" si="2">ROUND((100%+F66),2)</f>
        <v>1</v>
      </c>
      <c r="N66" s="707"/>
      <c r="O66" s="708"/>
      <c r="P66" s="708"/>
      <c r="Q66" s="719"/>
      <c r="R66" s="719"/>
    </row>
    <row r="67" spans="1:18" hidden="1" x14ac:dyDescent="0.25">
      <c r="A67" s="386" t="s">
        <v>381</v>
      </c>
      <c r="B67" s="386"/>
      <c r="C67" s="709" t="s">
        <v>408</v>
      </c>
      <c r="D67" s="709"/>
      <c r="E67" s="709"/>
      <c r="F67" s="372">
        <f>IPCA!U27</f>
        <v>0</v>
      </c>
      <c r="G67" s="386" t="s">
        <v>409</v>
      </c>
      <c r="H67" s="386"/>
      <c r="I67" s="387"/>
      <c r="J67" s="387"/>
      <c r="K67" s="373" t="s">
        <v>349</v>
      </c>
      <c r="L67" s="373" t="s">
        <v>349</v>
      </c>
      <c r="M67" s="707">
        <f t="shared" si="2"/>
        <v>1</v>
      </c>
      <c r="N67" s="707"/>
      <c r="O67" s="708"/>
      <c r="P67" s="708"/>
      <c r="Q67" s="719"/>
      <c r="R67" s="719"/>
    </row>
    <row r="68" spans="1:18" hidden="1" x14ac:dyDescent="0.25">
      <c r="A68" s="386" t="s">
        <v>382</v>
      </c>
      <c r="B68" s="386"/>
      <c r="C68" s="709" t="s">
        <v>408</v>
      </c>
      <c r="D68" s="709"/>
      <c r="E68" s="709"/>
      <c r="F68" s="372">
        <f>IPCA!AB27</f>
        <v>0</v>
      </c>
      <c r="G68" s="386" t="s">
        <v>409</v>
      </c>
      <c r="H68" s="386"/>
      <c r="I68" s="387"/>
      <c r="J68" s="387"/>
      <c r="K68" s="373" t="s">
        <v>349</v>
      </c>
      <c r="L68" s="373" t="s">
        <v>349</v>
      </c>
      <c r="M68" s="707">
        <f t="shared" si="2"/>
        <v>1</v>
      </c>
      <c r="N68" s="707"/>
      <c r="O68" s="708"/>
      <c r="P68" s="708"/>
      <c r="Q68" s="719"/>
      <c r="R68" s="719"/>
    </row>
    <row r="69" spans="1:18" hidden="1" x14ac:dyDescent="0.25">
      <c r="A69" s="386" t="s">
        <v>383</v>
      </c>
      <c r="B69" s="386"/>
      <c r="C69" s="709" t="s">
        <v>408</v>
      </c>
      <c r="D69" s="709"/>
      <c r="E69" s="709"/>
      <c r="F69" s="372">
        <f>IPCA!AI27</f>
        <v>0</v>
      </c>
      <c r="G69" s="386" t="s">
        <v>409</v>
      </c>
      <c r="H69" s="386"/>
      <c r="I69" s="387"/>
      <c r="J69" s="387"/>
      <c r="K69" s="373" t="s">
        <v>349</v>
      </c>
      <c r="L69" s="373" t="s">
        <v>349</v>
      </c>
      <c r="M69" s="707">
        <f t="shared" si="2"/>
        <v>1</v>
      </c>
      <c r="N69" s="707"/>
      <c r="O69" s="708"/>
      <c r="P69" s="708"/>
      <c r="Q69" s="719"/>
      <c r="R69" s="719"/>
    </row>
    <row r="70" spans="1:18" hidden="1" x14ac:dyDescent="0.25">
      <c r="A70" s="374"/>
      <c r="B70" s="375"/>
      <c r="C70" s="375"/>
      <c r="D70" s="375"/>
      <c r="E70" s="375"/>
      <c r="F70" s="374"/>
      <c r="G70" s="374"/>
      <c r="H70" s="374"/>
      <c r="I70" s="374"/>
      <c r="J70" s="376"/>
    </row>
    <row r="71" spans="1:18" ht="34.5" hidden="1" customHeight="1" x14ac:dyDescent="0.25">
      <c r="A71" s="712" t="s">
        <v>410</v>
      </c>
      <c r="B71" s="712"/>
      <c r="C71" s="712"/>
      <c r="D71" s="710" t="s">
        <v>411</v>
      </c>
      <c r="E71" s="710"/>
      <c r="F71" s="374"/>
      <c r="G71" s="374"/>
      <c r="H71" s="374"/>
      <c r="I71" s="374"/>
      <c r="J71" s="376"/>
    </row>
    <row r="72" spans="1:18" hidden="1" x14ac:dyDescent="0.25">
      <c r="A72" s="712"/>
      <c r="B72" s="712"/>
      <c r="C72" s="712"/>
      <c r="D72" s="711" t="s">
        <v>412</v>
      </c>
      <c r="E72" s="711"/>
      <c r="F72" s="374"/>
      <c r="G72" s="374"/>
      <c r="H72" s="374"/>
      <c r="I72" s="374"/>
      <c r="J72" s="376"/>
    </row>
    <row r="73" spans="1:18" ht="45" hidden="1" x14ac:dyDescent="0.25">
      <c r="A73" s="712" t="s">
        <v>413</v>
      </c>
      <c r="B73" s="712"/>
      <c r="C73" s="712"/>
      <c r="D73" s="710" t="s">
        <v>411</v>
      </c>
      <c r="E73" s="710"/>
      <c r="F73" s="378" t="s">
        <v>414</v>
      </c>
      <c r="G73" s="377" t="s">
        <v>364</v>
      </c>
      <c r="H73" s="377" t="s">
        <v>365</v>
      </c>
      <c r="I73" s="377" t="s">
        <v>366</v>
      </c>
      <c r="J73" s="377" t="s">
        <v>367</v>
      </c>
      <c r="K73" s="377" t="s">
        <v>368</v>
      </c>
      <c r="L73" s="31" t="s">
        <v>428</v>
      </c>
    </row>
    <row r="74" spans="1:18" hidden="1" x14ac:dyDescent="0.25">
      <c r="A74" s="712"/>
      <c r="B74" s="712"/>
      <c r="C74" s="712"/>
      <c r="D74" s="711" t="s">
        <v>412</v>
      </c>
      <c r="E74" s="711"/>
      <c r="F74" s="379">
        <v>1.55</v>
      </c>
      <c r="G74" s="380">
        <f>ROUND(IF(L65="SIM",F74*M65,F74),2)</f>
        <v>1.55</v>
      </c>
      <c r="H74" s="380">
        <f>ROUND(IF(L66="SIM",G74*M66,G74),2)</f>
        <v>1.55</v>
      </c>
      <c r="I74" s="380">
        <f>ROUND(IF(L67="SIM",H74*M67,H74),2)</f>
        <v>1.55</v>
      </c>
      <c r="J74" s="380">
        <f>ROUND(IF(L68="SIM",I74*M68,I74),2)</f>
        <v>1.55</v>
      </c>
      <c r="K74" s="380">
        <f>ROUND(IF(L69="SIM",J74*M69,J74),2)</f>
        <v>1.55</v>
      </c>
      <c r="L74" s="31">
        <f>IF(D74="INICIAL",F74,IF(D74="1º IPCA",G74,IF(D74="2º IPCA",H74,IF(D74="3º IPCA",I74,IF(D74="4º IPCA",J74,IF(D74="5º IPCA",K74,))))))</f>
        <v>1.55</v>
      </c>
    </row>
    <row r="75" spans="1:18" ht="15.75" hidden="1" thickBot="1" x14ac:dyDescent="0.3">
      <c r="A75" s="374"/>
      <c r="B75" s="374"/>
      <c r="C75" s="374"/>
      <c r="D75" s="374"/>
      <c r="E75" s="375"/>
      <c r="F75" s="374"/>
      <c r="G75" s="374"/>
      <c r="H75" s="374"/>
      <c r="I75" s="374"/>
      <c r="J75" s="376"/>
    </row>
    <row r="76" spans="1:18" ht="15.75" hidden="1" customHeight="1" thickBot="1" x14ac:dyDescent="0.3">
      <c r="A76" s="713" t="s">
        <v>415</v>
      </c>
      <c r="B76" s="714"/>
      <c r="C76" s="714"/>
      <c r="D76" s="714"/>
      <c r="E76" s="714"/>
      <c r="F76" s="714"/>
      <c r="G76" s="714"/>
      <c r="H76" s="715"/>
      <c r="I76" s="374"/>
      <c r="J76" s="376"/>
    </row>
    <row r="77" spans="1:18" hidden="1" x14ac:dyDescent="0.25">
      <c r="A77" s="716" t="s">
        <v>416</v>
      </c>
      <c r="B77" s="717"/>
      <c r="C77" s="717"/>
      <c r="D77" s="717"/>
      <c r="E77" s="718"/>
      <c r="F77" s="384" t="s">
        <v>417</v>
      </c>
      <c r="G77" s="385"/>
      <c r="H77" s="381"/>
      <c r="I77" s="374"/>
      <c r="J77" s="376"/>
    </row>
    <row r="78" spans="1:18" ht="42.75" hidden="1" customHeight="1" thickBot="1" x14ac:dyDescent="0.3">
      <c r="A78" s="704" t="s">
        <v>418</v>
      </c>
      <c r="B78" s="705"/>
      <c r="C78" s="705"/>
      <c r="D78" s="705"/>
      <c r="E78" s="705"/>
      <c r="F78" s="705"/>
      <c r="G78" s="705"/>
      <c r="H78" s="706"/>
      <c r="I78" s="374"/>
      <c r="J78" s="376"/>
    </row>
    <row r="79" spans="1:18" hidden="1" x14ac:dyDescent="0.25">
      <c r="A79" s="716" t="s">
        <v>419</v>
      </c>
      <c r="B79" s="717"/>
      <c r="C79" s="717"/>
      <c r="D79" s="717"/>
      <c r="E79" s="718"/>
      <c r="F79" s="384" t="s">
        <v>417</v>
      </c>
      <c r="G79" s="385"/>
      <c r="H79" s="381"/>
      <c r="I79" s="374"/>
      <c r="J79" s="376"/>
    </row>
    <row r="80" spans="1:18" ht="42.75" hidden="1" customHeight="1" thickBot="1" x14ac:dyDescent="0.3">
      <c r="A80" s="704" t="s">
        <v>420</v>
      </c>
      <c r="B80" s="705"/>
      <c r="C80" s="705"/>
      <c r="D80" s="705"/>
      <c r="E80" s="705"/>
      <c r="F80" s="705"/>
      <c r="G80" s="705"/>
      <c r="H80" s="706"/>
      <c r="I80" s="374"/>
      <c r="J80" s="376"/>
    </row>
    <row r="81" spans="1:10" hidden="1" x14ac:dyDescent="0.25">
      <c r="A81" s="716" t="s">
        <v>421</v>
      </c>
      <c r="B81" s="717"/>
      <c r="C81" s="717"/>
      <c r="D81" s="717"/>
      <c r="E81" s="718"/>
      <c r="F81" s="384" t="s">
        <v>417</v>
      </c>
      <c r="G81" s="385"/>
      <c r="H81" s="381"/>
      <c r="I81" s="374"/>
      <c r="J81" s="376"/>
    </row>
    <row r="82" spans="1:10" ht="42.75" hidden="1" customHeight="1" thickBot="1" x14ac:dyDescent="0.3">
      <c r="A82" s="704" t="s">
        <v>422</v>
      </c>
      <c r="B82" s="705"/>
      <c r="C82" s="705"/>
      <c r="D82" s="705"/>
      <c r="E82" s="705"/>
      <c r="F82" s="705"/>
      <c r="G82" s="705"/>
      <c r="H82" s="706"/>
      <c r="I82" s="374"/>
      <c r="J82" s="376"/>
    </row>
    <row r="83" spans="1:10" hidden="1" x14ac:dyDescent="0.25">
      <c r="A83" s="716" t="s">
        <v>429</v>
      </c>
      <c r="B83" s="717"/>
      <c r="C83" s="717"/>
      <c r="D83" s="717"/>
      <c r="E83" s="718"/>
      <c r="F83" s="384" t="s">
        <v>417</v>
      </c>
      <c r="G83" s="385"/>
      <c r="H83" s="382"/>
      <c r="I83" s="374"/>
      <c r="J83" s="376"/>
    </row>
    <row r="84" spans="1:10" ht="42.75" hidden="1" customHeight="1" thickBot="1" x14ac:dyDescent="0.3">
      <c r="A84" s="383" t="s">
        <v>423</v>
      </c>
      <c r="B84" s="705"/>
      <c r="C84" s="705"/>
      <c r="D84" s="705"/>
      <c r="E84" s="705"/>
      <c r="F84" s="705"/>
      <c r="G84" s="705"/>
      <c r="H84" s="706"/>
      <c r="I84" s="374"/>
      <c r="J84" s="376"/>
    </row>
    <row r="85" spans="1:10" x14ac:dyDescent="0.25">
      <c r="A85" s="374"/>
      <c r="B85" s="374"/>
      <c r="C85" s="374"/>
      <c r="D85" s="374"/>
      <c r="E85" s="374"/>
      <c r="F85" s="374"/>
      <c r="G85" s="374"/>
      <c r="H85" s="374"/>
      <c r="I85" s="374"/>
      <c r="J85" s="376"/>
    </row>
  </sheetData>
  <sheetProtection algorithmName="SHA-512" hashValue="XSqDqQONucffmgih2UIRWLRq78tIxVS+pkcOgYCClNDq/vQ61+m8VLjU6D4v7MKdXP5K8jjW6re0CY78E0vsTA==" saltValue="IEgGw7fM27rM2rOtZJY4UQ==" spinCount="100000" sheet="1" objects="1" scenarios="1"/>
  <mergeCells count="98">
    <mergeCell ref="B23:D23"/>
    <mergeCell ref="E23:G23"/>
    <mergeCell ref="B24:D24"/>
    <mergeCell ref="E24:G24"/>
    <mergeCell ref="A20:G20"/>
    <mergeCell ref="B21:D21"/>
    <mergeCell ref="E21:G21"/>
    <mergeCell ref="B22:D22"/>
    <mergeCell ref="E22:G22"/>
    <mergeCell ref="A4:I4"/>
    <mergeCell ref="E6:I6"/>
    <mergeCell ref="A8:A18"/>
    <mergeCell ref="A5:I5"/>
    <mergeCell ref="A6:D6"/>
    <mergeCell ref="B25:D25"/>
    <mergeCell ref="E25:G25"/>
    <mergeCell ref="A27:G27"/>
    <mergeCell ref="A53:G53"/>
    <mergeCell ref="A54:A56"/>
    <mergeCell ref="B54:G56"/>
    <mergeCell ref="A37:A39"/>
    <mergeCell ref="C44:F44"/>
    <mergeCell ref="C45:F45"/>
    <mergeCell ref="C38:F38"/>
    <mergeCell ref="B47:F47"/>
    <mergeCell ref="C37:F37"/>
    <mergeCell ref="C39:F39"/>
    <mergeCell ref="B40:B45"/>
    <mergeCell ref="B37:B39"/>
    <mergeCell ref="C41:F41"/>
    <mergeCell ref="C42:F42"/>
    <mergeCell ref="C43:F43"/>
    <mergeCell ref="A40:A45"/>
    <mergeCell ref="B46:F46"/>
    <mergeCell ref="C40:F40"/>
    <mergeCell ref="H21:L21"/>
    <mergeCell ref="H22:L22"/>
    <mergeCell ref="H23:L23"/>
    <mergeCell ref="H24:L24"/>
    <mergeCell ref="H25:L25"/>
    <mergeCell ref="H47:L47"/>
    <mergeCell ref="H46:L46"/>
    <mergeCell ref="B50:F50"/>
    <mergeCell ref="B51:F51"/>
    <mergeCell ref="A49:G49"/>
    <mergeCell ref="A83:E83"/>
    <mergeCell ref="A71:C72"/>
    <mergeCell ref="B28:F28"/>
    <mergeCell ref="B61:F61"/>
    <mergeCell ref="B62:F62"/>
    <mergeCell ref="B58:F58"/>
    <mergeCell ref="B59:F59"/>
    <mergeCell ref="B60:F60"/>
    <mergeCell ref="B35:F35"/>
    <mergeCell ref="B36:F36"/>
    <mergeCell ref="B32:F32"/>
    <mergeCell ref="A34:G34"/>
    <mergeCell ref="B31:F31"/>
    <mergeCell ref="B30:F30"/>
    <mergeCell ref="F57:G57"/>
    <mergeCell ref="B57:E57"/>
    <mergeCell ref="A64:J64"/>
    <mergeCell ref="C65:E65"/>
    <mergeCell ref="C66:E66"/>
    <mergeCell ref="C67:E67"/>
    <mergeCell ref="C68:E68"/>
    <mergeCell ref="M64:N64"/>
    <mergeCell ref="O64:P64"/>
    <mergeCell ref="Q64:R64"/>
    <mergeCell ref="M65:N65"/>
    <mergeCell ref="O65:P65"/>
    <mergeCell ref="Q65:R65"/>
    <mergeCell ref="Q68:R68"/>
    <mergeCell ref="M69:N69"/>
    <mergeCell ref="O69:P69"/>
    <mergeCell ref="Q69:R69"/>
    <mergeCell ref="M66:N66"/>
    <mergeCell ref="O66:P66"/>
    <mergeCell ref="Q66:R66"/>
    <mergeCell ref="M67:N67"/>
    <mergeCell ref="O67:P67"/>
    <mergeCell ref="Q67:R67"/>
    <mergeCell ref="A78:H78"/>
    <mergeCell ref="A80:H80"/>
    <mergeCell ref="B84:H84"/>
    <mergeCell ref="M68:N68"/>
    <mergeCell ref="O68:P68"/>
    <mergeCell ref="C69:E69"/>
    <mergeCell ref="D71:E71"/>
    <mergeCell ref="D72:E72"/>
    <mergeCell ref="A73:C74"/>
    <mergeCell ref="D73:E73"/>
    <mergeCell ref="D74:E74"/>
    <mergeCell ref="A76:H76"/>
    <mergeCell ref="A77:E77"/>
    <mergeCell ref="A79:E79"/>
    <mergeCell ref="A81:E81"/>
    <mergeCell ref="A82:H82"/>
  </mergeCells>
  <dataValidations count="3">
    <dataValidation type="list" allowBlank="1" showInputMessage="1" showErrorMessage="1" sqref="F57">
      <formula1>"LUCRO REAL,LUCRO PRESUMIDO,SIMPLES NACIONAL,OUTRO"</formula1>
    </dataValidation>
    <dataValidation type="list" allowBlank="1" showInputMessage="1" showErrorMessage="1" sqref="D74 D72">
      <formula1>"INICIAL,1º IPCA,2º IPCA,3º IPCA,4º IPCA,5º IPCA"</formula1>
    </dataValidation>
    <dataValidation type="list" allowBlank="1" showInputMessage="1" showErrorMessage="1" sqref="K65:L69">
      <formula1>"SIM,NÃO"</formula1>
    </dataValidation>
  </dataValidations>
  <pageMargins left="0.78740157480314965" right="0.78740157480314965" top="1.0629921259842521" bottom="1.0629921259842521" header="0.78740157480314965" footer="0.78740157480314965"/>
  <pageSetup paperSize="9" scale="50" orientation="portrait" horizontalDpi="300" verticalDpi="300" r:id="rId1"/>
  <headerFooter>
    <oddHeader>&amp;C&amp;12&amp;A</oddHeader>
    <oddFooter>&amp;C&amp;12Página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W59"/>
  <sheetViews>
    <sheetView zoomScaleNormal="100" workbookViewId="0">
      <selection activeCell="C46" sqref="C46"/>
    </sheetView>
  </sheetViews>
  <sheetFormatPr defaultColWidth="9.1640625" defaultRowHeight="12.75" x14ac:dyDescent="0.2"/>
  <cols>
    <col min="1" max="1" width="18.83203125" style="299" customWidth="1"/>
    <col min="2" max="2" width="54.83203125" style="299" customWidth="1"/>
    <col min="3" max="3" width="34.83203125" style="299" customWidth="1"/>
    <col min="4" max="4" width="9.33203125" style="299" customWidth="1"/>
    <col min="5" max="5" width="48.5" style="299" customWidth="1"/>
    <col min="6" max="8" width="12.5" style="299" customWidth="1"/>
    <col min="9" max="257" width="9.33203125" style="299" customWidth="1"/>
  </cols>
  <sheetData>
    <row r="1" spans="1:6" ht="16.5" customHeight="1" x14ac:dyDescent="0.2">
      <c r="A1" s="573"/>
      <c r="B1" s="574" t="s">
        <v>0</v>
      </c>
      <c r="C1" s="575"/>
    </row>
    <row r="2" spans="1:6" ht="16.5" customHeight="1" x14ac:dyDescent="0.2">
      <c r="A2" s="576"/>
      <c r="B2" s="577" t="s">
        <v>210</v>
      </c>
      <c r="C2" s="578"/>
    </row>
    <row r="3" spans="1:6" ht="16.5" customHeight="1" x14ac:dyDescent="0.2">
      <c r="A3" s="576"/>
      <c r="B3" s="577" t="s">
        <v>1</v>
      </c>
      <c r="C3" s="578"/>
    </row>
    <row r="4" spans="1:6" ht="30" customHeight="1" x14ac:dyDescent="0.2">
      <c r="A4" s="779"/>
      <c r="B4" s="779"/>
      <c r="C4" s="779"/>
    </row>
    <row r="5" spans="1:6" ht="16.5" customHeight="1" x14ac:dyDescent="0.2">
      <c r="A5" s="780" t="s">
        <v>3</v>
      </c>
      <c r="B5" s="780"/>
      <c r="C5" s="780"/>
    </row>
    <row r="6" spans="1:6" ht="16.5" customHeight="1" x14ac:dyDescent="0.2">
      <c r="A6" s="301" t="s">
        <v>4</v>
      </c>
      <c r="B6" s="302" t="s">
        <v>5</v>
      </c>
      <c r="C6" s="303" t="s">
        <v>6</v>
      </c>
    </row>
    <row r="7" spans="1:6" ht="16.5" customHeight="1" x14ac:dyDescent="0.2">
      <c r="A7" s="304" t="s">
        <v>7</v>
      </c>
      <c r="B7" s="775" t="s">
        <v>8</v>
      </c>
      <c r="C7" s="775"/>
    </row>
    <row r="8" spans="1:6" ht="16.5" customHeight="1" x14ac:dyDescent="0.2">
      <c r="A8" s="305">
        <v>1</v>
      </c>
      <c r="B8" s="306" t="s">
        <v>9</v>
      </c>
      <c r="C8" s="343">
        <v>0.2</v>
      </c>
    </row>
    <row r="9" spans="1:6" ht="16.5" customHeight="1" x14ac:dyDescent="0.2">
      <c r="A9" s="305">
        <v>2</v>
      </c>
      <c r="B9" s="306" t="s">
        <v>10</v>
      </c>
      <c r="C9" s="343">
        <v>1.4999999999999999E-2</v>
      </c>
    </row>
    <row r="10" spans="1:6" ht="16.5" customHeight="1" x14ac:dyDescent="0.2">
      <c r="A10" s="305">
        <v>3</v>
      </c>
      <c r="B10" s="306" t="s">
        <v>11</v>
      </c>
      <c r="C10" s="343">
        <v>0.01</v>
      </c>
    </row>
    <row r="11" spans="1:6" ht="16.5" customHeight="1" x14ac:dyDescent="0.2">
      <c r="A11" s="305">
        <v>4</v>
      </c>
      <c r="B11" s="306" t="s">
        <v>12</v>
      </c>
      <c r="C11" s="343">
        <v>2E-3</v>
      </c>
    </row>
    <row r="12" spans="1:6" ht="16.5" customHeight="1" x14ac:dyDescent="0.2">
      <c r="A12" s="305">
        <v>5</v>
      </c>
      <c r="B12" s="306" t="s">
        <v>13</v>
      </c>
      <c r="C12" s="343">
        <v>2.5000000000000001E-2</v>
      </c>
    </row>
    <row r="13" spans="1:6" ht="16.5" customHeight="1" x14ac:dyDescent="0.2">
      <c r="A13" s="305">
        <v>6</v>
      </c>
      <c r="B13" s="306" t="s">
        <v>14</v>
      </c>
      <c r="C13" s="343">
        <v>0.08</v>
      </c>
    </row>
    <row r="14" spans="1:6" ht="16.5" customHeight="1" x14ac:dyDescent="0.2">
      <c r="A14" s="305">
        <v>7</v>
      </c>
      <c r="B14" s="306" t="s">
        <v>15</v>
      </c>
      <c r="C14" s="307">
        <f>Dados!$G$30</f>
        <v>0.06</v>
      </c>
      <c r="D14" s="308"/>
      <c r="E14" s="1"/>
      <c r="F14" s="1"/>
    </row>
    <row r="15" spans="1:6" ht="16.5" customHeight="1" x14ac:dyDescent="0.2">
      <c r="A15" s="305">
        <v>8</v>
      </c>
      <c r="B15" s="306" t="s">
        <v>16</v>
      </c>
      <c r="C15" s="343">
        <v>6.0000000000000001E-3</v>
      </c>
    </row>
    <row r="16" spans="1:6" ht="16.5" customHeight="1" x14ac:dyDescent="0.2">
      <c r="A16" s="781" t="s">
        <v>17</v>
      </c>
      <c r="B16" s="781"/>
      <c r="C16" s="309">
        <f>SUM(C8:C15)</f>
        <v>0.39800000000000008</v>
      </c>
    </row>
    <row r="17" spans="1:5" ht="16.5" customHeight="1" x14ac:dyDescent="0.2">
      <c r="A17" s="774" t="s">
        <v>18</v>
      </c>
      <c r="B17" s="774"/>
      <c r="C17" s="774"/>
    </row>
    <row r="18" spans="1:5" ht="16.5" customHeight="1" x14ac:dyDescent="0.2">
      <c r="A18" s="304" t="s">
        <v>19</v>
      </c>
      <c r="B18" s="310" t="s">
        <v>20</v>
      </c>
      <c r="C18" s="311"/>
    </row>
    <row r="19" spans="1:5" ht="16.5" customHeight="1" x14ac:dyDescent="0.2">
      <c r="A19" s="312">
        <v>9</v>
      </c>
      <c r="B19" s="306" t="s">
        <v>21</v>
      </c>
      <c r="C19" s="313">
        <f>ROUND((100%/11),4)</f>
        <v>9.0899999999999995E-2</v>
      </c>
    </row>
    <row r="20" spans="1:5" ht="16.5" customHeight="1" x14ac:dyDescent="0.2">
      <c r="A20" s="312">
        <v>10</v>
      </c>
      <c r="B20" s="306" t="s">
        <v>22</v>
      </c>
      <c r="C20" s="313">
        <f>ROUND((C19/3),4)</f>
        <v>3.0300000000000001E-2</v>
      </c>
    </row>
    <row r="21" spans="1:5" ht="16.5" customHeight="1" x14ac:dyDescent="0.2">
      <c r="A21" s="777" t="s">
        <v>23</v>
      </c>
      <c r="B21" s="777"/>
      <c r="C21" s="314">
        <f>SUM(C19:C20)</f>
        <v>0.1212</v>
      </c>
    </row>
    <row r="22" spans="1:5" ht="16.5" customHeight="1" x14ac:dyDescent="0.2">
      <c r="A22" s="778" t="s">
        <v>24</v>
      </c>
      <c r="B22" s="778"/>
      <c r="C22" s="313">
        <f>(C16*C21)</f>
        <v>4.8237600000000012E-2</v>
      </c>
    </row>
    <row r="23" spans="1:5" ht="16.5" customHeight="1" x14ac:dyDescent="0.2">
      <c r="A23" s="777" t="s">
        <v>25</v>
      </c>
      <c r="B23" s="777"/>
      <c r="C23" s="315">
        <f>SUM(C21:C22)</f>
        <v>0.16943760000000002</v>
      </c>
    </row>
    <row r="24" spans="1:5" ht="16.5" customHeight="1" x14ac:dyDescent="0.2">
      <c r="A24" s="304" t="s">
        <v>26</v>
      </c>
      <c r="B24" s="775" t="s">
        <v>27</v>
      </c>
      <c r="C24" s="775"/>
    </row>
    <row r="25" spans="1:5" ht="16.5" customHeight="1" x14ac:dyDescent="0.2">
      <c r="A25" s="312">
        <v>11</v>
      </c>
      <c r="B25" s="316" t="s">
        <v>28</v>
      </c>
      <c r="C25" s="343">
        <f>ROUND((0.0144*0.1*0.4509*6/12),4)</f>
        <v>2.9999999999999997E-4</v>
      </c>
    </row>
    <row r="26" spans="1:5" ht="16.5" customHeight="1" x14ac:dyDescent="0.2">
      <c r="A26" s="778" t="s">
        <v>29</v>
      </c>
      <c r="B26" s="778"/>
      <c r="C26" s="317">
        <f>C16*C25</f>
        <v>1.1940000000000002E-4</v>
      </c>
    </row>
    <row r="27" spans="1:5" ht="16.5" customHeight="1" x14ac:dyDescent="0.2">
      <c r="A27" s="777" t="s">
        <v>30</v>
      </c>
      <c r="B27" s="777"/>
      <c r="C27" s="318">
        <f>SUM(C25:C26)</f>
        <v>4.194E-4</v>
      </c>
    </row>
    <row r="28" spans="1:5" ht="16.5" customHeight="1" x14ac:dyDescent="0.2">
      <c r="A28" s="304" t="s">
        <v>31</v>
      </c>
      <c r="B28" s="775" t="s">
        <v>32</v>
      </c>
      <c r="C28" s="775"/>
    </row>
    <row r="29" spans="1:5" ht="16.5" customHeight="1" x14ac:dyDescent="0.2">
      <c r="A29" s="312">
        <v>12</v>
      </c>
      <c r="B29" s="316" t="s">
        <v>33</v>
      </c>
      <c r="C29" s="343">
        <f>ROUND((100%/12)*5%,4)</f>
        <v>4.1999999999999997E-3</v>
      </c>
    </row>
    <row r="30" spans="1:5" ht="16.5" customHeight="1" x14ac:dyDescent="0.2">
      <c r="A30" s="772" t="s">
        <v>34</v>
      </c>
      <c r="B30" s="772"/>
      <c r="C30" s="313">
        <f>C13*C29</f>
        <v>3.3599999999999998E-4</v>
      </c>
    </row>
    <row r="31" spans="1:5" ht="16.5" customHeight="1" x14ac:dyDescent="0.2">
      <c r="A31" s="312">
        <v>13</v>
      </c>
      <c r="B31" s="306" t="s">
        <v>35</v>
      </c>
      <c r="C31" s="319">
        <f>ROUND((0.08*0.4*0.9*(1+1/11+1/11+(1/3*1/11))),5)</f>
        <v>3.4909999999999997E-2</v>
      </c>
    </row>
    <row r="32" spans="1:5" ht="16.5" customHeight="1" x14ac:dyDescent="0.2">
      <c r="A32" s="312">
        <v>14</v>
      </c>
      <c r="B32" s="316" t="s">
        <v>36</v>
      </c>
      <c r="C32" s="343">
        <f>ROUND((100%/30)*7/12,4)</f>
        <v>1.9400000000000001E-2</v>
      </c>
      <c r="E32" s="320"/>
    </row>
    <row r="33" spans="1:9" ht="16.5" customHeight="1" x14ac:dyDescent="0.2">
      <c r="A33" s="772" t="s">
        <v>37</v>
      </c>
      <c r="B33" s="772"/>
      <c r="C33" s="313">
        <f>ROUND((C32*C16),4)</f>
        <v>7.7000000000000002E-3</v>
      </c>
    </row>
    <row r="34" spans="1:9" ht="16.5" customHeight="1" x14ac:dyDescent="0.2">
      <c r="A34" s="312">
        <v>15</v>
      </c>
      <c r="B34" s="316" t="s">
        <v>38</v>
      </c>
      <c r="C34" s="313">
        <f>(0.4*C13/100)</f>
        <v>3.2000000000000003E-4</v>
      </c>
    </row>
    <row r="35" spans="1:9" ht="16.5" customHeight="1" x14ac:dyDescent="0.2">
      <c r="A35" s="776" t="s">
        <v>39</v>
      </c>
      <c r="B35" s="776"/>
      <c r="C35" s="314">
        <f>SUM(C29:C34)</f>
        <v>6.6865999999999995E-2</v>
      </c>
    </row>
    <row r="36" spans="1:9" ht="16.5" customHeight="1" x14ac:dyDescent="0.2">
      <c r="A36" s="304" t="s">
        <v>40</v>
      </c>
      <c r="B36" s="775" t="s">
        <v>41</v>
      </c>
      <c r="C36" s="775"/>
    </row>
    <row r="37" spans="1:9" ht="16.5" customHeight="1" x14ac:dyDescent="0.2">
      <c r="A37" s="312">
        <v>16</v>
      </c>
      <c r="B37" s="316" t="s">
        <v>42</v>
      </c>
      <c r="C37" s="313">
        <f>ROUND((100%/11),4)</f>
        <v>9.0899999999999995E-2</v>
      </c>
    </row>
    <row r="38" spans="1:9" ht="16.5" customHeight="1" x14ac:dyDescent="0.2">
      <c r="A38" s="312">
        <v>17</v>
      </c>
      <c r="B38" s="316" t="s">
        <v>43</v>
      </c>
      <c r="C38" s="343">
        <f>ROUND((5.96/30/12),4)</f>
        <v>1.66E-2</v>
      </c>
    </row>
    <row r="39" spans="1:9" ht="16.5" customHeight="1" x14ac:dyDescent="0.2">
      <c r="A39" s="312">
        <v>18</v>
      </c>
      <c r="B39" s="316" t="s">
        <v>44</v>
      </c>
      <c r="C39" s="343">
        <f>ROUND((5/30/12)*0.022,4)</f>
        <v>2.9999999999999997E-4</v>
      </c>
    </row>
    <row r="40" spans="1:9" ht="16.5" customHeight="1" x14ac:dyDescent="0.2">
      <c r="A40" s="312">
        <v>19</v>
      </c>
      <c r="B40" s="316" t="s">
        <v>45</v>
      </c>
      <c r="C40" s="343">
        <f>ROUND((1/30/12),4)</f>
        <v>2.8E-3</v>
      </c>
      <c r="D40" s="328"/>
    </row>
    <row r="41" spans="1:9" ht="16.5" customHeight="1" x14ac:dyDescent="0.2">
      <c r="A41" s="312">
        <v>20</v>
      </c>
      <c r="B41" s="316" t="s">
        <v>46</v>
      </c>
      <c r="C41" s="343">
        <f>ROUND((15/30/12*0.0078),4)</f>
        <v>2.9999999999999997E-4</v>
      </c>
    </row>
    <row r="42" spans="1:9" ht="16.5" customHeight="1" x14ac:dyDescent="0.2">
      <c r="A42" s="776" t="s">
        <v>23</v>
      </c>
      <c r="B42" s="776"/>
      <c r="C42" s="315">
        <f>SUM(C37:C41)</f>
        <v>0.11089999999999998</v>
      </c>
    </row>
    <row r="43" spans="1:9" ht="16.5" customHeight="1" x14ac:dyDescent="0.2">
      <c r="A43" s="772" t="s">
        <v>47</v>
      </c>
      <c r="B43" s="772"/>
      <c r="C43" s="313">
        <f>C16*C42</f>
        <v>4.4138200000000002E-2</v>
      </c>
      <c r="E43" s="771" t="s">
        <v>268</v>
      </c>
      <c r="F43" s="771"/>
      <c r="G43" s="771"/>
      <c r="H43" s="771"/>
      <c r="I43" s="35"/>
    </row>
    <row r="44" spans="1:9" ht="16.5" customHeight="1" x14ac:dyDescent="0.2">
      <c r="A44" s="776" t="s">
        <v>48</v>
      </c>
      <c r="B44" s="776"/>
      <c r="C44" s="315">
        <f>SUM(C42:C43)</f>
        <v>0.15503819999999999</v>
      </c>
      <c r="E44" s="771"/>
      <c r="F44" s="771"/>
      <c r="G44" s="771"/>
      <c r="H44" s="771"/>
      <c r="I44" s="35"/>
    </row>
    <row r="45" spans="1:9" ht="16.5" customHeight="1" x14ac:dyDescent="0.2">
      <c r="A45" s="321" t="s">
        <v>49</v>
      </c>
      <c r="B45" s="322" t="s">
        <v>50</v>
      </c>
      <c r="C45" s="315"/>
      <c r="E45" s="770" t="s">
        <v>269</v>
      </c>
      <c r="F45" s="770" t="s">
        <v>270</v>
      </c>
      <c r="G45" s="770"/>
      <c r="H45" s="770"/>
      <c r="I45" s="35"/>
    </row>
    <row r="46" spans="1:9" ht="16.5" customHeight="1" x14ac:dyDescent="0.2">
      <c r="A46" s="312">
        <v>21</v>
      </c>
      <c r="B46" s="316" t="s">
        <v>51</v>
      </c>
      <c r="C46" s="343">
        <v>8.0000000000000004E-4</v>
      </c>
      <c r="E46" s="770"/>
      <c r="F46" s="770" t="s">
        <v>271</v>
      </c>
      <c r="G46" s="770"/>
      <c r="H46" s="770"/>
      <c r="I46" s="35"/>
    </row>
    <row r="47" spans="1:9" ht="16.5" customHeight="1" x14ac:dyDescent="0.2">
      <c r="A47" s="776" t="s">
        <v>52</v>
      </c>
      <c r="B47" s="776"/>
      <c r="C47" s="315">
        <f>SUM(C46)</f>
        <v>8.0000000000000004E-4</v>
      </c>
      <c r="E47" s="560" t="s">
        <v>272</v>
      </c>
      <c r="F47" s="568" t="s">
        <v>273</v>
      </c>
      <c r="G47" s="568" t="s">
        <v>274</v>
      </c>
      <c r="H47" s="572" t="s">
        <v>275</v>
      </c>
      <c r="I47" s="35"/>
    </row>
    <row r="48" spans="1:9" ht="16.5" customHeight="1" x14ac:dyDescent="0.2">
      <c r="A48" s="774" t="s">
        <v>53</v>
      </c>
      <c r="B48" s="774"/>
      <c r="C48" s="774"/>
      <c r="E48" s="560" t="s">
        <v>276</v>
      </c>
      <c r="F48" s="561">
        <v>0.34300000000000003</v>
      </c>
      <c r="G48" s="561">
        <v>0.39800000000000002</v>
      </c>
      <c r="H48" s="569">
        <f>C16</f>
        <v>0.39800000000000008</v>
      </c>
      <c r="I48" s="35"/>
    </row>
    <row r="49" spans="1:9" ht="16.5" customHeight="1" x14ac:dyDescent="0.2">
      <c r="A49" s="772" t="s">
        <v>8</v>
      </c>
      <c r="B49" s="772"/>
      <c r="C49" s="323">
        <f>ROUND(C16,4)</f>
        <v>0.39800000000000002</v>
      </c>
      <c r="E49" s="560" t="s">
        <v>277</v>
      </c>
      <c r="F49" s="561">
        <v>5.0000000000000001E-3</v>
      </c>
      <c r="G49" s="561">
        <v>0.06</v>
      </c>
      <c r="H49" s="569">
        <f>C15</f>
        <v>6.0000000000000001E-3</v>
      </c>
      <c r="I49" s="35"/>
    </row>
    <row r="50" spans="1:9" ht="16.5" customHeight="1" x14ac:dyDescent="0.2">
      <c r="A50" s="772" t="s">
        <v>54</v>
      </c>
      <c r="B50" s="772"/>
      <c r="C50" s="323">
        <f>ROUND(C23,4)</f>
        <v>0.1694</v>
      </c>
      <c r="E50" s="562" t="s">
        <v>278</v>
      </c>
      <c r="F50" s="563">
        <f>C19</f>
        <v>9.0899999999999995E-2</v>
      </c>
      <c r="G50" s="563">
        <f t="shared" ref="G50:H52" si="0">F50</f>
        <v>9.0899999999999995E-2</v>
      </c>
      <c r="H50" s="563">
        <f t="shared" si="0"/>
        <v>9.0899999999999995E-2</v>
      </c>
      <c r="I50" s="35"/>
    </row>
    <row r="51" spans="1:9" ht="16.5" customHeight="1" x14ac:dyDescent="0.2">
      <c r="A51" s="772" t="s">
        <v>27</v>
      </c>
      <c r="B51" s="772"/>
      <c r="C51" s="323">
        <f>ROUND(C27,4)</f>
        <v>4.0000000000000002E-4</v>
      </c>
      <c r="E51" s="562" t="s">
        <v>279</v>
      </c>
      <c r="F51" s="563">
        <f>C37</f>
        <v>9.0899999999999995E-2</v>
      </c>
      <c r="G51" s="563">
        <f t="shared" si="0"/>
        <v>9.0899999999999995E-2</v>
      </c>
      <c r="H51" s="563">
        <f t="shared" si="0"/>
        <v>9.0899999999999995E-2</v>
      </c>
      <c r="I51" s="35"/>
    </row>
    <row r="52" spans="1:9" ht="16.5" customHeight="1" x14ac:dyDescent="0.2">
      <c r="A52" s="772" t="s">
        <v>55</v>
      </c>
      <c r="B52" s="772"/>
      <c r="C52" s="323">
        <f>ROUND(C35,4)</f>
        <v>6.6900000000000001E-2</v>
      </c>
      <c r="E52" s="562" t="s">
        <v>280</v>
      </c>
      <c r="F52" s="563">
        <f>C20</f>
        <v>3.0300000000000001E-2</v>
      </c>
      <c r="G52" s="563">
        <f t="shared" si="0"/>
        <v>3.0300000000000001E-2</v>
      </c>
      <c r="H52" s="563">
        <f t="shared" si="0"/>
        <v>3.0300000000000001E-2</v>
      </c>
      <c r="I52" s="35"/>
    </row>
    <row r="53" spans="1:9" ht="16.5" customHeight="1" x14ac:dyDescent="0.2">
      <c r="A53" s="772" t="s">
        <v>56</v>
      </c>
      <c r="B53" s="772"/>
      <c r="C53" s="323">
        <f>ROUND(C44,4)</f>
        <v>0.155</v>
      </c>
      <c r="E53" s="564" t="s">
        <v>23</v>
      </c>
      <c r="F53" s="565">
        <f>SUM(F50:F52)</f>
        <v>0.21209999999999998</v>
      </c>
      <c r="G53" s="565">
        <f>SUM(G50:G52)</f>
        <v>0.21209999999999998</v>
      </c>
      <c r="H53" s="565">
        <f>SUM(H50:H52)</f>
        <v>0.21209999999999998</v>
      </c>
      <c r="I53" s="35"/>
    </row>
    <row r="54" spans="1:9" ht="16.5" customHeight="1" x14ac:dyDescent="0.2">
      <c r="A54" s="772" t="s">
        <v>51</v>
      </c>
      <c r="B54" s="772"/>
      <c r="C54" s="323">
        <f>ROUND(C47,4)</f>
        <v>8.0000000000000004E-4</v>
      </c>
      <c r="E54" s="562" t="s">
        <v>281</v>
      </c>
      <c r="F54" s="563">
        <f>F48*F53</f>
        <v>7.2750300000000004E-2</v>
      </c>
      <c r="G54" s="563">
        <f>G48*G53</f>
        <v>8.4415799999999999E-2</v>
      </c>
      <c r="H54" s="563">
        <f>H48*H53</f>
        <v>8.4415800000000013E-2</v>
      </c>
      <c r="I54" s="35"/>
    </row>
    <row r="55" spans="1:9" ht="33" customHeight="1" x14ac:dyDescent="0.2">
      <c r="A55" s="773" t="s">
        <v>57</v>
      </c>
      <c r="B55" s="773"/>
      <c r="C55" s="324">
        <f>SUM(C49:C54)</f>
        <v>0.79049999999999998</v>
      </c>
      <c r="E55" s="562" t="s">
        <v>282</v>
      </c>
      <c r="F55" s="563">
        <f>C31</f>
        <v>3.4909999999999997E-2</v>
      </c>
      <c r="G55" s="563">
        <f>F55</f>
        <v>3.4909999999999997E-2</v>
      </c>
      <c r="H55" s="563">
        <f>G55</f>
        <v>3.4909999999999997E-2</v>
      </c>
      <c r="I55" s="35"/>
    </row>
    <row r="56" spans="1:9" x14ac:dyDescent="0.2">
      <c r="A56" s="325" t="s">
        <v>58</v>
      </c>
      <c r="B56" s="326"/>
      <c r="C56" s="327"/>
      <c r="E56" s="566" t="s">
        <v>283</v>
      </c>
      <c r="F56" s="567">
        <f>SUM(F53:F55)</f>
        <v>0.3197603</v>
      </c>
      <c r="G56" s="567">
        <f>SUM(G53:G55)</f>
        <v>0.33142579999999999</v>
      </c>
      <c r="H56" s="570">
        <f>SUM(H53:H55)</f>
        <v>0.33142579999999999</v>
      </c>
      <c r="I56" s="35"/>
    </row>
    <row r="57" spans="1:9" ht="24" x14ac:dyDescent="0.2">
      <c r="A57" s="764" t="s">
        <v>59</v>
      </c>
      <c r="B57" s="765"/>
      <c r="C57" s="766"/>
      <c r="E57" s="562" t="s">
        <v>284</v>
      </c>
      <c r="F57" s="563" t="s">
        <v>285</v>
      </c>
      <c r="G57" s="563" t="s">
        <v>285</v>
      </c>
      <c r="H57" s="563" t="s">
        <v>285</v>
      </c>
      <c r="I57" s="35"/>
    </row>
    <row r="58" spans="1:9" ht="13.5" thickBot="1" x14ac:dyDescent="0.25">
      <c r="A58" s="767"/>
      <c r="B58" s="768"/>
      <c r="C58" s="769"/>
      <c r="E58" s="564" t="s">
        <v>286</v>
      </c>
      <c r="F58" s="565">
        <f>F56</f>
        <v>0.3197603</v>
      </c>
      <c r="G58" s="565">
        <f>G56</f>
        <v>0.33142579999999999</v>
      </c>
      <c r="H58" s="571">
        <f>H56</f>
        <v>0.33142579999999999</v>
      </c>
      <c r="I58" s="35"/>
    </row>
    <row r="59" spans="1:9" x14ac:dyDescent="0.2">
      <c r="E59" s="35"/>
      <c r="F59" s="35"/>
      <c r="G59" s="35"/>
      <c r="H59" s="35"/>
      <c r="I59" s="35"/>
    </row>
  </sheetData>
  <sheetProtection algorithmName="SHA-512" hashValue="oPuiKDYiPFeBG/yOolKoXUAcUbQYnX/1gKnBbX4DqlOWhyEZVjF0kGqEaHdngSuQglR6Tz94PWSEBj30zfuSRg==" saltValue="NoqXeneCGQgTlL0DwNrRwQ==" spinCount="100000" sheet="1" objects="1" scenarios="1"/>
  <mergeCells count="33">
    <mergeCell ref="A4:C4"/>
    <mergeCell ref="A5:C5"/>
    <mergeCell ref="B7:C7"/>
    <mergeCell ref="A16:B16"/>
    <mergeCell ref="A17:C17"/>
    <mergeCell ref="A21:B21"/>
    <mergeCell ref="A22:B22"/>
    <mergeCell ref="A23:B23"/>
    <mergeCell ref="B24:C24"/>
    <mergeCell ref="A26:B26"/>
    <mergeCell ref="A27:B27"/>
    <mergeCell ref="B28:C28"/>
    <mergeCell ref="A30:B30"/>
    <mergeCell ref="A33:B33"/>
    <mergeCell ref="A35:B35"/>
    <mergeCell ref="B36:C36"/>
    <mergeCell ref="A42:B42"/>
    <mergeCell ref="A43:B43"/>
    <mergeCell ref="A44:B44"/>
    <mergeCell ref="A47:B47"/>
    <mergeCell ref="A57:C58"/>
    <mergeCell ref="F46:H46"/>
    <mergeCell ref="E43:H44"/>
    <mergeCell ref="E45:E46"/>
    <mergeCell ref="F45:H45"/>
    <mergeCell ref="A53:B53"/>
    <mergeCell ref="A54:B54"/>
    <mergeCell ref="A55:B55"/>
    <mergeCell ref="A48:C48"/>
    <mergeCell ref="A49:B49"/>
    <mergeCell ref="A50:B50"/>
    <mergeCell ref="A51:B51"/>
    <mergeCell ref="A52:B52"/>
  </mergeCells>
  <pageMargins left="0.51180555555555496" right="0.51180555555555496" top="0" bottom="0.39374999999999999" header="0.51180555555555496" footer="0.51180555555555496"/>
  <pageSetup paperSize="9" scale="75"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66"/>
  <sheetViews>
    <sheetView view="pageBreakPreview" topLeftCell="A18" zoomScale="85" zoomScaleNormal="70" zoomScaleSheetLayoutView="85" workbookViewId="0">
      <selection activeCell="I11" sqref="I11"/>
    </sheetView>
  </sheetViews>
  <sheetFormatPr defaultColWidth="10.33203125" defaultRowHeight="15" x14ac:dyDescent="0.25"/>
  <cols>
    <col min="1" max="1" width="23.6640625" style="2" customWidth="1"/>
    <col min="2" max="2" width="15.6640625" style="3" customWidth="1"/>
    <col min="3" max="3" width="11.83203125" style="3" customWidth="1"/>
    <col min="4" max="4" width="19.33203125" style="3" customWidth="1"/>
    <col min="5" max="5" width="14.33203125" style="4" customWidth="1"/>
    <col min="6" max="6" width="17.83203125" style="4" customWidth="1"/>
    <col min="10" max="10" width="17.1640625" hidden="1" customWidth="1"/>
    <col min="11" max="15" width="12.5" hidden="1" customWidth="1"/>
    <col min="16" max="16" width="13.1640625" hidden="1" customWidth="1"/>
  </cols>
  <sheetData>
    <row r="1" spans="1:16" s="2" customFormat="1" ht="12.75" customHeight="1" x14ac:dyDescent="0.25">
      <c r="A1" s="453"/>
      <c r="B1" s="454" t="s">
        <v>0</v>
      </c>
      <c r="C1" s="293"/>
      <c r="D1" s="293"/>
      <c r="E1" s="294"/>
      <c r="F1" s="295"/>
      <c r="J1" s="784" t="s">
        <v>430</v>
      </c>
      <c r="K1" s="784"/>
      <c r="L1" s="784"/>
      <c r="M1" s="784"/>
      <c r="N1" s="784"/>
      <c r="O1" s="784"/>
    </row>
    <row r="2" spans="1:16" s="2" customFormat="1" ht="12.75" customHeight="1" x14ac:dyDescent="0.25">
      <c r="A2" s="455"/>
      <c r="B2" s="456" t="s">
        <v>210</v>
      </c>
      <c r="C2" s="32"/>
      <c r="D2" s="32"/>
      <c r="E2" s="33"/>
      <c r="F2" s="296"/>
      <c r="J2" s="785"/>
      <c r="K2" s="785"/>
      <c r="L2" s="785"/>
      <c r="M2" s="785"/>
      <c r="N2" s="785"/>
      <c r="O2" s="785"/>
      <c r="P2" s="388"/>
    </row>
    <row r="3" spans="1:16" s="2" customFormat="1" ht="17.25" customHeight="1" thickBot="1" x14ac:dyDescent="0.3">
      <c r="A3" s="455"/>
      <c r="B3" s="457" t="s">
        <v>1</v>
      </c>
      <c r="C3" s="32"/>
      <c r="D3" s="32"/>
      <c r="E3" s="33"/>
      <c r="F3" s="296"/>
      <c r="J3" s="785"/>
      <c r="K3" s="785"/>
      <c r="L3" s="785"/>
      <c r="M3" s="785"/>
      <c r="N3" s="785"/>
      <c r="O3" s="785"/>
      <c r="P3" s="388"/>
    </row>
    <row r="4" spans="1:16" s="2" customFormat="1" ht="49.5" customHeight="1" thickBot="1" x14ac:dyDescent="0.3">
      <c r="A4" s="806" t="s">
        <v>211</v>
      </c>
      <c r="B4" s="807"/>
      <c r="C4" s="807"/>
      <c r="D4" s="807"/>
      <c r="E4" s="807"/>
      <c r="F4" s="808"/>
      <c r="J4" s="786"/>
      <c r="K4" s="786"/>
      <c r="L4" s="786"/>
      <c r="M4" s="786"/>
      <c r="N4" s="786"/>
      <c r="O4" s="786"/>
      <c r="P4" s="388"/>
    </row>
    <row r="5" spans="1:16" s="2" customFormat="1" ht="54.75" customHeight="1" x14ac:dyDescent="0.25">
      <c r="A5" s="809" t="s">
        <v>60</v>
      </c>
      <c r="B5" s="809"/>
      <c r="C5" s="809"/>
      <c r="D5" s="809"/>
      <c r="E5" s="809"/>
      <c r="F5" s="809"/>
      <c r="J5" s="783" t="s">
        <v>363</v>
      </c>
      <c r="K5" s="782" t="s">
        <v>364</v>
      </c>
      <c r="L5" s="782" t="s">
        <v>365</v>
      </c>
      <c r="M5" s="782" t="s">
        <v>366</v>
      </c>
      <c r="N5" s="782" t="s">
        <v>367</v>
      </c>
      <c r="O5" s="782" t="s">
        <v>368</v>
      </c>
      <c r="P5" s="375" t="s">
        <v>431</v>
      </c>
    </row>
    <row r="6" spans="1:16" s="2" customFormat="1" ht="33.75" customHeight="1" x14ac:dyDescent="0.25">
      <c r="A6" s="458" t="s">
        <v>61</v>
      </c>
      <c r="B6" s="459" t="s">
        <v>62</v>
      </c>
      <c r="C6" s="459" t="s">
        <v>63</v>
      </c>
      <c r="D6" s="460" t="s">
        <v>64</v>
      </c>
      <c r="E6" s="461" t="s">
        <v>65</v>
      </c>
      <c r="F6" s="462" t="s">
        <v>66</v>
      </c>
      <c r="J6" s="783"/>
      <c r="K6" s="782"/>
      <c r="L6" s="782"/>
      <c r="M6" s="782"/>
      <c r="N6" s="782"/>
      <c r="O6" s="782"/>
      <c r="P6" s="388"/>
    </row>
    <row r="7" spans="1:16" s="2" customFormat="1" ht="28.5" customHeight="1" x14ac:dyDescent="0.25">
      <c r="A7" s="810" t="s">
        <v>67</v>
      </c>
      <c r="B7" s="463" t="s">
        <v>68</v>
      </c>
      <c r="C7" s="464">
        <v>3</v>
      </c>
      <c r="D7" s="465">
        <f t="shared" ref="D7:D12" si="0">C7*$A$10</f>
        <v>6</v>
      </c>
      <c r="E7" s="466">
        <v>80</v>
      </c>
      <c r="F7" s="467">
        <f t="shared" ref="F7:F12" si="1">ROUND(E7*D7,2)</f>
        <v>480</v>
      </c>
      <c r="J7" s="344">
        <v>80</v>
      </c>
      <c r="K7" s="389">
        <f>ROUND(IF(Dados!$L$65="SIM",J7*Dados!$M$65,J7),2)</f>
        <v>80</v>
      </c>
      <c r="L7" s="389">
        <f>ROUND(IF(Dados!$L$66="SIM",K7*Dados!$M$66,K7),2)</f>
        <v>80</v>
      </c>
      <c r="M7" s="389">
        <f>ROUND(IF(Dados!$L$67="SIM",L7*Dados!$M$67,L7),2)</f>
        <v>80</v>
      </c>
      <c r="N7" s="389">
        <f>ROUND(IF(Dados!$L$68="SIM",M7*Dados!$M$68,M7),2)</f>
        <v>80</v>
      </c>
      <c r="O7" s="389">
        <f>ROUND(IF(Dados!$L$68="SIM",N7*Dados!$M$68,N7),2)</f>
        <v>80</v>
      </c>
      <c r="P7" s="390">
        <f>IF(Dados!$D$72="INICIAL",J7,IF(Dados!$D$72="1º IPCA",K7,IF(Dados!$D$72="2º IPCA",L7,IF(Dados!$D$72="3º IPCA",M7,IF(Dados!$D$72="4º IPCA",N7,IF(Dados!$D$72="5º IPCA",O7,))))))</f>
        <v>80</v>
      </c>
    </row>
    <row r="8" spans="1:16" s="2" customFormat="1" ht="29.25" customHeight="1" x14ac:dyDescent="0.25">
      <c r="A8" s="810"/>
      <c r="B8" s="463" t="s">
        <v>69</v>
      </c>
      <c r="C8" s="464">
        <v>1</v>
      </c>
      <c r="D8" s="465">
        <f t="shared" si="0"/>
        <v>2</v>
      </c>
      <c r="E8" s="466">
        <v>157</v>
      </c>
      <c r="F8" s="467">
        <f t="shared" si="1"/>
        <v>314</v>
      </c>
      <c r="J8" s="344">
        <v>157</v>
      </c>
      <c r="K8" s="389">
        <f>ROUND(IF(Dados!$L$65="SIM",J8*Dados!$M$65,J8),2)</f>
        <v>157</v>
      </c>
      <c r="L8" s="389">
        <f>ROUND(IF(Dados!$L$66="SIM",K8*Dados!$M$66,K8),2)</f>
        <v>157</v>
      </c>
      <c r="M8" s="389">
        <f>ROUND(IF(Dados!$L$67="SIM",L8*Dados!$M$67,L8),2)</f>
        <v>157</v>
      </c>
      <c r="N8" s="389">
        <f>ROUND(IF(Dados!$L$68="SIM",M8*Dados!$M$68,M8),2)</f>
        <v>157</v>
      </c>
      <c r="O8" s="389">
        <f>ROUND(IF(Dados!$L$68="SIM",N8*Dados!$M$68,N8),2)</f>
        <v>157</v>
      </c>
      <c r="P8" s="390">
        <f>IF(Dados!$D$72="INICIAL",J8,IF(Dados!$D$72="1º IPCA",K8,IF(Dados!$D$72="2º IPCA",L8,IF(Dados!$D$72="3º IPCA",M8,IF(Dados!$D$72="4º IPCA",N8,IF(Dados!$D$72="5º IPCA",O8,))))))</f>
        <v>157</v>
      </c>
    </row>
    <row r="9" spans="1:16" s="2" customFormat="1" ht="30" customHeight="1" x14ac:dyDescent="0.25">
      <c r="A9" s="468"/>
      <c r="B9" s="463" t="s">
        <v>70</v>
      </c>
      <c r="C9" s="464">
        <v>4</v>
      </c>
      <c r="D9" s="465">
        <f t="shared" si="0"/>
        <v>8</v>
      </c>
      <c r="E9" s="466">
        <v>78.7</v>
      </c>
      <c r="F9" s="467">
        <f t="shared" si="1"/>
        <v>629.6</v>
      </c>
      <c r="J9" s="344">
        <v>78.7</v>
      </c>
      <c r="K9" s="389">
        <f>ROUND(IF(Dados!$L$65="SIM",J9*Dados!$M$65,J9),2)</f>
        <v>78.7</v>
      </c>
      <c r="L9" s="389">
        <f>ROUND(IF(Dados!$L$66="SIM",K9*Dados!$M$66,K9),2)</f>
        <v>78.7</v>
      </c>
      <c r="M9" s="389">
        <f>ROUND(IF(Dados!$L$67="SIM",L9*Dados!$M$67,L9),2)</f>
        <v>78.7</v>
      </c>
      <c r="N9" s="389">
        <f>ROUND(IF(Dados!$L$68="SIM",M9*Dados!$M$68,M9),2)</f>
        <v>78.7</v>
      </c>
      <c r="O9" s="389">
        <f>ROUND(IF(Dados!$L$68="SIM",N9*Dados!$M$68,N9),2)</f>
        <v>78.7</v>
      </c>
      <c r="P9" s="390">
        <f>IF(Dados!$D$72="INICIAL",J9,IF(Dados!$D$72="1º IPCA",K9,IF(Dados!$D$72="2º IPCA",L9,IF(Dados!$D$72="3º IPCA",M9,IF(Dados!$D$72="4º IPCA",N9,IF(Dados!$D$72="5º IPCA",O9,))))))</f>
        <v>78.7</v>
      </c>
    </row>
    <row r="10" spans="1:16" s="2" customFormat="1" ht="30.75" customHeight="1" x14ac:dyDescent="0.25">
      <c r="A10" s="469">
        <f>Resumo!D11</f>
        <v>2</v>
      </c>
      <c r="B10" s="463" t="s">
        <v>71</v>
      </c>
      <c r="C10" s="464">
        <v>2</v>
      </c>
      <c r="D10" s="465">
        <f t="shared" si="0"/>
        <v>4</v>
      </c>
      <c r="E10" s="466">
        <v>80</v>
      </c>
      <c r="F10" s="467">
        <f t="shared" si="1"/>
        <v>320</v>
      </c>
      <c r="J10" s="344">
        <v>80</v>
      </c>
      <c r="K10" s="389">
        <f>ROUND(IF(Dados!$L$65="SIM",J10*Dados!$M$65,J10),2)</f>
        <v>80</v>
      </c>
      <c r="L10" s="389">
        <f>ROUND(IF(Dados!$L$66="SIM",K10*Dados!$M$66,K10),2)</f>
        <v>80</v>
      </c>
      <c r="M10" s="389">
        <f>ROUND(IF(Dados!$L$67="SIM",L10*Dados!$M$67,L10),2)</f>
        <v>80</v>
      </c>
      <c r="N10" s="389">
        <f>ROUND(IF(Dados!$L$68="SIM",M10*Dados!$M$68,M10),2)</f>
        <v>80</v>
      </c>
      <c r="O10" s="389">
        <f>ROUND(IF(Dados!$L$68="SIM",N10*Dados!$M$68,N10),2)</f>
        <v>80</v>
      </c>
      <c r="P10" s="390">
        <f>IF(Dados!$D$72="INICIAL",J10,IF(Dados!$D$72="1º IPCA",K10,IF(Dados!$D$72="2º IPCA",L10,IF(Dados!$D$72="3º IPCA",M10,IF(Dados!$D$72="4º IPCA",N10,IF(Dados!$D$72="5º IPCA",O10,))))))</f>
        <v>80</v>
      </c>
    </row>
    <row r="11" spans="1:16" s="2" customFormat="1" ht="30.75" customHeight="1" x14ac:dyDescent="0.25">
      <c r="A11" s="469"/>
      <c r="B11" s="463" t="s">
        <v>72</v>
      </c>
      <c r="C11" s="464">
        <v>1</v>
      </c>
      <c r="D11" s="465">
        <f t="shared" si="0"/>
        <v>2</v>
      </c>
      <c r="E11" s="466">
        <v>19</v>
      </c>
      <c r="F11" s="467">
        <f t="shared" si="1"/>
        <v>38</v>
      </c>
      <c r="J11" s="344">
        <v>19</v>
      </c>
      <c r="K11" s="389">
        <f>ROUND(IF(Dados!$L$65="SIM",J11*Dados!$M$65,J11),2)</f>
        <v>19</v>
      </c>
      <c r="L11" s="389">
        <f>ROUND(IF(Dados!$L$66="SIM",K11*Dados!$M$66,K11),2)</f>
        <v>19</v>
      </c>
      <c r="M11" s="389">
        <f>ROUND(IF(Dados!$L$67="SIM",L11*Dados!$M$67,L11),2)</f>
        <v>19</v>
      </c>
      <c r="N11" s="389">
        <f>ROUND(IF(Dados!$L$68="SIM",M11*Dados!$M$68,M11),2)</f>
        <v>19</v>
      </c>
      <c r="O11" s="389">
        <f>ROUND(IF(Dados!$L$68="SIM",N11*Dados!$M$68,N11),2)</f>
        <v>19</v>
      </c>
      <c r="P11" s="390">
        <f>IF(Dados!$D$72="INICIAL",J11,IF(Dados!$D$72="1º IPCA",K11,IF(Dados!$D$72="2º IPCA",L11,IF(Dados!$D$72="3º IPCA",M11,IF(Dados!$D$72="4º IPCA",N11,IF(Dados!$D$72="5º IPCA",O11,))))))</f>
        <v>19</v>
      </c>
    </row>
    <row r="12" spans="1:16" s="2" customFormat="1" ht="30.75" customHeight="1" x14ac:dyDescent="0.25">
      <c r="A12" s="469"/>
      <c r="B12" s="463" t="s">
        <v>73</v>
      </c>
      <c r="C12" s="464">
        <v>1</v>
      </c>
      <c r="D12" s="465">
        <f t="shared" si="0"/>
        <v>2</v>
      </c>
      <c r="E12" s="466">
        <v>24.03</v>
      </c>
      <c r="F12" s="467">
        <f t="shared" si="1"/>
        <v>48.06</v>
      </c>
      <c r="J12" s="344">
        <v>24.03</v>
      </c>
      <c r="K12" s="389">
        <f>ROUND(IF(Dados!$L$65="SIM",J12*Dados!$M$65,J12),2)</f>
        <v>24.03</v>
      </c>
      <c r="L12" s="389">
        <f>ROUND(IF(Dados!$L$66="SIM",K12*Dados!$M$66,K12),2)</f>
        <v>24.03</v>
      </c>
      <c r="M12" s="389">
        <f>ROUND(IF(Dados!$L$67="SIM",L12*Dados!$M$67,L12),2)</f>
        <v>24.03</v>
      </c>
      <c r="N12" s="389">
        <f>ROUND(IF(Dados!$L$68="SIM",M12*Dados!$M$68,M12),2)</f>
        <v>24.03</v>
      </c>
      <c r="O12" s="389">
        <f>ROUND(IF(Dados!$L$68="SIM",N12*Dados!$M$68,N12),2)</f>
        <v>24.03</v>
      </c>
      <c r="P12" s="390">
        <f>IF(Dados!$D$72="INICIAL",J12,IF(Dados!$D$72="1º IPCA",K12,IF(Dados!$D$72="2º IPCA",L12,IF(Dados!$D$72="3º IPCA",M12,IF(Dados!$D$72="4º IPCA",N12,IF(Dados!$D$72="5º IPCA",O12,))))))</f>
        <v>24.03</v>
      </c>
    </row>
    <row r="13" spans="1:16" s="2" customFormat="1" ht="33.75" customHeight="1" thickBot="1" x14ac:dyDescent="0.3">
      <c r="A13" s="470"/>
      <c r="B13" s="811" t="s">
        <v>74</v>
      </c>
      <c r="C13" s="811"/>
      <c r="D13" s="811"/>
      <c r="E13" s="471"/>
      <c r="F13" s="472">
        <f>SUM(F7:F12)</f>
        <v>1829.6599999999999</v>
      </c>
    </row>
    <row r="14" spans="1:16" s="2" customFormat="1" ht="33.75" customHeight="1" thickBot="1" x14ac:dyDescent="0.3">
      <c r="A14" s="812" t="s">
        <v>75</v>
      </c>
      <c r="B14" s="812"/>
      <c r="C14" s="812"/>
      <c r="D14" s="812"/>
      <c r="E14" s="812"/>
      <c r="F14" s="473">
        <f>ROUND((F13/$A$10/12),2)</f>
        <v>76.239999999999995</v>
      </c>
      <c r="J14" s="783" t="s">
        <v>363</v>
      </c>
      <c r="K14" s="782" t="s">
        <v>364</v>
      </c>
      <c r="L14" s="782" t="s">
        <v>365</v>
      </c>
      <c r="M14" s="782" t="s">
        <v>366</v>
      </c>
      <c r="N14" s="782" t="s">
        <v>367</v>
      </c>
      <c r="O14" s="782" t="s">
        <v>368</v>
      </c>
    </row>
    <row r="15" spans="1:16" s="2" customFormat="1" ht="33.75" customHeight="1" x14ac:dyDescent="0.25">
      <c r="A15" s="794"/>
      <c r="B15" s="794"/>
      <c r="C15" s="794"/>
      <c r="D15" s="794"/>
      <c r="E15" s="794"/>
      <c r="F15" s="795"/>
      <c r="J15" s="783"/>
      <c r="K15" s="782"/>
      <c r="L15" s="782"/>
      <c r="M15" s="782"/>
      <c r="N15" s="782"/>
      <c r="O15" s="782"/>
    </row>
    <row r="16" spans="1:16" s="2" customFormat="1" ht="33.75" customHeight="1" x14ac:dyDescent="0.25">
      <c r="A16" s="810" t="s">
        <v>76</v>
      </c>
      <c r="B16" s="463" t="s">
        <v>68</v>
      </c>
      <c r="C16" s="464">
        <v>3</v>
      </c>
      <c r="D16" s="465">
        <f>C16*$A$19</f>
        <v>45</v>
      </c>
      <c r="E16" s="466">
        <v>80</v>
      </c>
      <c r="F16" s="467">
        <f>ROUND(E16*D16,2)</f>
        <v>3600</v>
      </c>
      <c r="J16" s="344">
        <v>80</v>
      </c>
      <c r="K16" s="389">
        <f>ROUND(IF(Dados!$L$65="SIM",J16*Dados!$M$65,J16),2)</f>
        <v>80</v>
      </c>
      <c r="L16" s="389">
        <f>ROUND(IF(Dados!$L$66="SIM",K16*Dados!$M$66,K16),2)</f>
        <v>80</v>
      </c>
      <c r="M16" s="389">
        <f>ROUND(IF(Dados!$L$67="SIM",L16*Dados!$M$67,L16),2)</f>
        <v>80</v>
      </c>
      <c r="N16" s="389">
        <f>ROUND(IF(Dados!$L$68="SIM",M16*Dados!$M$68,M16),2)</f>
        <v>80</v>
      </c>
      <c r="O16" s="389">
        <f>ROUND(IF(Dados!$L$68="SIM",N16*Dados!$M$68,N16),2)</f>
        <v>80</v>
      </c>
      <c r="P16" s="390">
        <f>IF(Dados!$D$72="INICIAL",J16,IF(Dados!$D$72="1º IPCA",K16,IF(Dados!$D$72="2º IPCA",L16,IF(Dados!$D$72="3º IPCA",M16,IF(Dados!$D$72="4º IPCA",N16,IF(Dados!$D$72="5º IPCA",O16,))))))</f>
        <v>80</v>
      </c>
    </row>
    <row r="17" spans="1:16" s="2" customFormat="1" ht="33.75" customHeight="1" x14ac:dyDescent="0.25">
      <c r="A17" s="810"/>
      <c r="B17" s="463" t="s">
        <v>69</v>
      </c>
      <c r="C17" s="464">
        <v>1</v>
      </c>
      <c r="D17" s="465">
        <f>C17*$A$19</f>
        <v>15</v>
      </c>
      <c r="E17" s="466">
        <v>157</v>
      </c>
      <c r="F17" s="467">
        <f>ROUND(E17*D17,2)</f>
        <v>2355</v>
      </c>
      <c r="J17" s="344">
        <v>157</v>
      </c>
      <c r="K17" s="389">
        <f>ROUND(IF(Dados!$L$65="SIM",J17*Dados!$M$65,J17),2)</f>
        <v>157</v>
      </c>
      <c r="L17" s="389">
        <f>ROUND(IF(Dados!$L$66="SIM",K17*Dados!$M$66,K17),2)</f>
        <v>157</v>
      </c>
      <c r="M17" s="389">
        <f>ROUND(IF(Dados!$L$67="SIM",L17*Dados!$M$67,L17),2)</f>
        <v>157</v>
      </c>
      <c r="N17" s="389">
        <f>ROUND(IF(Dados!$L$68="SIM",M17*Dados!$M$68,M17),2)</f>
        <v>157</v>
      </c>
      <c r="O17" s="389">
        <f>ROUND(IF(Dados!$L$68="SIM",N17*Dados!$M$68,N17),2)</f>
        <v>157</v>
      </c>
      <c r="P17" s="390">
        <f>IF(Dados!$D$72="INICIAL",J17,IF(Dados!$D$72="1º IPCA",K17,IF(Dados!$D$72="2º IPCA",L17,IF(Dados!$D$72="3º IPCA",M17,IF(Dados!$D$72="4º IPCA",N17,IF(Dados!$D$72="5º IPCA",O17,))))))</f>
        <v>157</v>
      </c>
    </row>
    <row r="18" spans="1:16" s="2" customFormat="1" ht="33.75" customHeight="1" x14ac:dyDescent="0.25">
      <c r="A18" s="474"/>
      <c r="B18" s="463" t="s">
        <v>70</v>
      </c>
      <c r="C18" s="464">
        <v>4</v>
      </c>
      <c r="D18" s="465">
        <f>C18*$A$19</f>
        <v>60</v>
      </c>
      <c r="E18" s="466">
        <v>78.7</v>
      </c>
      <c r="F18" s="467">
        <f>ROUND(E18*D18,2)</f>
        <v>4722</v>
      </c>
      <c r="J18" s="344">
        <v>78.7</v>
      </c>
      <c r="K18" s="389">
        <f>ROUND(IF(Dados!$L$65="SIM",J18*Dados!$M$65,J18),2)</f>
        <v>78.7</v>
      </c>
      <c r="L18" s="389">
        <f>ROUND(IF(Dados!$L$66="SIM",K18*Dados!$M$66,K18),2)</f>
        <v>78.7</v>
      </c>
      <c r="M18" s="389">
        <f>ROUND(IF(Dados!$L$67="SIM",L18*Dados!$M$67,L18),2)</f>
        <v>78.7</v>
      </c>
      <c r="N18" s="389">
        <f>ROUND(IF(Dados!$L$68="SIM",M18*Dados!$M$68,M18),2)</f>
        <v>78.7</v>
      </c>
      <c r="O18" s="389">
        <f>ROUND(IF(Dados!$L$68="SIM",N18*Dados!$M$68,N18),2)</f>
        <v>78.7</v>
      </c>
      <c r="P18" s="390">
        <f>IF(Dados!$D$72="INICIAL",J18,IF(Dados!$D$72="1º IPCA",K18,IF(Dados!$D$72="2º IPCA",L18,IF(Dados!$D$72="3º IPCA",M18,IF(Dados!$D$72="4º IPCA",N18,IF(Dados!$D$72="5º IPCA",O18,))))))</f>
        <v>78.7</v>
      </c>
    </row>
    <row r="19" spans="1:16" s="2" customFormat="1" ht="33.75" customHeight="1" x14ac:dyDescent="0.25">
      <c r="A19" s="475">
        <f>Resumo!D12</f>
        <v>15</v>
      </c>
      <c r="B19" s="451" t="s">
        <v>71</v>
      </c>
      <c r="C19" s="476">
        <v>2</v>
      </c>
      <c r="D19" s="465">
        <f>C19*$A$19</f>
        <v>30</v>
      </c>
      <c r="E19" s="466">
        <v>80</v>
      </c>
      <c r="F19" s="467">
        <f>ROUND(E19*D19,2)</f>
        <v>2400</v>
      </c>
      <c r="J19" s="344">
        <v>80</v>
      </c>
      <c r="K19" s="389">
        <f>ROUND(IF(Dados!$L$65="SIM",J19*Dados!$M$65,J19),2)</f>
        <v>80</v>
      </c>
      <c r="L19" s="389">
        <f>ROUND(IF(Dados!$L$66="SIM",K19*Dados!$M$66,K19),2)</f>
        <v>80</v>
      </c>
      <c r="M19" s="389">
        <f>ROUND(IF(Dados!$L$67="SIM",L19*Dados!$M$67,L19),2)</f>
        <v>80</v>
      </c>
      <c r="N19" s="389">
        <f>ROUND(IF(Dados!$L$68="SIM",M19*Dados!$M$68,M19),2)</f>
        <v>80</v>
      </c>
      <c r="O19" s="389">
        <f>ROUND(IF(Dados!$L$68="SIM",N19*Dados!$M$68,N19),2)</f>
        <v>80</v>
      </c>
      <c r="P19" s="390">
        <f>IF(Dados!$D$72="INICIAL",J19,IF(Dados!$D$72="1º IPCA",K19,IF(Dados!$D$72="2º IPCA",L19,IF(Dados!$D$72="3º IPCA",M19,IF(Dados!$D$72="4º IPCA",N19,IF(Dados!$D$72="5º IPCA",O19,))))))</f>
        <v>80</v>
      </c>
    </row>
    <row r="20" spans="1:16" s="2" customFormat="1" ht="33.75" customHeight="1" x14ac:dyDescent="0.25">
      <c r="A20" s="477"/>
      <c r="B20" s="796" t="s">
        <v>74</v>
      </c>
      <c r="C20" s="796"/>
      <c r="D20" s="796"/>
      <c r="E20" s="478"/>
      <c r="F20" s="467">
        <f>SUM(F16:F19)</f>
        <v>13077</v>
      </c>
    </row>
    <row r="21" spans="1:16" s="2" customFormat="1" ht="33.75" customHeight="1" x14ac:dyDescent="0.25">
      <c r="A21" s="797" t="s">
        <v>77</v>
      </c>
      <c r="B21" s="798"/>
      <c r="C21" s="798"/>
      <c r="D21" s="798"/>
      <c r="E21" s="798"/>
      <c r="F21" s="479">
        <f>ROUND((F20/$A$19/12),2)</f>
        <v>72.650000000000006</v>
      </c>
      <c r="J21" s="783" t="s">
        <v>363</v>
      </c>
      <c r="K21" s="782" t="s">
        <v>364</v>
      </c>
      <c r="L21" s="782" t="s">
        <v>365</v>
      </c>
      <c r="M21" s="782" t="s">
        <v>366</v>
      </c>
      <c r="N21" s="782" t="s">
        <v>367</v>
      </c>
      <c r="O21" s="782" t="s">
        <v>368</v>
      </c>
    </row>
    <row r="22" spans="1:16" s="2" customFormat="1" ht="33.75" customHeight="1" thickBot="1" x14ac:dyDescent="0.3">
      <c r="A22" s="799"/>
      <c r="B22" s="800"/>
      <c r="C22" s="800"/>
      <c r="D22" s="800"/>
      <c r="E22" s="800"/>
      <c r="F22" s="800"/>
      <c r="J22" s="783"/>
      <c r="K22" s="782"/>
      <c r="L22" s="782"/>
      <c r="M22" s="782"/>
      <c r="N22" s="782"/>
      <c r="O22" s="782"/>
    </row>
    <row r="23" spans="1:16" s="2" customFormat="1" ht="30.75" customHeight="1" x14ac:dyDescent="0.25">
      <c r="A23" s="790" t="s">
        <v>208</v>
      </c>
      <c r="B23" s="463" t="s">
        <v>68</v>
      </c>
      <c r="C23" s="465">
        <v>3</v>
      </c>
      <c r="D23" s="465">
        <f>C23*$A$26</f>
        <v>9</v>
      </c>
      <c r="E23" s="466">
        <v>50</v>
      </c>
      <c r="F23" s="467">
        <f>ROUND(E23*D23,2)</f>
        <v>450</v>
      </c>
      <c r="J23" s="344">
        <v>50</v>
      </c>
      <c r="K23" s="389">
        <f>ROUND(IF(Dados!$L$65="SIM",J23*Dados!$M$65,J23),2)</f>
        <v>50</v>
      </c>
      <c r="L23" s="389">
        <f>ROUND(IF(Dados!$L$66="SIM",K23*Dados!$M$66,K23),2)</f>
        <v>50</v>
      </c>
      <c r="M23" s="389">
        <f>ROUND(IF(Dados!$L$67="SIM",L23*Dados!$M$67,L23),2)</f>
        <v>50</v>
      </c>
      <c r="N23" s="389">
        <f>ROUND(IF(Dados!$L$68="SIM",M23*Dados!$M$68,M23),2)</f>
        <v>50</v>
      </c>
      <c r="O23" s="389">
        <f>ROUND(IF(Dados!$L$68="SIM",N23*Dados!$M$68,N23),2)</f>
        <v>50</v>
      </c>
      <c r="P23" s="390">
        <f>IF(Dados!$D$72="INICIAL",J23,IF(Dados!$D$72="1º IPCA",K23,IF(Dados!$D$72="2º IPCA",L23,IF(Dados!$D$72="3º IPCA",M23,IF(Dados!$D$72="4º IPCA",N23,IF(Dados!$D$72="5º IPCA",O23,))))))</f>
        <v>50</v>
      </c>
    </row>
    <row r="24" spans="1:16" s="2" customFormat="1" ht="35.25" customHeight="1" x14ac:dyDescent="0.25">
      <c r="A24" s="791"/>
      <c r="B24" s="463" t="s">
        <v>70</v>
      </c>
      <c r="C24" s="480">
        <v>4</v>
      </c>
      <c r="D24" s="465">
        <f t="shared" ref="D24:D26" si="2">C24*$A$26</f>
        <v>12</v>
      </c>
      <c r="E24" s="466">
        <v>35</v>
      </c>
      <c r="F24" s="467">
        <f>ROUND(E24*D24,2)</f>
        <v>420</v>
      </c>
      <c r="J24" s="344">
        <v>35</v>
      </c>
      <c r="K24" s="389">
        <f>ROUND(IF(Dados!$L$65="SIM",J24*Dados!$M$65,J24),2)</f>
        <v>35</v>
      </c>
      <c r="L24" s="389">
        <f>ROUND(IF(Dados!$L$66="SIM",K24*Dados!$M$66,K24),2)</f>
        <v>35</v>
      </c>
      <c r="M24" s="389">
        <f>ROUND(IF(Dados!$L$67="SIM",L24*Dados!$M$67,L24),2)</f>
        <v>35</v>
      </c>
      <c r="N24" s="389">
        <f>ROUND(IF(Dados!$L$68="SIM",M24*Dados!$M$68,M24),2)</f>
        <v>35</v>
      </c>
      <c r="O24" s="389">
        <f>ROUND(IF(Dados!$L$68="SIM",N24*Dados!$M$68,N24),2)</f>
        <v>35</v>
      </c>
      <c r="P24" s="390">
        <f>IF(Dados!$D$72="INICIAL",J24,IF(Dados!$D$72="1º IPCA",K24,IF(Dados!$D$72="2º IPCA",L24,IF(Dados!$D$72="3º IPCA",M24,IF(Dados!$D$72="4º IPCA",N24,IF(Dados!$D$72="5º IPCA",O24,))))))</f>
        <v>35</v>
      </c>
    </row>
    <row r="25" spans="1:16" s="2" customFormat="1" ht="35.25" customHeight="1" x14ac:dyDescent="0.25">
      <c r="A25" s="474"/>
      <c r="B25" s="504" t="s">
        <v>450</v>
      </c>
      <c r="C25" s="505">
        <v>1</v>
      </c>
      <c r="D25" s="465">
        <f t="shared" si="2"/>
        <v>3</v>
      </c>
      <c r="E25" s="506">
        <v>98.54</v>
      </c>
      <c r="F25" s="467">
        <f>ROUND(E25*D25,2)</f>
        <v>295.62</v>
      </c>
      <c r="J25" s="507"/>
      <c r="K25" s="389"/>
      <c r="L25" s="389"/>
      <c r="M25" s="389"/>
      <c r="N25" s="389"/>
      <c r="O25" s="389"/>
      <c r="P25" s="390"/>
    </row>
    <row r="26" spans="1:16" s="2" customFormat="1" ht="33.75" customHeight="1" x14ac:dyDescent="0.25">
      <c r="A26" s="481">
        <f>Resumo!D13</f>
        <v>3</v>
      </c>
      <c r="B26" s="463" t="s">
        <v>71</v>
      </c>
      <c r="C26" s="465">
        <v>2</v>
      </c>
      <c r="D26" s="465">
        <f t="shared" si="2"/>
        <v>6</v>
      </c>
      <c r="E26" s="466">
        <v>50</v>
      </c>
      <c r="F26" s="467">
        <f>ROUND(E26*D26,2)</f>
        <v>300</v>
      </c>
      <c r="J26" s="344">
        <v>50</v>
      </c>
      <c r="K26" s="389">
        <f>ROUND(IF(Dados!$L$65="SIM",J26*Dados!$M$65,J26),2)</f>
        <v>50</v>
      </c>
      <c r="L26" s="389">
        <f>ROUND(IF(Dados!$L$66="SIM",K26*Dados!$M$66,K26),2)</f>
        <v>50</v>
      </c>
      <c r="M26" s="389">
        <f>ROUND(IF(Dados!$L$67="SIM",L26*Dados!$M$67,L26),2)</f>
        <v>50</v>
      </c>
      <c r="N26" s="389">
        <f>ROUND(IF(Dados!$L$68="SIM",M26*Dados!$M$68,M26),2)</f>
        <v>50</v>
      </c>
      <c r="O26" s="389">
        <f>ROUND(IF(Dados!$L$68="SIM",N26*Dados!$M$68,N26),2)</f>
        <v>50</v>
      </c>
      <c r="P26" s="390">
        <f>IF(Dados!$D$72="INICIAL",J26,IF(Dados!$D$72="1º IPCA",K26,IF(Dados!$D$72="2º IPCA",L26,IF(Dados!$D$72="3º IPCA",M26,IF(Dados!$D$72="4º IPCA",N26,IF(Dados!$D$72="5º IPCA",O26,))))))</f>
        <v>50</v>
      </c>
    </row>
    <row r="27" spans="1:16" s="2" customFormat="1" ht="33.75" customHeight="1" x14ac:dyDescent="0.25">
      <c r="A27" s="482"/>
      <c r="B27" s="813" t="s">
        <v>74</v>
      </c>
      <c r="C27" s="813"/>
      <c r="D27" s="813"/>
      <c r="E27" s="483"/>
      <c r="F27" s="484">
        <f>SUM(F23:F26)</f>
        <v>1465.62</v>
      </c>
    </row>
    <row r="28" spans="1:16" s="2" customFormat="1" ht="36" customHeight="1" x14ac:dyDescent="0.25">
      <c r="A28" s="814" t="s">
        <v>209</v>
      </c>
      <c r="B28" s="815"/>
      <c r="C28" s="815"/>
      <c r="D28" s="815"/>
      <c r="E28" s="815"/>
      <c r="F28" s="479">
        <f>ROUND((F27/$A$26/12),2)</f>
        <v>40.71</v>
      </c>
      <c r="J28" s="783" t="s">
        <v>363</v>
      </c>
      <c r="K28" s="782" t="s">
        <v>364</v>
      </c>
      <c r="L28" s="782" t="s">
        <v>365</v>
      </c>
      <c r="M28" s="782" t="s">
        <v>366</v>
      </c>
      <c r="N28" s="782" t="s">
        <v>367</v>
      </c>
      <c r="O28" s="782" t="s">
        <v>368</v>
      </c>
    </row>
    <row r="29" spans="1:16" s="2" customFormat="1" ht="36" customHeight="1" thickBot="1" x14ac:dyDescent="0.3">
      <c r="A29" s="816"/>
      <c r="B29" s="817"/>
      <c r="C29" s="817"/>
      <c r="D29" s="817"/>
      <c r="E29" s="817"/>
      <c r="F29" s="818"/>
      <c r="J29" s="783"/>
      <c r="K29" s="782"/>
      <c r="L29" s="782"/>
      <c r="M29" s="782"/>
      <c r="N29" s="782"/>
      <c r="O29" s="782"/>
    </row>
    <row r="30" spans="1:16" s="2" customFormat="1" ht="36" customHeight="1" thickBot="1" x14ac:dyDescent="0.3">
      <c r="A30" s="805" t="s">
        <v>78</v>
      </c>
      <c r="B30" s="485" t="s">
        <v>68</v>
      </c>
      <c r="C30" s="486">
        <v>3</v>
      </c>
      <c r="D30" s="487">
        <f>C30*$A$33</f>
        <v>366</v>
      </c>
      <c r="E30" s="488">
        <v>80</v>
      </c>
      <c r="F30" s="489">
        <f>ROUND(E30*D30,2)</f>
        <v>29280</v>
      </c>
      <c r="J30" s="344">
        <v>80</v>
      </c>
      <c r="K30" s="389">
        <f>ROUND(IF(Dados!$L$65="SIM",J30*Dados!$M$65,J30),2)</f>
        <v>80</v>
      </c>
      <c r="L30" s="389">
        <f>ROUND(IF(Dados!$L$66="SIM",K30*Dados!$M$66,K30),2)</f>
        <v>80</v>
      </c>
      <c r="M30" s="389">
        <f>ROUND(IF(Dados!$L$67="SIM",L30*Dados!$M$67,L30),2)</f>
        <v>80</v>
      </c>
      <c r="N30" s="389">
        <f>ROUND(IF(Dados!$L$68="SIM",M30*Dados!$M$68,M30),2)</f>
        <v>80</v>
      </c>
      <c r="O30" s="389">
        <f>ROUND(IF(Dados!$L$68="SIM",N30*Dados!$M$68,N30),2)</f>
        <v>80</v>
      </c>
      <c r="P30" s="390">
        <f>IF(Dados!$D$72="INICIAL",J30,IF(Dados!$D$72="1º IPCA",K30,IF(Dados!$D$72="2º IPCA",L30,IF(Dados!$D$72="3º IPCA",M30,IF(Dados!$D$72="4º IPCA",N30,IF(Dados!$D$72="5º IPCA",O30,))))))</f>
        <v>80</v>
      </c>
    </row>
    <row r="31" spans="1:16" s="5" customFormat="1" ht="36.75" customHeight="1" x14ac:dyDescent="0.2">
      <c r="A31" s="805"/>
      <c r="B31" s="490" t="s">
        <v>69</v>
      </c>
      <c r="C31" s="464">
        <v>1</v>
      </c>
      <c r="D31" s="491">
        <f>C31*$A$33</f>
        <v>122</v>
      </c>
      <c r="E31" s="466">
        <v>157</v>
      </c>
      <c r="F31" s="467">
        <f>ROUND(E31*D31,2)</f>
        <v>19154</v>
      </c>
      <c r="J31" s="344">
        <v>157</v>
      </c>
      <c r="K31" s="389">
        <f>ROUND(IF(Dados!$L$65="SIM",J31*Dados!$M$65,J31),2)</f>
        <v>157</v>
      </c>
      <c r="L31" s="389">
        <f>ROUND(IF(Dados!$L$66="SIM",K31*Dados!$M$66,K31),2)</f>
        <v>157</v>
      </c>
      <c r="M31" s="389">
        <f>ROUND(IF(Dados!$L$67="SIM",L31*Dados!$M$67,L31),2)</f>
        <v>157</v>
      </c>
      <c r="N31" s="389">
        <f>ROUND(IF(Dados!$L$68="SIM",M31*Dados!$M$68,M31),2)</f>
        <v>157</v>
      </c>
      <c r="O31" s="389">
        <f>ROUND(IF(Dados!$L$68="SIM",N31*Dados!$M$68,N31),2)</f>
        <v>157</v>
      </c>
      <c r="P31" s="390">
        <f>IF(Dados!$D$72="INICIAL",J31,IF(Dados!$D$72="1º IPCA",K31,IF(Dados!$D$72="2º IPCA",L31,IF(Dados!$D$72="3º IPCA",M31,IF(Dados!$D$72="4º IPCA",N31,IF(Dados!$D$72="5º IPCA",O31,))))))</f>
        <v>157</v>
      </c>
    </row>
    <row r="32" spans="1:16" s="5" customFormat="1" ht="36.75" customHeight="1" x14ac:dyDescent="0.2">
      <c r="A32" s="468"/>
      <c r="B32" s="463" t="s">
        <v>70</v>
      </c>
      <c r="C32" s="464">
        <v>4</v>
      </c>
      <c r="D32" s="491">
        <f>C32*$A$33</f>
        <v>488</v>
      </c>
      <c r="E32" s="466">
        <v>78.7</v>
      </c>
      <c r="F32" s="467">
        <f>ROUND(E32*D32,2)</f>
        <v>38405.599999999999</v>
      </c>
      <c r="J32" s="344">
        <v>78.7</v>
      </c>
      <c r="K32" s="389">
        <f>ROUND(IF(Dados!$L$65="SIM",J32*Dados!$M$65,J32),2)</f>
        <v>78.7</v>
      </c>
      <c r="L32" s="389">
        <f>ROUND(IF(Dados!$L$66="SIM",K32*Dados!$M$66,K32),2)</f>
        <v>78.7</v>
      </c>
      <c r="M32" s="389">
        <f>ROUND(IF(Dados!$L$67="SIM",L32*Dados!$M$67,L32),2)</f>
        <v>78.7</v>
      </c>
      <c r="N32" s="389">
        <f>ROUND(IF(Dados!$L$68="SIM",M32*Dados!$M$68,M32),2)</f>
        <v>78.7</v>
      </c>
      <c r="O32" s="389">
        <f>ROUND(IF(Dados!$L$68="SIM",N32*Dados!$M$68,N32),2)</f>
        <v>78.7</v>
      </c>
      <c r="P32" s="390">
        <f>IF(Dados!$D$72="INICIAL",J32,IF(Dados!$D$72="1º IPCA",K32,IF(Dados!$D$72="2º IPCA",L32,IF(Dados!$D$72="3º IPCA",M32,IF(Dados!$D$72="4º IPCA",N32,IF(Dados!$D$72="5º IPCA",O32,))))))</f>
        <v>78.7</v>
      </c>
    </row>
    <row r="33" spans="1:16" s="5" customFormat="1" ht="36.75" customHeight="1" x14ac:dyDescent="0.2">
      <c r="A33" s="469">
        <f>Resumo!D14+Resumo!D15+Resumo!D16+Resumo!D17</f>
        <v>122</v>
      </c>
      <c r="B33" s="463" t="s">
        <v>71</v>
      </c>
      <c r="C33" s="464">
        <v>2</v>
      </c>
      <c r="D33" s="491">
        <f>C33*$A$33</f>
        <v>244</v>
      </c>
      <c r="E33" s="466">
        <v>80</v>
      </c>
      <c r="F33" s="467">
        <f>ROUND(E33*D33,2)</f>
        <v>19520</v>
      </c>
      <c r="J33" s="344">
        <v>80</v>
      </c>
      <c r="K33" s="389">
        <f>ROUND(IF(Dados!$L$65="SIM",J33*Dados!$M$65,J33),2)</f>
        <v>80</v>
      </c>
      <c r="L33" s="389">
        <f>ROUND(IF(Dados!$L$66="SIM",K33*Dados!$M$66,K33),2)</f>
        <v>80</v>
      </c>
      <c r="M33" s="389">
        <f>ROUND(IF(Dados!$L$67="SIM",L33*Dados!$M$67,L33),2)</f>
        <v>80</v>
      </c>
      <c r="N33" s="389">
        <f>ROUND(IF(Dados!$L$68="SIM",M33*Dados!$M$68,M33),2)</f>
        <v>80</v>
      </c>
      <c r="O33" s="389">
        <f>ROUND(IF(Dados!$L$68="SIM",N33*Dados!$M$68,N33),2)</f>
        <v>80</v>
      </c>
      <c r="P33" s="390">
        <f>IF(Dados!$D$72="INICIAL",J33,IF(Dados!$D$72="1º IPCA",K33,IF(Dados!$D$72="2º IPCA",L33,IF(Dados!$D$72="3º IPCA",M33,IF(Dados!$D$72="4º IPCA",N33,IF(Dados!$D$72="5º IPCA",O33,))))))</f>
        <v>80</v>
      </c>
    </row>
    <row r="34" spans="1:16" s="5" customFormat="1" ht="36.75" customHeight="1" thickBot="1" x14ac:dyDescent="0.25">
      <c r="A34" s="492"/>
      <c r="B34" s="802" t="s">
        <v>74</v>
      </c>
      <c r="C34" s="802"/>
      <c r="D34" s="802"/>
      <c r="E34" s="471"/>
      <c r="F34" s="472">
        <f>SUM(F30:F33)</f>
        <v>106359.6</v>
      </c>
    </row>
    <row r="35" spans="1:16" s="5" customFormat="1" ht="36.75" customHeight="1" thickBot="1" x14ac:dyDescent="0.25">
      <c r="A35" s="803" t="s">
        <v>79</v>
      </c>
      <c r="B35" s="803"/>
      <c r="C35" s="803"/>
      <c r="D35" s="803"/>
      <c r="E35" s="803"/>
      <c r="F35" s="473">
        <f>ROUND((F34/$A$33/12),2)</f>
        <v>72.650000000000006</v>
      </c>
      <c r="J35" s="783" t="s">
        <v>363</v>
      </c>
      <c r="K35" s="782" t="s">
        <v>364</v>
      </c>
      <c r="L35" s="782" t="s">
        <v>365</v>
      </c>
      <c r="M35" s="782" t="s">
        <v>366</v>
      </c>
      <c r="N35" s="782" t="s">
        <v>367</v>
      </c>
      <c r="O35" s="782" t="s">
        <v>368</v>
      </c>
    </row>
    <row r="36" spans="1:16" s="5" customFormat="1" ht="36.75" customHeight="1" thickBot="1" x14ac:dyDescent="0.25">
      <c r="A36" s="40"/>
      <c r="B36" s="34"/>
      <c r="C36" s="34"/>
      <c r="D36" s="34"/>
      <c r="E36" s="34"/>
      <c r="F36" s="297"/>
      <c r="J36" s="783"/>
      <c r="K36" s="782"/>
      <c r="L36" s="782"/>
      <c r="M36" s="782"/>
      <c r="N36" s="782"/>
      <c r="O36" s="782"/>
    </row>
    <row r="37" spans="1:16" s="5" customFormat="1" ht="36.75" customHeight="1" thickBot="1" x14ac:dyDescent="0.25">
      <c r="A37" s="790" t="s">
        <v>84</v>
      </c>
      <c r="B37" s="485" t="s">
        <v>68</v>
      </c>
      <c r="C37" s="486">
        <v>3</v>
      </c>
      <c r="D37" s="487">
        <f>C37*$A$41</f>
        <v>18</v>
      </c>
      <c r="E37" s="488">
        <v>80</v>
      </c>
      <c r="F37" s="489">
        <f>ROUND(E37*D37,2)</f>
        <v>1440</v>
      </c>
      <c r="J37" s="344">
        <v>80</v>
      </c>
      <c r="K37" s="389">
        <f>ROUND(IF(Dados!$L$65="SIM",J37*Dados!$M$65,J37),2)</f>
        <v>80</v>
      </c>
      <c r="L37" s="389">
        <f>ROUND(IF(Dados!$L$66="SIM",K37*Dados!$M$66,K37),2)</f>
        <v>80</v>
      </c>
      <c r="M37" s="389">
        <f>ROUND(IF(Dados!$L$67="SIM",L37*Dados!$M$67,L37),2)</f>
        <v>80</v>
      </c>
      <c r="N37" s="389">
        <f>ROUND(IF(Dados!$L$68="SIM",M37*Dados!$M$68,M37),2)</f>
        <v>80</v>
      </c>
      <c r="O37" s="389">
        <f>ROUND(IF(Dados!$L$68="SIM",N37*Dados!$M$68,N37),2)</f>
        <v>80</v>
      </c>
      <c r="P37" s="390">
        <f>IF(Dados!$D$72="INICIAL",J37,IF(Dados!$D$72="1º IPCA",K37,IF(Dados!$D$72="2º IPCA",L37,IF(Dados!$D$72="3º IPCA",M37,IF(Dados!$D$72="4º IPCA",N37,IF(Dados!$D$72="5º IPCA",O37,))))))</f>
        <v>80</v>
      </c>
    </row>
    <row r="38" spans="1:16" s="5" customFormat="1" ht="48.75" customHeight="1" thickBot="1" x14ac:dyDescent="0.25">
      <c r="A38" s="791"/>
      <c r="B38" s="490" t="s">
        <v>69</v>
      </c>
      <c r="C38" s="464">
        <v>1</v>
      </c>
      <c r="D38" s="487">
        <f t="shared" ref="D38:D41" si="3">C38*$A$41</f>
        <v>6</v>
      </c>
      <c r="E38" s="466">
        <v>157</v>
      </c>
      <c r="F38" s="467">
        <f>ROUND(E38*D38,2)</f>
        <v>942</v>
      </c>
      <c r="J38" s="344">
        <v>157</v>
      </c>
      <c r="K38" s="389">
        <f>ROUND(IF(Dados!$L$65="SIM",J38*Dados!$M$65,J38),2)</f>
        <v>157</v>
      </c>
      <c r="L38" s="389">
        <f>ROUND(IF(Dados!$L$66="SIM",K38*Dados!$M$66,K38),2)</f>
        <v>157</v>
      </c>
      <c r="M38" s="389">
        <f>ROUND(IF(Dados!$L$67="SIM",L38*Dados!$M$67,L38),2)</f>
        <v>157</v>
      </c>
      <c r="N38" s="389">
        <f>ROUND(IF(Dados!$L$68="SIM",M38*Dados!$M$68,M38),2)</f>
        <v>157</v>
      </c>
      <c r="O38" s="389">
        <f>ROUND(IF(Dados!$L$68="SIM",N38*Dados!$M$68,N38),2)</f>
        <v>157</v>
      </c>
      <c r="P38" s="390">
        <f>IF(Dados!$D$72="INICIAL",J38,IF(Dados!$D$72="1º IPCA",K38,IF(Dados!$D$72="2º IPCA",L38,IF(Dados!$D$72="3º IPCA",M38,IF(Dados!$D$72="4º IPCA",N38,IF(Dados!$D$72="5º IPCA",O38,))))))</f>
        <v>157</v>
      </c>
    </row>
    <row r="39" spans="1:16" s="5" customFormat="1" ht="36.75" customHeight="1" thickBot="1" x14ac:dyDescent="0.25">
      <c r="A39" s="791"/>
      <c r="B39" s="463" t="s">
        <v>70</v>
      </c>
      <c r="C39" s="464">
        <v>4</v>
      </c>
      <c r="D39" s="487">
        <f t="shared" si="3"/>
        <v>24</v>
      </c>
      <c r="E39" s="466">
        <v>78.7</v>
      </c>
      <c r="F39" s="467">
        <f>ROUND(E39*D39,2)</f>
        <v>1888.8</v>
      </c>
      <c r="J39" s="344">
        <v>78.7</v>
      </c>
      <c r="K39" s="389">
        <f>ROUND(IF(Dados!$L$65="SIM",J39*Dados!$M$65,J39),2)</f>
        <v>78.7</v>
      </c>
      <c r="L39" s="389">
        <f>ROUND(IF(Dados!$L$66="SIM",K39*Dados!$M$66,K39),2)</f>
        <v>78.7</v>
      </c>
      <c r="M39" s="389">
        <f>ROUND(IF(Dados!$L$67="SIM",L39*Dados!$M$67,L39),2)</f>
        <v>78.7</v>
      </c>
      <c r="N39" s="389">
        <f>ROUND(IF(Dados!$L$68="SIM",M39*Dados!$M$68,M39),2)</f>
        <v>78.7</v>
      </c>
      <c r="O39" s="389">
        <f>ROUND(IF(Dados!$L$68="SIM",N39*Dados!$M$68,N39),2)</f>
        <v>78.7</v>
      </c>
      <c r="P39" s="390">
        <f>IF(Dados!$D$72="INICIAL",J39,IF(Dados!$D$72="1º IPCA",K39,IF(Dados!$D$72="2º IPCA",L39,IF(Dados!$D$72="3º IPCA",M39,IF(Dados!$D$72="4º IPCA",N39,IF(Dados!$D$72="5º IPCA",O39,))))))</f>
        <v>78.7</v>
      </c>
    </row>
    <row r="40" spans="1:16" s="5" customFormat="1" ht="36.75" customHeight="1" thickBot="1" x14ac:dyDescent="0.25">
      <c r="A40" s="468"/>
      <c r="B40" s="463" t="s">
        <v>72</v>
      </c>
      <c r="C40" s="464">
        <v>1</v>
      </c>
      <c r="D40" s="487">
        <f t="shared" si="3"/>
        <v>6</v>
      </c>
      <c r="E40" s="466">
        <v>19</v>
      </c>
      <c r="F40" s="467">
        <f>ROUND(E40*D40,2)</f>
        <v>114</v>
      </c>
      <c r="J40" s="344">
        <v>19</v>
      </c>
      <c r="K40" s="389">
        <f>ROUND(IF(Dados!$L$65="SIM",J40*Dados!$M$65,J40),2)</f>
        <v>19</v>
      </c>
      <c r="L40" s="389">
        <f>ROUND(IF(Dados!$L$66="SIM",K40*Dados!$M$66,K40),2)</f>
        <v>19</v>
      </c>
      <c r="M40" s="389">
        <f>ROUND(IF(Dados!$L$67="SIM",L40*Dados!$M$67,L40),2)</f>
        <v>19</v>
      </c>
      <c r="N40" s="389">
        <f>ROUND(IF(Dados!$L$68="SIM",M40*Dados!$M$68,M40),2)</f>
        <v>19</v>
      </c>
      <c r="O40" s="389">
        <f>ROUND(IF(Dados!$L$68="SIM",N40*Dados!$M$68,N40),2)</f>
        <v>19</v>
      </c>
      <c r="P40" s="390">
        <f>IF(Dados!$D$72="INICIAL",J40,IF(Dados!$D$72="1º IPCA",K40,IF(Dados!$D$72="2º IPCA",L40,IF(Dados!$D$72="3º IPCA",M40,IF(Dados!$D$72="4º IPCA",N40,IF(Dados!$D$72="5º IPCA",O40,))))))</f>
        <v>19</v>
      </c>
    </row>
    <row r="41" spans="1:16" s="5" customFormat="1" ht="36.75" customHeight="1" x14ac:dyDescent="0.2">
      <c r="A41" s="469">
        <f>Resumo!D18</f>
        <v>6</v>
      </c>
      <c r="B41" s="463" t="s">
        <v>71</v>
      </c>
      <c r="C41" s="464">
        <v>2</v>
      </c>
      <c r="D41" s="487">
        <f t="shared" si="3"/>
        <v>12</v>
      </c>
      <c r="E41" s="466">
        <v>80</v>
      </c>
      <c r="F41" s="467">
        <f>ROUND(E41*D41,2)</f>
        <v>960</v>
      </c>
      <c r="J41" s="344">
        <v>80</v>
      </c>
      <c r="K41" s="389">
        <f>ROUND(IF(Dados!$L$65="SIM",J41*Dados!$M$65,J41),2)</f>
        <v>80</v>
      </c>
      <c r="L41" s="389">
        <f>ROUND(IF(Dados!$L$66="SIM",K41*Dados!$M$66,K41),2)</f>
        <v>80</v>
      </c>
      <c r="M41" s="389">
        <f>ROUND(IF(Dados!$L$67="SIM",L41*Dados!$M$67,L41),2)</f>
        <v>80</v>
      </c>
      <c r="N41" s="389">
        <f>ROUND(IF(Dados!$L$68="SIM",M41*Dados!$M$68,M41),2)</f>
        <v>80</v>
      </c>
      <c r="O41" s="389">
        <f>ROUND(IF(Dados!$L$68="SIM",N41*Dados!$M$68,N41),2)</f>
        <v>80</v>
      </c>
      <c r="P41" s="390">
        <f>IF(Dados!$D$72="INICIAL",J41,IF(Dados!$D$72="1º IPCA",K41,IF(Dados!$D$72="2º IPCA",L41,IF(Dados!$D$72="3º IPCA",M41,IF(Dados!$D$72="4º IPCA",N41,IF(Dados!$D$72="5º IPCA",O41,))))))</f>
        <v>80</v>
      </c>
    </row>
    <row r="42" spans="1:16" s="5" customFormat="1" ht="36.75" customHeight="1" thickBot="1" x14ac:dyDescent="0.25">
      <c r="A42" s="492"/>
      <c r="B42" s="802" t="s">
        <v>74</v>
      </c>
      <c r="C42" s="802"/>
      <c r="D42" s="802"/>
      <c r="E42" s="471"/>
      <c r="F42" s="472">
        <f>SUM(F37:F41)</f>
        <v>5344.8</v>
      </c>
    </row>
    <row r="43" spans="1:16" s="5" customFormat="1" ht="36.75" customHeight="1" thickBot="1" x14ac:dyDescent="0.25">
      <c r="A43" s="803" t="s">
        <v>85</v>
      </c>
      <c r="B43" s="803"/>
      <c r="C43" s="803"/>
      <c r="D43" s="803"/>
      <c r="E43" s="803"/>
      <c r="F43" s="473">
        <f>ROUND((F42/$A$41/12),2)</f>
        <v>74.23</v>
      </c>
      <c r="J43" s="783" t="s">
        <v>363</v>
      </c>
      <c r="K43" s="782" t="s">
        <v>364</v>
      </c>
      <c r="L43" s="782" t="s">
        <v>365</v>
      </c>
      <c r="M43" s="782" t="s">
        <v>366</v>
      </c>
      <c r="N43" s="782" t="s">
        <v>367</v>
      </c>
      <c r="O43" s="782" t="s">
        <v>368</v>
      </c>
    </row>
    <row r="44" spans="1:16" s="5" customFormat="1" ht="36.75" customHeight="1" thickBot="1" x14ac:dyDescent="0.25">
      <c r="A44" s="787"/>
      <c r="B44" s="788"/>
      <c r="C44" s="788"/>
      <c r="D44" s="788"/>
      <c r="E44" s="788"/>
      <c r="F44" s="789"/>
      <c r="J44" s="783"/>
      <c r="K44" s="782"/>
      <c r="L44" s="782"/>
      <c r="M44" s="782"/>
      <c r="N44" s="782"/>
      <c r="O44" s="782"/>
    </row>
    <row r="45" spans="1:16" s="5" customFormat="1" ht="32.1" customHeight="1" thickBot="1" x14ac:dyDescent="0.25">
      <c r="A45" s="805" t="s">
        <v>86</v>
      </c>
      <c r="B45" s="485" t="s">
        <v>68</v>
      </c>
      <c r="C45" s="486">
        <v>3</v>
      </c>
      <c r="D45" s="487">
        <f>C45*$A$48</f>
        <v>3</v>
      </c>
      <c r="E45" s="488">
        <v>80</v>
      </c>
      <c r="F45" s="489">
        <f>ROUND(E45*D45,2)</f>
        <v>240</v>
      </c>
      <c r="J45" s="344">
        <v>80</v>
      </c>
      <c r="K45" s="389">
        <f>ROUND(IF(Dados!$L$65="SIM",J45*Dados!$M$65,J45),2)</f>
        <v>80</v>
      </c>
      <c r="L45" s="389">
        <f>ROUND(IF(Dados!$L$66="SIM",K45*Dados!$M$66,K45),2)</f>
        <v>80</v>
      </c>
      <c r="M45" s="389">
        <f>ROUND(IF(Dados!$L$67="SIM",L45*Dados!$M$67,L45),2)</f>
        <v>80</v>
      </c>
      <c r="N45" s="389">
        <f>ROUND(IF(Dados!$L$68="SIM",M45*Dados!$M$68,M45),2)</f>
        <v>80</v>
      </c>
      <c r="O45" s="389">
        <f>ROUND(IF(Dados!$L$68="SIM",N45*Dados!$M$68,N45),2)</f>
        <v>80</v>
      </c>
      <c r="P45" s="390">
        <f>IF(Dados!$D$72="INICIAL",J45,IF(Dados!$D$72="1º IPCA",K45,IF(Dados!$D$72="2º IPCA",L45,IF(Dados!$D$72="3º IPCA",M45,IF(Dados!$D$72="4º IPCA",N45,IF(Dados!$D$72="5º IPCA",O45,))))))</f>
        <v>80</v>
      </c>
    </row>
    <row r="46" spans="1:16" s="5" customFormat="1" ht="32.1" customHeight="1" thickBot="1" x14ac:dyDescent="0.25">
      <c r="A46" s="805"/>
      <c r="B46" s="490" t="s">
        <v>69</v>
      </c>
      <c r="C46" s="464">
        <v>1</v>
      </c>
      <c r="D46" s="487">
        <f t="shared" ref="D46:D48" si="4">C46*$A$48</f>
        <v>1</v>
      </c>
      <c r="E46" s="466">
        <v>157</v>
      </c>
      <c r="F46" s="467">
        <f>ROUND(E46*D46,2)</f>
        <v>157</v>
      </c>
      <c r="J46" s="344">
        <v>157</v>
      </c>
      <c r="K46" s="389">
        <f>ROUND(IF(Dados!$L$65="SIM",J46*Dados!$M$65,J46),2)</f>
        <v>157</v>
      </c>
      <c r="L46" s="389">
        <f>ROUND(IF(Dados!$L$66="SIM",K46*Dados!$M$66,K46),2)</f>
        <v>157</v>
      </c>
      <c r="M46" s="389">
        <f>ROUND(IF(Dados!$L$67="SIM",L46*Dados!$M$67,L46),2)</f>
        <v>157</v>
      </c>
      <c r="N46" s="389">
        <f>ROUND(IF(Dados!$L$68="SIM",M46*Dados!$M$68,M46),2)</f>
        <v>157</v>
      </c>
      <c r="O46" s="389">
        <f>ROUND(IF(Dados!$L$68="SIM",N46*Dados!$M$68,N46),2)</f>
        <v>157</v>
      </c>
      <c r="P46" s="390">
        <f>IF(Dados!$D$72="INICIAL",J46,IF(Dados!$D$72="1º IPCA",K46,IF(Dados!$D$72="2º IPCA",L46,IF(Dados!$D$72="3º IPCA",M46,IF(Dados!$D$72="4º IPCA",N46,IF(Dados!$D$72="5º IPCA",O46,))))))</f>
        <v>157</v>
      </c>
    </row>
    <row r="47" spans="1:16" ht="27.75" customHeight="1" thickBot="1" x14ac:dyDescent="0.25">
      <c r="A47" s="468"/>
      <c r="B47" s="463" t="s">
        <v>70</v>
      </c>
      <c r="C47" s="464">
        <v>4</v>
      </c>
      <c r="D47" s="487">
        <f t="shared" si="4"/>
        <v>4</v>
      </c>
      <c r="E47" s="466">
        <v>78.7</v>
      </c>
      <c r="F47" s="467">
        <f>ROUND(E47*D47,2)</f>
        <v>314.8</v>
      </c>
      <c r="J47" s="344">
        <v>78.7</v>
      </c>
      <c r="K47" s="389">
        <f>ROUND(IF(Dados!$L$65="SIM",J47*Dados!$M$65,J47),2)</f>
        <v>78.7</v>
      </c>
      <c r="L47" s="389">
        <f>ROUND(IF(Dados!$L$66="SIM",K47*Dados!$M$66,K47),2)</f>
        <v>78.7</v>
      </c>
      <c r="M47" s="389">
        <f>ROUND(IF(Dados!$L$67="SIM",L47*Dados!$M$67,L47),2)</f>
        <v>78.7</v>
      </c>
      <c r="N47" s="389">
        <f>ROUND(IF(Dados!$L$68="SIM",M47*Dados!$M$68,M47),2)</f>
        <v>78.7</v>
      </c>
      <c r="O47" s="389">
        <f>ROUND(IF(Dados!$L$68="SIM",N47*Dados!$M$68,N47),2)</f>
        <v>78.7</v>
      </c>
      <c r="P47" s="390">
        <f>IF(Dados!$D$72="INICIAL",J47,IF(Dados!$D$72="1º IPCA",K47,IF(Dados!$D$72="2º IPCA",L47,IF(Dados!$D$72="3º IPCA",M47,IF(Dados!$D$72="4º IPCA",N47,IF(Dados!$D$72="5º IPCA",O47,))))))</f>
        <v>78.7</v>
      </c>
    </row>
    <row r="48" spans="1:16" ht="33" customHeight="1" x14ac:dyDescent="0.2">
      <c r="A48" s="469">
        <f>Resumo!D19</f>
        <v>1</v>
      </c>
      <c r="B48" s="463" t="s">
        <v>71</v>
      </c>
      <c r="C48" s="464">
        <v>2</v>
      </c>
      <c r="D48" s="487">
        <f t="shared" si="4"/>
        <v>2</v>
      </c>
      <c r="E48" s="466">
        <v>80</v>
      </c>
      <c r="F48" s="467">
        <f>ROUND(E48*D48,2)</f>
        <v>160</v>
      </c>
      <c r="J48" s="344">
        <v>80</v>
      </c>
      <c r="K48" s="389">
        <f>ROUND(IF(Dados!$L$65="SIM",J48*Dados!$M$65,J48),2)</f>
        <v>80</v>
      </c>
      <c r="L48" s="389">
        <f>ROUND(IF(Dados!$L$66="SIM",K48*Dados!$M$66,K48),2)</f>
        <v>80</v>
      </c>
      <c r="M48" s="389">
        <f>ROUND(IF(Dados!$L$67="SIM",L48*Dados!$M$67,L48),2)</f>
        <v>80</v>
      </c>
      <c r="N48" s="389">
        <f>ROUND(IF(Dados!$L$68="SIM",M48*Dados!$M$68,M48),2)</f>
        <v>80</v>
      </c>
      <c r="O48" s="389">
        <f>ROUND(IF(Dados!$L$68="SIM",N48*Dados!$M$68,N48),2)</f>
        <v>80</v>
      </c>
      <c r="P48" s="390">
        <f>IF(Dados!$D$72="INICIAL",J48,IF(Dados!$D$72="1º IPCA",K48,IF(Dados!$D$72="2º IPCA",L48,IF(Dados!$D$72="3º IPCA",M48,IF(Dados!$D$72="4º IPCA",N48,IF(Dados!$D$72="5º IPCA",O48,))))))</f>
        <v>80</v>
      </c>
    </row>
    <row r="49" spans="1:16" ht="33" customHeight="1" thickBot="1" x14ac:dyDescent="0.25">
      <c r="A49" s="492"/>
      <c r="B49" s="802" t="s">
        <v>74</v>
      </c>
      <c r="C49" s="802"/>
      <c r="D49" s="802"/>
      <c r="E49" s="471"/>
      <c r="F49" s="472">
        <f>SUM(F45:F48)</f>
        <v>871.8</v>
      </c>
    </row>
    <row r="50" spans="1:16" ht="33" customHeight="1" thickBot="1" x14ac:dyDescent="0.25">
      <c r="A50" s="803" t="s">
        <v>87</v>
      </c>
      <c r="B50" s="803"/>
      <c r="C50" s="803"/>
      <c r="D50" s="803"/>
      <c r="E50" s="803"/>
      <c r="F50" s="473">
        <f>ROUND((F49/$A$48/12),2)</f>
        <v>72.650000000000006</v>
      </c>
      <c r="J50" s="783" t="s">
        <v>363</v>
      </c>
      <c r="K50" s="782" t="s">
        <v>364</v>
      </c>
      <c r="L50" s="782" t="s">
        <v>365</v>
      </c>
      <c r="M50" s="782" t="s">
        <v>366</v>
      </c>
      <c r="N50" s="782" t="s">
        <v>367</v>
      </c>
      <c r="O50" s="782" t="s">
        <v>368</v>
      </c>
    </row>
    <row r="51" spans="1:16" ht="33" customHeight="1" thickBot="1" x14ac:dyDescent="0.25">
      <c r="A51" s="787"/>
      <c r="B51" s="788"/>
      <c r="C51" s="788"/>
      <c r="D51" s="788"/>
      <c r="E51" s="788"/>
      <c r="F51" s="789"/>
      <c r="J51" s="783"/>
      <c r="K51" s="782"/>
      <c r="L51" s="782"/>
      <c r="M51" s="782"/>
      <c r="N51" s="782"/>
      <c r="O51" s="782"/>
    </row>
    <row r="52" spans="1:16" ht="33" customHeight="1" x14ac:dyDescent="0.2">
      <c r="A52" s="790" t="s">
        <v>80</v>
      </c>
      <c r="B52" s="485" t="s">
        <v>68</v>
      </c>
      <c r="C52" s="486">
        <v>3</v>
      </c>
      <c r="D52" s="493">
        <f>C52*$A$56</f>
        <v>24</v>
      </c>
      <c r="E52" s="488">
        <v>80</v>
      </c>
      <c r="F52" s="489">
        <f>ROUND(E52*D52,2)</f>
        <v>1920</v>
      </c>
      <c r="J52" s="344">
        <v>80</v>
      </c>
      <c r="K52" s="389">
        <f>ROUND(IF(Dados!$L$65="SIM",J52*Dados!$M$65,J52),2)</f>
        <v>80</v>
      </c>
      <c r="L52" s="389">
        <f>ROUND(IF(Dados!$L$66="SIM",K52*Dados!$M$66,K52),2)</f>
        <v>80</v>
      </c>
      <c r="M52" s="389">
        <f>ROUND(IF(Dados!$L$67="SIM",L52*Dados!$M$67,L52),2)</f>
        <v>80</v>
      </c>
      <c r="N52" s="389">
        <f>ROUND(IF(Dados!$L$68="SIM",M52*Dados!$M$68,M52),2)</f>
        <v>80</v>
      </c>
      <c r="O52" s="389">
        <f>ROUND(IF(Dados!$L$68="SIM",N52*Dados!$M$68,N52),2)</f>
        <v>80</v>
      </c>
      <c r="P52" s="390">
        <f>IF(Dados!$D$72="INICIAL",J52,IF(Dados!$D$72="1º IPCA",K52,IF(Dados!$D$72="2º IPCA",L52,IF(Dados!$D$72="3º IPCA",M52,IF(Dados!$D$72="4º IPCA",N52,IF(Dados!$D$72="5º IPCA",O52,))))))</f>
        <v>80</v>
      </c>
    </row>
    <row r="53" spans="1:16" ht="43.5" customHeight="1" x14ac:dyDescent="0.2">
      <c r="A53" s="791"/>
      <c r="B53" s="463" t="s">
        <v>70</v>
      </c>
      <c r="C53" s="464">
        <v>2</v>
      </c>
      <c r="D53" s="465">
        <f>C53*$A$56</f>
        <v>16</v>
      </c>
      <c r="E53" s="466">
        <v>35</v>
      </c>
      <c r="F53" s="467">
        <f>ROUND(E53*D53,2)</f>
        <v>560</v>
      </c>
      <c r="J53" s="344">
        <v>35</v>
      </c>
      <c r="K53" s="389">
        <f>ROUND(IF(Dados!$L$65="SIM",J53*Dados!$M$65,J53),2)</f>
        <v>35</v>
      </c>
      <c r="L53" s="389">
        <f>ROUND(IF(Dados!$L$66="SIM",K53*Dados!$M$66,K53),2)</f>
        <v>35</v>
      </c>
      <c r="M53" s="389">
        <f>ROUND(IF(Dados!$L$67="SIM",L53*Dados!$M$67,L53),2)</f>
        <v>35</v>
      </c>
      <c r="N53" s="389">
        <f>ROUND(IF(Dados!$L$68="SIM",M53*Dados!$M$68,M53),2)</f>
        <v>35</v>
      </c>
      <c r="O53" s="389">
        <f>ROUND(IF(Dados!$L$68="SIM",N53*Dados!$M$68,N53),2)</f>
        <v>35</v>
      </c>
      <c r="P53" s="390">
        <f>IF(Dados!$D$72="INICIAL",J53,IF(Dados!$D$72="1º IPCA",K53,IF(Dados!$D$72="2º IPCA",L53,IF(Dados!$D$72="3º IPCA",M53,IF(Dados!$D$72="4º IPCA",N53,IF(Dados!$D$72="5º IPCA",O53,))))))</f>
        <v>35</v>
      </c>
    </row>
    <row r="54" spans="1:16" ht="25.5" customHeight="1" x14ac:dyDescent="0.2">
      <c r="A54" s="469"/>
      <c r="B54" s="463" t="s">
        <v>70</v>
      </c>
      <c r="C54" s="464">
        <v>2</v>
      </c>
      <c r="D54" s="465">
        <f>C54*$A$56</f>
        <v>16</v>
      </c>
      <c r="E54" s="466">
        <v>78.7</v>
      </c>
      <c r="F54" s="467">
        <f>ROUND(E54*D54,2)</f>
        <v>1259.2</v>
      </c>
      <c r="J54" s="344">
        <v>78.7</v>
      </c>
      <c r="K54" s="389">
        <f>ROUND(IF(Dados!$L$65="SIM",J54*Dados!$M$65,J54),2)</f>
        <v>78.7</v>
      </c>
      <c r="L54" s="389">
        <f>ROUND(IF(Dados!$L$66="SIM",K54*Dados!$M$66,K54),2)</f>
        <v>78.7</v>
      </c>
      <c r="M54" s="389">
        <f>ROUND(IF(Dados!$L$67="SIM",L54*Dados!$M$67,L54),2)</f>
        <v>78.7</v>
      </c>
      <c r="N54" s="389">
        <f>ROUND(IF(Dados!$L$68="SIM",M54*Dados!$M$68,M54),2)</f>
        <v>78.7</v>
      </c>
      <c r="O54" s="389">
        <f>ROUND(IF(Dados!$L$68="SIM",N54*Dados!$M$68,N54),2)</f>
        <v>78.7</v>
      </c>
      <c r="P54" s="390">
        <f>IF(Dados!$D$72="INICIAL",J54,IF(Dados!$D$72="1º IPCA",K54,IF(Dados!$D$72="2º IPCA",L54,IF(Dados!$D$72="3º IPCA",M54,IF(Dados!$D$72="4º IPCA",N54,IF(Dados!$D$72="5º IPCA",O54,))))))</f>
        <v>78.7</v>
      </c>
    </row>
    <row r="55" spans="1:16" ht="35.25" customHeight="1" x14ac:dyDescent="0.2">
      <c r="A55" s="469"/>
      <c r="B55" s="463" t="s">
        <v>72</v>
      </c>
      <c r="C55" s="464">
        <v>1</v>
      </c>
      <c r="D55" s="465">
        <f>C55*$A$56</f>
        <v>8</v>
      </c>
      <c r="E55" s="466">
        <v>19</v>
      </c>
      <c r="F55" s="467">
        <f>ROUND(E55*D55,2)</f>
        <v>152</v>
      </c>
      <c r="J55" s="344">
        <v>19</v>
      </c>
      <c r="K55" s="389">
        <f>ROUND(IF(Dados!$L$65="SIM",J55*Dados!$M$65,J55),2)</f>
        <v>19</v>
      </c>
      <c r="L55" s="389">
        <f>ROUND(IF(Dados!$L$66="SIM",K55*Dados!$M$66,K55),2)</f>
        <v>19</v>
      </c>
      <c r="M55" s="389">
        <f>ROUND(IF(Dados!$L$67="SIM",L55*Dados!$M$67,L55),2)</f>
        <v>19</v>
      </c>
      <c r="N55" s="389">
        <f>ROUND(IF(Dados!$L$68="SIM",M55*Dados!$M$68,M55),2)</f>
        <v>19</v>
      </c>
      <c r="O55" s="389">
        <f>ROUND(IF(Dados!$L$68="SIM",N55*Dados!$M$68,N55),2)</f>
        <v>19</v>
      </c>
      <c r="P55" s="390">
        <f>IF(Dados!$D$72="INICIAL",J55,IF(Dados!$D$72="1º IPCA",K55,IF(Dados!$D$72="2º IPCA",L55,IF(Dados!$D$72="3º IPCA",M55,IF(Dados!$D$72="4º IPCA",N55,IF(Dados!$D$72="5º IPCA",O55,))))))</f>
        <v>19</v>
      </c>
    </row>
    <row r="56" spans="1:16" ht="36.75" customHeight="1" x14ac:dyDescent="0.2">
      <c r="A56" s="469">
        <f>Resumo!D20</f>
        <v>8</v>
      </c>
      <c r="B56" s="463" t="s">
        <v>71</v>
      </c>
      <c r="C56" s="464">
        <v>2</v>
      </c>
      <c r="D56" s="465">
        <f>C56*$A$56</f>
        <v>16</v>
      </c>
      <c r="E56" s="466">
        <v>80</v>
      </c>
      <c r="F56" s="467">
        <f>ROUND(E56*D56,2)</f>
        <v>1280</v>
      </c>
      <c r="J56" s="344">
        <v>80</v>
      </c>
      <c r="K56" s="389">
        <f>ROUND(IF(Dados!$L$65="SIM",J56*Dados!$M$65,J56),2)</f>
        <v>80</v>
      </c>
      <c r="L56" s="389">
        <f>ROUND(IF(Dados!$L$66="SIM",K56*Dados!$M$66,K56),2)</f>
        <v>80</v>
      </c>
      <c r="M56" s="389">
        <f>ROUND(IF(Dados!$L$67="SIM",L56*Dados!$M$67,L56),2)</f>
        <v>80</v>
      </c>
      <c r="N56" s="389">
        <f>ROUND(IF(Dados!$L$68="SIM",M56*Dados!$M$68,M56),2)</f>
        <v>80</v>
      </c>
      <c r="O56" s="389">
        <f>ROUND(IF(Dados!$L$68="SIM",N56*Dados!$M$68,N56),2)</f>
        <v>80</v>
      </c>
      <c r="P56" s="390">
        <f>IF(Dados!$D$72="INICIAL",J56,IF(Dados!$D$72="1º IPCA",K56,IF(Dados!$D$72="2º IPCA",L56,IF(Dados!$D$72="3º IPCA",M56,IF(Dados!$D$72="4º IPCA",N56,IF(Dados!$D$72="5º IPCA",O56,))))))</f>
        <v>80</v>
      </c>
    </row>
    <row r="57" spans="1:16" ht="37.5" customHeight="1" thickBot="1" x14ac:dyDescent="0.25">
      <c r="A57" s="492"/>
      <c r="B57" s="802" t="s">
        <v>74</v>
      </c>
      <c r="C57" s="802"/>
      <c r="D57" s="802"/>
      <c r="E57" s="471"/>
      <c r="F57" s="494">
        <f>SUM(F52:F56)</f>
        <v>5171.2</v>
      </c>
    </row>
    <row r="58" spans="1:16" ht="36.75" customHeight="1" thickBot="1" x14ac:dyDescent="0.25">
      <c r="A58" s="803" t="s">
        <v>81</v>
      </c>
      <c r="B58" s="803"/>
      <c r="C58" s="803"/>
      <c r="D58" s="803"/>
      <c r="E58" s="803"/>
      <c r="F58" s="473">
        <f>ROUND((F57/$A$56/12),2)</f>
        <v>53.87</v>
      </c>
      <c r="J58" s="783" t="s">
        <v>363</v>
      </c>
      <c r="K58" s="782" t="s">
        <v>364</v>
      </c>
      <c r="L58" s="782" t="s">
        <v>365</v>
      </c>
      <c r="M58" s="782" t="s">
        <v>366</v>
      </c>
      <c r="N58" s="782" t="s">
        <v>367</v>
      </c>
      <c r="O58" s="782" t="s">
        <v>368</v>
      </c>
    </row>
    <row r="59" spans="1:16" ht="36.75" customHeight="1" thickBot="1" x14ac:dyDescent="0.25">
      <c r="A59" s="495"/>
      <c r="B59" s="496"/>
      <c r="C59" s="496"/>
      <c r="D59" s="496"/>
      <c r="E59" s="496"/>
      <c r="F59" s="497"/>
      <c r="J59" s="783"/>
      <c r="K59" s="782"/>
      <c r="L59" s="782"/>
      <c r="M59" s="782"/>
      <c r="N59" s="782"/>
      <c r="O59" s="782"/>
    </row>
    <row r="60" spans="1:16" ht="42.75" customHeight="1" x14ac:dyDescent="0.2">
      <c r="A60" s="792" t="s">
        <v>82</v>
      </c>
      <c r="B60" s="498" t="s">
        <v>68</v>
      </c>
      <c r="C60" s="486">
        <v>3</v>
      </c>
      <c r="D60" s="493">
        <f>C60*$A$63</f>
        <v>33</v>
      </c>
      <c r="E60" s="488">
        <v>80</v>
      </c>
      <c r="F60" s="489">
        <f>ROUND(E60*D60,2)</f>
        <v>2640</v>
      </c>
      <c r="J60" s="344">
        <v>80</v>
      </c>
      <c r="K60" s="389">
        <f>ROUND(IF(Dados!$L$65="SIM",J60*Dados!$M$65,J60),2)</f>
        <v>80</v>
      </c>
      <c r="L60" s="389">
        <f>ROUND(IF(Dados!$L$66="SIM",K60*Dados!$M$66,K60),2)</f>
        <v>80</v>
      </c>
      <c r="M60" s="389">
        <f>ROUND(IF(Dados!$L$67="SIM",L60*Dados!$M$67,L60),2)</f>
        <v>80</v>
      </c>
      <c r="N60" s="389">
        <f>ROUND(IF(Dados!$L$68="SIM",M60*Dados!$M$68,M60),2)</f>
        <v>80</v>
      </c>
      <c r="O60" s="389">
        <f>ROUND(IF(Dados!$L$68="SIM",N60*Dados!$M$68,N60),2)</f>
        <v>80</v>
      </c>
      <c r="P60" s="390">
        <f>IF(Dados!$D$72="INICIAL",J60,IF(Dados!$D$72="1º IPCA",K60,IF(Dados!$D$72="2º IPCA",L60,IF(Dados!$D$72="3º IPCA",M60,IF(Dados!$D$72="4º IPCA",N60,IF(Dados!$D$72="5º IPCA",O60,))))))</f>
        <v>80</v>
      </c>
    </row>
    <row r="61" spans="1:16" ht="42.75" customHeight="1" x14ac:dyDescent="0.2">
      <c r="A61" s="793"/>
      <c r="B61" s="499" t="s">
        <v>69</v>
      </c>
      <c r="C61" s="464">
        <v>1</v>
      </c>
      <c r="D61" s="465">
        <f>C61*$A$63</f>
        <v>11</v>
      </c>
      <c r="E61" s="466">
        <v>157</v>
      </c>
      <c r="F61" s="467">
        <f>ROUND(E61*D61,2)</f>
        <v>1727</v>
      </c>
      <c r="J61" s="344">
        <v>157</v>
      </c>
      <c r="K61" s="389">
        <f>ROUND(IF(Dados!$L$65="SIM",J61*Dados!$M$65,J61),2)</f>
        <v>157</v>
      </c>
      <c r="L61" s="389">
        <f>ROUND(IF(Dados!$L$66="SIM",K61*Dados!$M$66,K61),2)</f>
        <v>157</v>
      </c>
      <c r="M61" s="389">
        <f>ROUND(IF(Dados!$L$67="SIM",L61*Dados!$M$67,L61),2)</f>
        <v>157</v>
      </c>
      <c r="N61" s="389">
        <f>ROUND(IF(Dados!$L$68="SIM",M61*Dados!$M$68,M61),2)</f>
        <v>157</v>
      </c>
      <c r="O61" s="389">
        <f>ROUND(IF(Dados!$L$68="SIM",N61*Dados!$M$68,N61),2)</f>
        <v>157</v>
      </c>
      <c r="P61" s="390">
        <f>IF(Dados!$D$72="INICIAL",J61,IF(Dados!$D$72="1º IPCA",K61,IF(Dados!$D$72="2º IPCA",L61,IF(Dados!$D$72="3º IPCA",M61,IF(Dados!$D$72="4º IPCA",N61,IF(Dados!$D$72="5º IPCA",O61,))))))</f>
        <v>157</v>
      </c>
    </row>
    <row r="62" spans="1:16" ht="26.85" customHeight="1" x14ac:dyDescent="0.2">
      <c r="A62" s="481"/>
      <c r="B62" s="499" t="s">
        <v>70</v>
      </c>
      <c r="C62" s="464">
        <v>4</v>
      </c>
      <c r="D62" s="465">
        <f>C62*$A$63</f>
        <v>44</v>
      </c>
      <c r="E62" s="466">
        <v>78.7</v>
      </c>
      <c r="F62" s="467">
        <f>ROUND(E62*D62,2)</f>
        <v>3462.8</v>
      </c>
      <c r="J62" s="344">
        <v>78.7</v>
      </c>
      <c r="K62" s="389">
        <f>ROUND(IF(Dados!$L$65="SIM",J62*Dados!$M$65,J62),2)</f>
        <v>78.7</v>
      </c>
      <c r="L62" s="389">
        <f>ROUND(IF(Dados!$L$66="SIM",K62*Dados!$M$66,K62),2)</f>
        <v>78.7</v>
      </c>
      <c r="M62" s="389">
        <f>ROUND(IF(Dados!$L$67="SIM",L62*Dados!$M$67,L62),2)</f>
        <v>78.7</v>
      </c>
      <c r="N62" s="389">
        <f>ROUND(IF(Dados!$L$68="SIM",M62*Dados!$M$68,M62),2)</f>
        <v>78.7</v>
      </c>
      <c r="O62" s="389">
        <f>ROUND(IF(Dados!$L$68="SIM",N62*Dados!$M$68,N62),2)</f>
        <v>78.7</v>
      </c>
      <c r="P62" s="390">
        <f>IF(Dados!$D$72="INICIAL",J62,IF(Dados!$D$72="1º IPCA",K62,IF(Dados!$D$72="2º IPCA",L62,IF(Dados!$D$72="3º IPCA",M62,IF(Dados!$D$72="4º IPCA",N62,IF(Dados!$D$72="5º IPCA",O62,))))))</f>
        <v>78.7</v>
      </c>
    </row>
    <row r="63" spans="1:16" ht="36" customHeight="1" x14ac:dyDescent="0.2">
      <c r="A63" s="481">
        <f>Resumo!D21</f>
        <v>11</v>
      </c>
      <c r="B63" s="500" t="s">
        <v>71</v>
      </c>
      <c r="C63" s="476">
        <v>2</v>
      </c>
      <c r="D63" s="501">
        <f>C63*$A$63</f>
        <v>22</v>
      </c>
      <c r="E63" s="466">
        <v>80</v>
      </c>
      <c r="F63" s="467">
        <f>ROUND(E63*D63,2)</f>
        <v>1760</v>
      </c>
      <c r="J63" s="344">
        <v>80</v>
      </c>
      <c r="K63" s="389">
        <f>ROUND(IF(Dados!$L$65="SIM",J63*Dados!$M$65,J63),2)</f>
        <v>80</v>
      </c>
      <c r="L63" s="389">
        <f>ROUND(IF(Dados!$L$66="SIM",K63*Dados!$M$66,K63),2)</f>
        <v>80</v>
      </c>
      <c r="M63" s="389">
        <f>ROUND(IF(Dados!$L$67="SIM",L63*Dados!$M$67,L63),2)</f>
        <v>80</v>
      </c>
      <c r="N63" s="389">
        <f>ROUND(IF(Dados!$L$68="SIM",M63*Dados!$M$68,M63),2)</f>
        <v>80</v>
      </c>
      <c r="O63" s="389">
        <f>ROUND(IF(Dados!$L$68="SIM",N63*Dados!$M$68,N63),2)</f>
        <v>80</v>
      </c>
      <c r="P63" s="390">
        <f>IF(Dados!$D$72="INICIAL",J63,IF(Dados!$D$72="1º IPCA",K63,IF(Dados!$D$72="2º IPCA",L63,IF(Dados!$D$72="3º IPCA",M63,IF(Dados!$D$72="4º IPCA",N63,IF(Dados!$D$72="5º IPCA",O63,))))))</f>
        <v>80</v>
      </c>
    </row>
    <row r="64" spans="1:16" ht="32.25" customHeight="1" thickBot="1" x14ac:dyDescent="0.25">
      <c r="A64" s="502"/>
      <c r="B64" s="804" t="s">
        <v>74</v>
      </c>
      <c r="C64" s="804"/>
      <c r="D64" s="804"/>
      <c r="E64" s="503"/>
      <c r="F64" s="494">
        <f>SUM(F60:F63)</f>
        <v>9589.7999999999993</v>
      </c>
    </row>
    <row r="65" spans="1:6" ht="35.25" customHeight="1" thickBot="1" x14ac:dyDescent="0.25">
      <c r="A65" s="801" t="s">
        <v>83</v>
      </c>
      <c r="B65" s="801"/>
      <c r="C65" s="801"/>
      <c r="D65" s="801"/>
      <c r="E65" s="801"/>
      <c r="F65" s="473">
        <f>ROUND((F64/$A$63/12),2)</f>
        <v>72.650000000000006</v>
      </c>
    </row>
    <row r="66" spans="1:6" ht="31.5" customHeight="1" x14ac:dyDescent="0.25">
      <c r="A66" s="31"/>
      <c r="B66" s="32"/>
      <c r="C66" s="32"/>
      <c r="D66" s="32"/>
      <c r="E66" s="33"/>
      <c r="F66" s="33"/>
    </row>
  </sheetData>
  <sheetProtection algorithmName="SHA-512" hashValue="VEA4kWo++sjcvpvFX/IaD10ig6mtE7GNjTeEXF763242ceFYnU25MqKo75znc/HBAbNwPjUIX0FC/CFRRxxgwg==" saltValue="TE5t4I6W+rxpDzeiAQ18JQ==" spinCount="100000" sheet="1" objects="1" scenarios="1"/>
  <mergeCells count="80">
    <mergeCell ref="A30:A31"/>
    <mergeCell ref="B27:D27"/>
    <mergeCell ref="A28:E28"/>
    <mergeCell ref="A29:F29"/>
    <mergeCell ref="A16:A17"/>
    <mergeCell ref="A23:A24"/>
    <mergeCell ref="A4:F4"/>
    <mergeCell ref="A5:F5"/>
    <mergeCell ref="A7:A8"/>
    <mergeCell ref="B13:D13"/>
    <mergeCell ref="A14:E14"/>
    <mergeCell ref="A15:F15"/>
    <mergeCell ref="B20:D20"/>
    <mergeCell ref="A21:E21"/>
    <mergeCell ref="A22:F22"/>
    <mergeCell ref="A65:E65"/>
    <mergeCell ref="B34:D34"/>
    <mergeCell ref="A35:E35"/>
    <mergeCell ref="B57:D57"/>
    <mergeCell ref="A58:E58"/>
    <mergeCell ref="B64:D64"/>
    <mergeCell ref="B42:D42"/>
    <mergeCell ref="A43:E43"/>
    <mergeCell ref="A44:F44"/>
    <mergeCell ref="A45:A46"/>
    <mergeCell ref="B49:D49"/>
    <mergeCell ref="A50:E50"/>
    <mergeCell ref="A51:F51"/>
    <mergeCell ref="A52:A53"/>
    <mergeCell ref="A60:A61"/>
    <mergeCell ref="A37:A39"/>
    <mergeCell ref="O14:O15"/>
    <mergeCell ref="J14:J15"/>
    <mergeCell ref="K14:K15"/>
    <mergeCell ref="L14:L15"/>
    <mergeCell ref="M14:M15"/>
    <mergeCell ref="N14:N15"/>
    <mergeCell ref="O21:O22"/>
    <mergeCell ref="J28:J29"/>
    <mergeCell ref="K28:K29"/>
    <mergeCell ref="L28:L29"/>
    <mergeCell ref="M28:M29"/>
    <mergeCell ref="N28:N29"/>
    <mergeCell ref="J1:O4"/>
    <mergeCell ref="J5:J6"/>
    <mergeCell ref="K5:K6"/>
    <mergeCell ref="L5:L6"/>
    <mergeCell ref="M5:M6"/>
    <mergeCell ref="N5:N6"/>
    <mergeCell ref="O5:O6"/>
    <mergeCell ref="O28:O29"/>
    <mergeCell ref="J21:J22"/>
    <mergeCell ref="K21:K22"/>
    <mergeCell ref="L21:L22"/>
    <mergeCell ref="M21:M22"/>
    <mergeCell ref="N21:N22"/>
    <mergeCell ref="O35:O36"/>
    <mergeCell ref="J43:J44"/>
    <mergeCell ref="K43:K44"/>
    <mergeCell ref="L43:L44"/>
    <mergeCell ref="M43:M44"/>
    <mergeCell ref="N43:N44"/>
    <mergeCell ref="O43:O44"/>
    <mergeCell ref="J35:J36"/>
    <mergeCell ref="K35:K36"/>
    <mergeCell ref="L35:L36"/>
    <mergeCell ref="M35:M36"/>
    <mergeCell ref="N35:N36"/>
    <mergeCell ref="O50:O51"/>
    <mergeCell ref="J58:J59"/>
    <mergeCell ref="K58:K59"/>
    <mergeCell ref="L58:L59"/>
    <mergeCell ref="M58:M59"/>
    <mergeCell ref="N58:N59"/>
    <mergeCell ref="O58:O59"/>
    <mergeCell ref="J50:J51"/>
    <mergeCell ref="K50:K51"/>
    <mergeCell ref="L50:L51"/>
    <mergeCell ref="M50:M51"/>
    <mergeCell ref="N50:N51"/>
  </mergeCells>
  <pageMargins left="0.39374999999999999" right="0" top="0.39374999999999999" bottom="0.39374999999999999" header="0.51180555555555496" footer="0.51180555555555496"/>
  <pageSetup paperSize="9" scale="7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8"/>
  <sheetViews>
    <sheetView showGridLines="0" topLeftCell="A13" zoomScale="80" zoomScaleNormal="80" workbookViewId="0">
      <selection activeCell="G40" sqref="G40"/>
    </sheetView>
  </sheetViews>
  <sheetFormatPr defaultColWidth="9" defaultRowHeight="12.75" x14ac:dyDescent="0.2"/>
  <cols>
    <col min="1" max="1" width="11.33203125" customWidth="1"/>
    <col min="2" max="2" width="28.83203125" customWidth="1"/>
    <col min="3" max="3" width="10.5" customWidth="1"/>
    <col min="4" max="5" width="17.5" customWidth="1"/>
    <col min="6" max="8" width="17.83203125" style="16" customWidth="1"/>
    <col min="9" max="9" width="17.83203125" customWidth="1"/>
  </cols>
  <sheetData>
    <row r="1" spans="1:12" x14ac:dyDescent="0.2">
      <c r="A1" s="63"/>
      <c r="B1" s="345" t="s">
        <v>0</v>
      </c>
      <c r="C1" s="64"/>
      <c r="D1" s="64"/>
      <c r="E1" s="64"/>
      <c r="F1" s="65"/>
      <c r="G1" s="65"/>
      <c r="H1" s="65"/>
      <c r="I1" s="66"/>
      <c r="J1" s="35"/>
      <c r="K1" s="35"/>
      <c r="L1" s="35"/>
    </row>
    <row r="2" spans="1:12" x14ac:dyDescent="0.2">
      <c r="A2" s="67"/>
      <c r="B2" s="346" t="s">
        <v>210</v>
      </c>
      <c r="C2" s="60"/>
      <c r="D2" s="60"/>
      <c r="E2" s="60"/>
      <c r="F2" s="108"/>
      <c r="G2" s="108"/>
      <c r="H2" s="108"/>
      <c r="I2" s="68"/>
      <c r="J2" s="35"/>
      <c r="K2" s="35"/>
      <c r="L2" s="35"/>
    </row>
    <row r="3" spans="1:12" ht="13.5" thickBot="1" x14ac:dyDescent="0.25">
      <c r="A3" s="69"/>
      <c r="B3" s="346" t="s">
        <v>1</v>
      </c>
      <c r="C3" s="60"/>
      <c r="D3" s="60"/>
      <c r="E3" s="60"/>
      <c r="F3" s="108"/>
      <c r="G3" s="108"/>
      <c r="H3" s="108"/>
      <c r="I3" s="68"/>
      <c r="J3" s="35"/>
      <c r="K3" s="35"/>
      <c r="L3" s="35"/>
    </row>
    <row r="4" spans="1:12" ht="32.25" customHeight="1" x14ac:dyDescent="0.2">
      <c r="A4" s="843" t="s">
        <v>143</v>
      </c>
      <c r="B4" s="843"/>
      <c r="C4" s="843"/>
      <c r="D4" s="843"/>
      <c r="E4" s="843"/>
      <c r="F4" s="843"/>
      <c r="G4" s="843"/>
      <c r="H4" s="843"/>
      <c r="I4" s="843"/>
      <c r="J4" s="35"/>
      <c r="K4" s="35"/>
      <c r="L4" s="35"/>
    </row>
    <row r="5" spans="1:12"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row>
    <row r="6" spans="1:12" ht="22.5" customHeight="1" thickBot="1" x14ac:dyDescent="0.25">
      <c r="A6" s="844" t="s">
        <v>2</v>
      </c>
      <c r="B6" s="844"/>
      <c r="C6" s="844"/>
      <c r="D6" s="844"/>
      <c r="E6" s="844"/>
      <c r="F6" s="844"/>
      <c r="G6" s="844"/>
      <c r="H6" s="844"/>
      <c r="I6" s="844"/>
      <c r="J6" s="35"/>
      <c r="K6" s="35"/>
      <c r="L6" s="35"/>
    </row>
    <row r="7" spans="1:12" ht="30" customHeight="1" thickBot="1" x14ac:dyDescent="0.25">
      <c r="A7" s="852" t="str">
        <f>Dados!B8&amp;" - "&amp;D10</f>
        <v>Ascensorista - 150</v>
      </c>
      <c r="B7" s="853"/>
      <c r="C7" s="853"/>
      <c r="D7" s="853"/>
      <c r="E7" s="854"/>
      <c r="F7" s="845" t="s">
        <v>144</v>
      </c>
      <c r="G7" s="855" t="s">
        <v>471</v>
      </c>
      <c r="H7" s="846" t="s">
        <v>145</v>
      </c>
      <c r="I7" s="847" t="s">
        <v>146</v>
      </c>
      <c r="J7" s="35"/>
      <c r="K7" s="35"/>
      <c r="L7" s="35"/>
    </row>
    <row r="8" spans="1:12" ht="18" customHeight="1" thickBot="1" x14ac:dyDescent="0.25">
      <c r="A8" s="848" t="s">
        <v>147</v>
      </c>
      <c r="B8" s="848"/>
      <c r="C8" s="848"/>
      <c r="D8" s="848"/>
      <c r="E8" s="228" t="s">
        <v>88</v>
      </c>
      <c r="F8" s="845"/>
      <c r="G8" s="856"/>
      <c r="H8" s="846"/>
      <c r="I8" s="847"/>
      <c r="J8" s="35"/>
      <c r="K8" s="35"/>
      <c r="L8" s="35"/>
    </row>
    <row r="9" spans="1:12" ht="24.75" customHeight="1" x14ac:dyDescent="0.2">
      <c r="A9" s="229" t="s">
        <v>148</v>
      </c>
      <c r="B9" s="835" t="s">
        <v>149</v>
      </c>
      <c r="C9" s="835"/>
      <c r="D9" s="230" t="s">
        <v>150</v>
      </c>
      <c r="E9" s="70" t="s">
        <v>151</v>
      </c>
      <c r="F9" s="836" t="s">
        <v>152</v>
      </c>
      <c r="G9" s="836"/>
      <c r="H9" s="836"/>
      <c r="I9" s="836"/>
      <c r="J9" s="35"/>
      <c r="K9" s="35"/>
      <c r="L9" s="35"/>
    </row>
    <row r="10" spans="1:12" ht="27" customHeight="1" x14ac:dyDescent="0.2">
      <c r="A10" s="837">
        <v>1</v>
      </c>
      <c r="B10" s="838" t="str">
        <f>A7</f>
        <v>Ascensorista - 150</v>
      </c>
      <c r="C10" s="838"/>
      <c r="D10" s="290">
        <f>Dados!C8</f>
        <v>150</v>
      </c>
      <c r="E10" s="125">
        <f>Dados!$E8</f>
        <v>2080</v>
      </c>
      <c r="F10" s="113">
        <f>ROUND(E10/220*D10,2)</f>
        <v>1418.18</v>
      </c>
      <c r="G10" s="613"/>
      <c r="H10" s="114"/>
      <c r="I10" s="115"/>
      <c r="J10" s="35"/>
      <c r="K10" s="35"/>
      <c r="L10" s="35"/>
    </row>
    <row r="11" spans="1:12" ht="24" customHeight="1" x14ac:dyDescent="0.2">
      <c r="A11" s="837"/>
      <c r="B11" s="841"/>
      <c r="C11" s="842"/>
      <c r="D11" s="291"/>
      <c r="E11" s="234"/>
      <c r="F11" s="113">
        <f>ROUND(((E11/220*D10)*C11)*D11,2)</f>
        <v>0</v>
      </c>
      <c r="G11" s="613"/>
      <c r="H11" s="114"/>
      <c r="I11" s="115"/>
      <c r="J11" s="35"/>
      <c r="K11" s="35"/>
      <c r="L11" s="35"/>
    </row>
    <row r="12" spans="1:12" ht="19.5" customHeight="1" x14ac:dyDescent="0.2">
      <c r="A12" s="837"/>
      <c r="B12" s="839" t="s">
        <v>153</v>
      </c>
      <c r="C12" s="839"/>
      <c r="D12" s="839"/>
      <c r="E12" s="839"/>
      <c r="F12" s="292">
        <f>F10+F11</f>
        <v>1418.18</v>
      </c>
      <c r="G12" s="614"/>
      <c r="H12" s="237"/>
      <c r="I12" s="286"/>
      <c r="J12" s="35"/>
      <c r="K12" s="35"/>
      <c r="L12" s="35"/>
    </row>
    <row r="13" spans="1:12" ht="19.5" customHeight="1" x14ac:dyDescent="0.2">
      <c r="A13" s="837"/>
      <c r="B13" s="840" t="s">
        <v>154</v>
      </c>
      <c r="C13" s="840"/>
      <c r="D13" s="840"/>
      <c r="E13" s="239">
        <f>Dados!G28</f>
        <v>0.79049999999999998</v>
      </c>
      <c r="F13" s="113">
        <f>(ROUND((E13*F12),2))</f>
        <v>1121.07</v>
      </c>
      <c r="G13" s="613"/>
      <c r="H13" s="114"/>
      <c r="I13" s="115"/>
      <c r="J13" s="35"/>
      <c r="K13" s="35"/>
      <c r="L13" s="35"/>
    </row>
    <row r="14" spans="1:12" ht="24.75" customHeight="1" x14ac:dyDescent="0.2">
      <c r="A14" s="821" t="s">
        <v>155</v>
      </c>
      <c r="B14" s="821"/>
      <c r="C14" s="821"/>
      <c r="D14" s="821"/>
      <c r="E14" s="821"/>
      <c r="F14" s="236">
        <f>ROUND(SUM(F12:F13),2)</f>
        <v>2539.25</v>
      </c>
      <c r="G14" s="615"/>
      <c r="H14" s="240"/>
      <c r="I14" s="238"/>
      <c r="J14" s="35"/>
      <c r="K14" s="35"/>
      <c r="L14" s="35"/>
    </row>
    <row r="15" spans="1:12" ht="19.5" customHeight="1" x14ac:dyDescent="0.2">
      <c r="A15" s="822" t="s">
        <v>156</v>
      </c>
      <c r="B15" s="822"/>
      <c r="C15" s="822"/>
      <c r="D15" s="822"/>
      <c r="E15" s="822"/>
      <c r="F15" s="822"/>
      <c r="G15" s="822"/>
      <c r="H15" s="822"/>
      <c r="I15" s="822"/>
      <c r="J15" s="35"/>
      <c r="K15" s="35"/>
      <c r="L15" s="35"/>
    </row>
    <row r="16" spans="1:12" ht="19.5" customHeight="1" x14ac:dyDescent="0.2">
      <c r="A16" s="832" t="s">
        <v>157</v>
      </c>
      <c r="B16" s="832"/>
      <c r="C16" s="241" t="s">
        <v>158</v>
      </c>
      <c r="D16" s="833" t="s">
        <v>159</v>
      </c>
      <c r="E16" s="833"/>
      <c r="F16" s="833"/>
      <c r="G16" s="834"/>
      <c r="H16" s="833"/>
      <c r="I16" s="833"/>
      <c r="J16" s="35"/>
      <c r="K16" s="35"/>
      <c r="L16" s="35"/>
    </row>
    <row r="17" spans="1:12" ht="19.5" customHeight="1" x14ac:dyDescent="0.2">
      <c r="A17" s="829" t="s">
        <v>93</v>
      </c>
      <c r="B17" s="829"/>
      <c r="C17" s="242"/>
      <c r="D17" s="124"/>
      <c r="E17" s="125"/>
      <c r="F17" s="113">
        <f>Dados!I8</f>
        <v>76.239999999999995</v>
      </c>
      <c r="G17" s="613"/>
      <c r="H17" s="114"/>
      <c r="I17" s="115"/>
      <c r="J17" s="35"/>
      <c r="K17" s="35"/>
      <c r="L17" s="35"/>
    </row>
    <row r="18" spans="1:12" ht="19.5" customHeight="1" x14ac:dyDescent="0.2">
      <c r="A18" s="829" t="s">
        <v>160</v>
      </c>
      <c r="B18" s="829"/>
      <c r="C18" s="242"/>
      <c r="D18" s="124"/>
      <c r="E18" s="243"/>
      <c r="F18" s="113">
        <f>Dados!G35</f>
        <v>2.2000000000000002</v>
      </c>
      <c r="G18" s="613"/>
      <c r="H18" s="114"/>
      <c r="I18" s="115"/>
      <c r="J18" s="35"/>
      <c r="K18" s="35"/>
      <c r="L18" s="35"/>
    </row>
    <row r="19" spans="1:12" ht="25.5" customHeight="1" x14ac:dyDescent="0.2">
      <c r="A19" s="830" t="s">
        <v>103</v>
      </c>
      <c r="B19" s="830"/>
      <c r="C19" s="242"/>
      <c r="D19" s="124"/>
      <c r="E19" s="244"/>
      <c r="F19" s="113">
        <f>Dados!G36</f>
        <v>66.099999999999994</v>
      </c>
      <c r="G19" s="613"/>
      <c r="H19" s="114"/>
      <c r="I19" s="115"/>
      <c r="J19" s="35"/>
      <c r="K19" s="35"/>
      <c r="L19" s="35"/>
    </row>
    <row r="20" spans="1:12" ht="25.5" customHeight="1" x14ac:dyDescent="0.2">
      <c r="A20" s="831" t="s">
        <v>161</v>
      </c>
      <c r="B20" s="831"/>
      <c r="C20" s="114">
        <f>Dados!$G$38</f>
        <v>22</v>
      </c>
      <c r="D20" s="242">
        <f>Dados!$G$37</f>
        <v>24.54</v>
      </c>
      <c r="E20" s="245">
        <f>Dados!$G$39</f>
        <v>0.2</v>
      </c>
      <c r="F20" s="113">
        <f>ROUND((IF(D10&gt;150,((C20*D20)-(E20*(C20*D20))),0)),2)</f>
        <v>0</v>
      </c>
      <c r="G20" s="613">
        <f>F20</f>
        <v>0</v>
      </c>
      <c r="H20" s="114"/>
      <c r="I20" s="115"/>
      <c r="J20" s="35"/>
      <c r="K20" s="35"/>
      <c r="L20" s="35"/>
    </row>
    <row r="21" spans="1:12" ht="19.5" customHeight="1" x14ac:dyDescent="0.2">
      <c r="A21" s="829" t="s">
        <v>162</v>
      </c>
      <c r="B21" s="829"/>
      <c r="C21" s="114">
        <f>Dados!$G$44</f>
        <v>22</v>
      </c>
      <c r="D21" s="114">
        <f>Dados!$G$43</f>
        <v>7.1</v>
      </c>
      <c r="E21" s="125">
        <f>Dados!$G$41</f>
        <v>4.5</v>
      </c>
      <c r="F21" s="113">
        <f>ROUND((($C$21*$D$21*Dados!$G$42)+($C$21*$E$21*Dados!$G$40) -(F10*Dados!$G$45)),2)</f>
        <v>425.31</v>
      </c>
      <c r="G21" s="613"/>
      <c r="H21" s="114"/>
      <c r="I21" s="115">
        <f>F21</f>
        <v>425.31</v>
      </c>
      <c r="J21" s="35"/>
      <c r="K21" s="35"/>
      <c r="L21" s="35"/>
    </row>
    <row r="22" spans="1:12"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row>
    <row r="23" spans="1:12"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row>
    <row r="24" spans="1:12" ht="24.75" customHeight="1" x14ac:dyDescent="0.2">
      <c r="A24" s="821" t="s">
        <v>163</v>
      </c>
      <c r="B24" s="821"/>
      <c r="C24" s="821"/>
      <c r="D24" s="821"/>
      <c r="E24" s="821"/>
      <c r="F24" s="236">
        <f>SUM(F17:F23)</f>
        <v>569.85</v>
      </c>
      <c r="G24" s="236">
        <f>SUM(G17:G23)</f>
        <v>0</v>
      </c>
      <c r="H24" s="240">
        <f>SUM($H$17:$H$23)</f>
        <v>0</v>
      </c>
      <c r="I24" s="238">
        <f>SUM($I$17:$I$23)</f>
        <v>425.31</v>
      </c>
      <c r="J24" s="35"/>
      <c r="K24" s="35"/>
      <c r="L24" s="35"/>
    </row>
    <row r="25" spans="1:12" ht="24.75" customHeight="1" x14ac:dyDescent="0.2">
      <c r="A25" s="821" t="s">
        <v>164</v>
      </c>
      <c r="B25" s="821"/>
      <c r="C25" s="821"/>
      <c r="D25" s="821"/>
      <c r="E25" s="821"/>
      <c r="F25" s="236">
        <f>F14+F24</f>
        <v>3109.1</v>
      </c>
      <c r="G25" s="236">
        <f>$G$14+$G$24</f>
        <v>0</v>
      </c>
      <c r="H25" s="240">
        <f>$H$14+$H$24</f>
        <v>0</v>
      </c>
      <c r="I25" s="238">
        <f>$I$14+$I$24</f>
        <v>425.31</v>
      </c>
      <c r="J25" s="35"/>
      <c r="K25" s="35"/>
      <c r="L25" s="35"/>
    </row>
    <row r="26" spans="1:12" ht="19.5" customHeight="1" x14ac:dyDescent="0.2">
      <c r="A26" s="822" t="s">
        <v>165</v>
      </c>
      <c r="B26" s="822"/>
      <c r="C26" s="822"/>
      <c r="D26" s="822"/>
      <c r="E26" s="822"/>
      <c r="F26" s="822"/>
      <c r="G26" s="822"/>
      <c r="H26" s="822">
        <f>SUM($H$17:$H$25)</f>
        <v>0</v>
      </c>
      <c r="I26" s="822">
        <f>SUM($I$17:$I$25)</f>
        <v>1275.93</v>
      </c>
      <c r="J26" s="35"/>
      <c r="K26" s="35"/>
      <c r="L26" s="35"/>
    </row>
    <row r="27" spans="1:12" ht="19.5" customHeight="1" x14ac:dyDescent="0.2">
      <c r="A27" s="825" t="s">
        <v>166</v>
      </c>
      <c r="B27" s="825"/>
      <c r="C27" s="825"/>
      <c r="D27" s="826" t="s">
        <v>167</v>
      </c>
      <c r="E27" s="826"/>
      <c r="F27" s="827" t="s">
        <v>152</v>
      </c>
      <c r="G27" s="828"/>
      <c r="H27" s="827"/>
      <c r="I27" s="827"/>
      <c r="J27" s="35"/>
      <c r="K27" s="35"/>
      <c r="L27" s="35"/>
    </row>
    <row r="28" spans="1:12" ht="19.5" customHeight="1" x14ac:dyDescent="0.2">
      <c r="A28" s="121" t="s">
        <v>168</v>
      </c>
      <c r="B28" s="122"/>
      <c r="C28" s="122"/>
      <c r="D28" s="124">
        <f>Dados!$G$50</f>
        <v>0.03</v>
      </c>
      <c r="E28" s="112"/>
      <c r="F28" s="113">
        <f>ROUND((F25*D28),2)</f>
        <v>93.27</v>
      </c>
      <c r="G28" s="613">
        <f>ROUND(($G$25*$D$28),2)</f>
        <v>0</v>
      </c>
      <c r="H28" s="114">
        <f>ROUND((H25*D28),2)</f>
        <v>0</v>
      </c>
      <c r="I28" s="115">
        <f>ROUND((I25*D28),2)</f>
        <v>12.76</v>
      </c>
      <c r="J28" s="35"/>
      <c r="K28" s="35"/>
      <c r="L28" s="35"/>
    </row>
    <row r="29" spans="1:12" ht="19.5" customHeight="1" x14ac:dyDescent="0.2">
      <c r="A29" s="820" t="s">
        <v>169</v>
      </c>
      <c r="B29" s="820"/>
      <c r="C29" s="820"/>
      <c r="D29" s="124"/>
      <c r="E29" s="112"/>
      <c r="F29" s="113">
        <f>F25+F28</f>
        <v>3202.37</v>
      </c>
      <c r="G29" s="613">
        <f>$G$28+$G$25</f>
        <v>0</v>
      </c>
      <c r="H29" s="114">
        <f>H25+H28</f>
        <v>0</v>
      </c>
      <c r="I29" s="115">
        <f>I25+I28</f>
        <v>438.07</v>
      </c>
      <c r="J29" s="35"/>
      <c r="K29" s="35"/>
      <c r="L29" s="35"/>
    </row>
    <row r="30" spans="1:12" ht="19.5" customHeight="1" x14ac:dyDescent="0.2">
      <c r="A30" s="121" t="s">
        <v>108</v>
      </c>
      <c r="B30" s="122"/>
      <c r="C30" s="122"/>
      <c r="D30" s="124">
        <f>Dados!$G$51</f>
        <v>6.7900000000000002E-2</v>
      </c>
      <c r="E30" s="112">
        <f>F25+F28</f>
        <v>3202.37</v>
      </c>
      <c r="F30" s="113">
        <f>ROUND((E30*D30),2)</f>
        <v>217.44</v>
      </c>
      <c r="G30" s="613">
        <f>ROUND(($G$29*$D$30),2)</f>
        <v>0</v>
      </c>
      <c r="H30" s="114">
        <f>ROUND((H29*D30),2)</f>
        <v>0</v>
      </c>
      <c r="I30" s="115">
        <f>ROUND((I29*D30),2)</f>
        <v>29.74</v>
      </c>
      <c r="J30" s="35"/>
      <c r="K30" s="35"/>
      <c r="L30" s="35"/>
    </row>
    <row r="31" spans="1:12" ht="24.75" customHeight="1" x14ac:dyDescent="0.2">
      <c r="A31" s="246" t="s">
        <v>170</v>
      </c>
      <c r="B31" s="247"/>
      <c r="C31" s="247"/>
      <c r="D31" s="248">
        <f>SUM(D28:D30)</f>
        <v>9.7900000000000001E-2</v>
      </c>
      <c r="E31" s="249"/>
      <c r="F31" s="236">
        <f>F28+F30</f>
        <v>310.70999999999998</v>
      </c>
      <c r="G31" s="615">
        <f>$G$28+$G$30</f>
        <v>0</v>
      </c>
      <c r="H31" s="240">
        <f>H28+H30</f>
        <v>0</v>
      </c>
      <c r="I31" s="238">
        <f>I28+I30</f>
        <v>42.5</v>
      </c>
      <c r="J31" s="35"/>
      <c r="K31" s="35"/>
      <c r="L31" s="35"/>
    </row>
    <row r="32" spans="1:12" ht="24.75" customHeight="1" x14ac:dyDescent="0.2">
      <c r="A32" s="821" t="s">
        <v>171</v>
      </c>
      <c r="B32" s="821"/>
      <c r="C32" s="821"/>
      <c r="D32" s="821"/>
      <c r="E32" s="821"/>
      <c r="F32" s="236">
        <f>F14+F24+F31</f>
        <v>3419.81</v>
      </c>
      <c r="G32" s="615">
        <f>$G$14+$G$24+$G$31</f>
        <v>0</v>
      </c>
      <c r="H32" s="240">
        <f>H14+H24+H31</f>
        <v>0</v>
      </c>
      <c r="I32" s="238">
        <f>I14+I24+I31</f>
        <v>467.81</v>
      </c>
      <c r="J32" s="35"/>
      <c r="K32" s="35"/>
      <c r="L32" s="35"/>
    </row>
    <row r="33" spans="1:12" ht="19.5" customHeight="1" x14ac:dyDescent="0.2">
      <c r="A33" s="822" t="s">
        <v>172</v>
      </c>
      <c r="B33" s="822"/>
      <c r="C33" s="822"/>
      <c r="D33" s="822"/>
      <c r="E33" s="822"/>
      <c r="F33" s="822"/>
      <c r="G33" s="822"/>
      <c r="H33" s="822"/>
      <c r="I33" s="822"/>
      <c r="J33" s="35"/>
      <c r="K33" s="35"/>
      <c r="L33" s="35"/>
    </row>
    <row r="34" spans="1:12" ht="19.5" customHeight="1" x14ac:dyDescent="0.2">
      <c r="A34" s="121" t="s">
        <v>109</v>
      </c>
      <c r="B34" s="122"/>
      <c r="C34" s="123"/>
      <c r="D34" s="124">
        <f>Dados!$G$58</f>
        <v>7.5999999999999998E-2</v>
      </c>
      <c r="E34" s="125"/>
      <c r="F34" s="113">
        <f>ROUND((F39*D34),2)</f>
        <v>303.10000000000002</v>
      </c>
      <c r="G34" s="613">
        <f>ROUND(($G$39*$D$34),2)</f>
        <v>0</v>
      </c>
      <c r="H34" s="114">
        <f>ROUND((H39*D34),2)</f>
        <v>0</v>
      </c>
      <c r="I34" s="115">
        <f>ROUND((I39*D34),2)</f>
        <v>41.46</v>
      </c>
      <c r="J34" s="35"/>
      <c r="K34" s="35"/>
      <c r="L34" s="35"/>
    </row>
    <row r="35" spans="1:12" ht="19.5" customHeight="1" x14ac:dyDescent="0.2">
      <c r="A35" s="121" t="s">
        <v>110</v>
      </c>
      <c r="B35" s="122"/>
      <c r="C35" s="123"/>
      <c r="D35" s="124">
        <f>Dados!$G$59</f>
        <v>1.6500000000000001E-2</v>
      </c>
      <c r="E35" s="125"/>
      <c r="F35" s="113">
        <f>ROUND((F39*D35),2)</f>
        <v>65.8</v>
      </c>
      <c r="G35" s="613">
        <f>ROUND(($G$39*$D$35),2)</f>
        <v>0</v>
      </c>
      <c r="H35" s="114">
        <f>ROUND((H39*D35),2)</f>
        <v>0</v>
      </c>
      <c r="I35" s="115">
        <f>ROUND((I39*D35),2)</f>
        <v>9</v>
      </c>
      <c r="J35" s="35"/>
      <c r="K35" s="35"/>
      <c r="L35" s="35"/>
    </row>
    <row r="36" spans="1:12" ht="19.5" customHeight="1" x14ac:dyDescent="0.2">
      <c r="A36" s="121" t="s">
        <v>111</v>
      </c>
      <c r="B36" s="122"/>
      <c r="C36" s="123"/>
      <c r="D36" s="124">
        <f>Dados!$G$60</f>
        <v>0.05</v>
      </c>
      <c r="E36" s="125"/>
      <c r="F36" s="113">
        <f>ROUND((F39*D36),2)</f>
        <v>199.41</v>
      </c>
      <c r="G36" s="613">
        <f>ROUND(($G$39*$D$36),2)</f>
        <v>0</v>
      </c>
      <c r="H36" s="114">
        <f>ROUND((H39*D36),2)</f>
        <v>0</v>
      </c>
      <c r="I36" s="115">
        <f>ROUND((I39*D36),2)</f>
        <v>27.28</v>
      </c>
      <c r="J36" s="35"/>
      <c r="K36" s="35"/>
      <c r="L36" s="35"/>
    </row>
    <row r="37" spans="1:12" ht="19.5" customHeight="1" x14ac:dyDescent="0.2">
      <c r="A37" s="121" t="str">
        <f>Dados!B61</f>
        <v>Outros (inserir somente com a justificativa legal)</v>
      </c>
      <c r="B37" s="122"/>
      <c r="C37" s="123"/>
      <c r="D37" s="124">
        <f>Dados!G61</f>
        <v>0</v>
      </c>
      <c r="E37" s="125"/>
      <c r="F37" s="113">
        <f>ROUND((F39*D37),2)</f>
        <v>0</v>
      </c>
      <c r="G37" s="113">
        <f>ROUND((G39*E37),2)</f>
        <v>0</v>
      </c>
      <c r="H37" s="114"/>
      <c r="I37" s="115"/>
      <c r="J37" s="35"/>
      <c r="K37" s="35"/>
      <c r="L37" s="35"/>
    </row>
    <row r="38" spans="1:12" ht="30" customHeight="1" thickBot="1" x14ac:dyDescent="0.25">
      <c r="A38" s="246" t="s">
        <v>173</v>
      </c>
      <c r="B38" s="247"/>
      <c r="C38" s="250"/>
      <c r="D38" s="248">
        <f>SUM(D34:D37)</f>
        <v>0.14250000000000002</v>
      </c>
      <c r="E38" s="251"/>
      <c r="F38" s="236">
        <f>SUM(F34:F37)</f>
        <v>568.31000000000006</v>
      </c>
      <c r="G38" s="236">
        <f>SUM(G34:G37)</f>
        <v>0</v>
      </c>
      <c r="H38" s="236">
        <f t="shared" ref="H38:I38" si="0">SUM(H34:H37)</f>
        <v>0</v>
      </c>
      <c r="I38" s="252">
        <f t="shared" si="0"/>
        <v>77.740000000000009</v>
      </c>
      <c r="J38" s="35"/>
      <c r="K38" s="35"/>
      <c r="L38" s="35"/>
    </row>
    <row r="39" spans="1:12" ht="34.5" hidden="1" customHeight="1" thickBot="1" x14ac:dyDescent="0.25">
      <c r="A39" s="823" t="str">
        <f>A7</f>
        <v>Ascensorista - 150</v>
      </c>
      <c r="B39" s="823"/>
      <c r="C39" s="823"/>
      <c r="D39" s="823"/>
      <c r="E39" s="823"/>
      <c r="F39" s="253">
        <f>ROUND(F32/(1-D38),2)</f>
        <v>3988.12</v>
      </c>
      <c r="G39" s="616">
        <f>ROUND($G$32/(1-$D$38),2)</f>
        <v>0</v>
      </c>
      <c r="H39" s="254">
        <f>ROUND(H32/(1-D38),2)</f>
        <v>0</v>
      </c>
      <c r="I39" s="255">
        <f>ROUND(I32/(1-D38),2)</f>
        <v>545.54999999999995</v>
      </c>
      <c r="J39" s="35"/>
      <c r="K39" s="35"/>
      <c r="L39" s="35"/>
    </row>
    <row r="40" spans="1:12" ht="30" customHeight="1" thickBot="1" x14ac:dyDescent="0.25">
      <c r="A40" s="824" t="str">
        <f>A7</f>
        <v>Ascensorista - 150</v>
      </c>
      <c r="B40" s="824"/>
      <c r="C40" s="824"/>
      <c r="D40" s="824"/>
      <c r="E40" s="824"/>
      <c r="F40" s="71">
        <f>F39</f>
        <v>3988.12</v>
      </c>
      <c r="G40" s="617">
        <f>$G$39</f>
        <v>0</v>
      </c>
      <c r="H40" s="72">
        <f>H39</f>
        <v>0</v>
      </c>
      <c r="I40" s="73">
        <f>I39</f>
        <v>545.54999999999995</v>
      </c>
      <c r="J40" s="35"/>
      <c r="K40" s="35"/>
      <c r="L40" s="35"/>
    </row>
    <row r="41" spans="1:12" ht="29.25" customHeight="1" thickBot="1" x14ac:dyDescent="0.25">
      <c r="A41" s="819" t="s">
        <v>174</v>
      </c>
      <c r="B41" s="819"/>
      <c r="C41" s="819"/>
      <c r="D41" s="819"/>
      <c r="E41" s="819"/>
      <c r="F41" s="74">
        <f>($F$40/$F$12)/100</f>
        <v>2.8121395027429517E-2</v>
      </c>
      <c r="G41" s="618"/>
      <c r="H41" s="75"/>
      <c r="I41" s="76"/>
      <c r="J41" s="35"/>
      <c r="K41" s="35"/>
      <c r="L41" s="35"/>
    </row>
    <row r="42" spans="1:12" ht="24" customHeight="1" x14ac:dyDescent="0.2">
      <c r="A42" s="35"/>
      <c r="B42" s="35"/>
      <c r="C42" s="35"/>
      <c r="D42" s="35"/>
      <c r="E42" s="35"/>
      <c r="F42" s="77"/>
      <c r="G42" s="77"/>
      <c r="H42" s="77"/>
      <c r="I42" s="35"/>
      <c r="J42" s="35"/>
      <c r="K42" s="35"/>
      <c r="L42" s="35"/>
    </row>
    <row r="43" spans="1:12" x14ac:dyDescent="0.2">
      <c r="A43" s="35"/>
      <c r="B43" s="35"/>
      <c r="C43" s="35"/>
      <c r="D43" s="35"/>
      <c r="E43" s="35"/>
      <c r="F43" s="77"/>
      <c r="G43" s="77"/>
      <c r="H43" s="77"/>
      <c r="I43" s="35"/>
      <c r="J43" s="35"/>
      <c r="K43" s="35"/>
      <c r="L43" s="35"/>
    </row>
    <row r="44" spans="1:12" x14ac:dyDescent="0.2">
      <c r="A44" s="35"/>
      <c r="B44" s="35"/>
      <c r="C44" s="35"/>
      <c r="D44" s="35"/>
      <c r="E44" s="35"/>
      <c r="F44" s="77"/>
      <c r="G44" s="77"/>
      <c r="H44" s="77"/>
      <c r="I44" s="35"/>
      <c r="J44" s="35"/>
      <c r="K44" s="35"/>
      <c r="L44" s="35"/>
    </row>
    <row r="45" spans="1:12" x14ac:dyDescent="0.2">
      <c r="A45" s="35"/>
      <c r="B45" s="35"/>
      <c r="C45" s="35"/>
      <c r="D45" s="35"/>
      <c r="E45" s="35"/>
      <c r="F45" s="77"/>
      <c r="G45" s="77"/>
      <c r="H45" s="77"/>
      <c r="I45" s="35"/>
      <c r="J45" s="35"/>
      <c r="K45" s="35"/>
      <c r="L45" s="35"/>
    </row>
    <row r="46" spans="1:12" x14ac:dyDescent="0.2">
      <c r="A46" s="35"/>
      <c r="B46" s="35"/>
      <c r="C46" s="35"/>
      <c r="D46" s="35"/>
      <c r="E46" s="35"/>
      <c r="F46" s="77"/>
      <c r="G46" s="77"/>
      <c r="H46" s="77"/>
      <c r="I46" s="35"/>
      <c r="J46" s="35"/>
      <c r="K46" s="35"/>
      <c r="L46" s="35"/>
    </row>
    <row r="47" spans="1:12" x14ac:dyDescent="0.2">
      <c r="A47" s="35"/>
      <c r="B47" s="35"/>
      <c r="C47" s="35"/>
      <c r="D47" s="35"/>
      <c r="E47" s="35"/>
      <c r="F47" s="77"/>
      <c r="G47" s="77"/>
      <c r="H47" s="77"/>
      <c r="I47" s="35"/>
      <c r="J47" s="35"/>
      <c r="K47" s="35"/>
      <c r="L47" s="35"/>
    </row>
    <row r="48" spans="1:12" x14ac:dyDescent="0.2">
      <c r="A48" s="35"/>
      <c r="B48" s="35"/>
      <c r="C48" s="35"/>
      <c r="D48" s="35"/>
      <c r="E48" s="35"/>
      <c r="F48" s="77"/>
      <c r="G48" s="77"/>
      <c r="H48" s="77"/>
      <c r="I48" s="35"/>
      <c r="J48" s="35"/>
      <c r="K48" s="35"/>
      <c r="L48" s="35"/>
    </row>
  </sheetData>
  <sheetProtection algorithmName="SHA-512" hashValue="p1TW+zzjGGP9BXe+PdCR96e2ZV//bbG0m47hqhtrCVd78xH0KTHY+SvkHOqkR9IotbHRqFht+dYKroFZkgC3TA==" saltValue="3tchsU5b/BvxALU71PIEEg=="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4"/>
  <sheetViews>
    <sheetView showGridLines="0" zoomScale="80" zoomScaleNormal="80" workbookViewId="0">
      <selection activeCell="K11" sqref="K11"/>
    </sheetView>
  </sheetViews>
  <sheetFormatPr defaultColWidth="9" defaultRowHeight="12.75" x14ac:dyDescent="0.2"/>
  <cols>
    <col min="1" max="1" width="11.33203125" customWidth="1"/>
    <col min="2" max="2" width="28.83203125" customWidth="1"/>
    <col min="3" max="3" width="10.33203125" customWidth="1"/>
    <col min="4" max="5" width="17.5" customWidth="1"/>
    <col min="6" max="8" width="17.83203125" style="16" customWidth="1"/>
    <col min="9" max="9" width="17.83203125" customWidth="1"/>
  </cols>
  <sheetData>
    <row r="1" spans="1:11" x14ac:dyDescent="0.2">
      <c r="A1" s="63"/>
      <c r="B1" s="345" t="s">
        <v>0</v>
      </c>
      <c r="C1" s="64"/>
      <c r="D1" s="64"/>
      <c r="E1" s="64"/>
      <c r="F1" s="65"/>
      <c r="G1" s="65"/>
      <c r="H1" s="65"/>
      <c r="I1" s="66"/>
      <c r="J1" s="35"/>
      <c r="K1" s="35"/>
    </row>
    <row r="2" spans="1:11" x14ac:dyDescent="0.2">
      <c r="A2" s="67"/>
      <c r="B2" s="346" t="s">
        <v>210</v>
      </c>
      <c r="C2" s="60"/>
      <c r="D2" s="60"/>
      <c r="E2" s="60"/>
      <c r="F2" s="108"/>
      <c r="G2" s="108"/>
      <c r="H2" s="108"/>
      <c r="I2" s="68"/>
      <c r="J2" s="35"/>
      <c r="K2" s="35"/>
    </row>
    <row r="3" spans="1:11" ht="13.5" thickBot="1" x14ac:dyDescent="0.25">
      <c r="A3" s="69"/>
      <c r="B3" s="346" t="s">
        <v>1</v>
      </c>
      <c r="C3" s="60"/>
      <c r="D3" s="60"/>
      <c r="E3" s="60"/>
      <c r="F3" s="108"/>
      <c r="G3" s="108"/>
      <c r="H3" s="108"/>
      <c r="I3" s="68"/>
      <c r="J3" s="35"/>
      <c r="K3" s="35"/>
    </row>
    <row r="4" spans="1:11" ht="32.25" customHeight="1" x14ac:dyDescent="0.2">
      <c r="A4" s="843" t="s">
        <v>143</v>
      </c>
      <c r="B4" s="843"/>
      <c r="C4" s="843"/>
      <c r="D4" s="843"/>
      <c r="E4" s="843"/>
      <c r="F4" s="843"/>
      <c r="G4" s="843"/>
      <c r="H4" s="843"/>
      <c r="I4" s="843"/>
      <c r="J4" s="35"/>
      <c r="K4" s="35"/>
    </row>
    <row r="5" spans="1:11"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row>
    <row r="6" spans="1:11" ht="22.5" customHeight="1" thickBot="1" x14ac:dyDescent="0.25">
      <c r="A6" s="844" t="s">
        <v>2</v>
      </c>
      <c r="B6" s="844"/>
      <c r="C6" s="844"/>
      <c r="D6" s="844"/>
      <c r="E6" s="844"/>
      <c r="F6" s="844"/>
      <c r="G6" s="844"/>
      <c r="H6" s="844"/>
      <c r="I6" s="844"/>
      <c r="J6" s="35"/>
      <c r="K6" s="35"/>
    </row>
    <row r="7" spans="1:11" ht="30" customHeight="1" thickBot="1" x14ac:dyDescent="0.25">
      <c r="A7" s="852" t="str">
        <f>Dados!B9&amp;" - "&amp;D10</f>
        <v>Atendente - 200</v>
      </c>
      <c r="B7" s="853"/>
      <c r="C7" s="853"/>
      <c r="D7" s="853"/>
      <c r="E7" s="854"/>
      <c r="F7" s="845" t="s">
        <v>144</v>
      </c>
      <c r="G7" s="855" t="s">
        <v>471</v>
      </c>
      <c r="H7" s="846" t="s">
        <v>145</v>
      </c>
      <c r="I7" s="847" t="s">
        <v>146</v>
      </c>
      <c r="J7" s="35"/>
      <c r="K7" s="35"/>
    </row>
    <row r="8" spans="1:11" ht="18" customHeight="1" thickBot="1" x14ac:dyDescent="0.25">
      <c r="A8" s="848" t="s">
        <v>147</v>
      </c>
      <c r="B8" s="848"/>
      <c r="C8" s="848"/>
      <c r="D8" s="848"/>
      <c r="E8" s="228" t="s">
        <v>88</v>
      </c>
      <c r="F8" s="845"/>
      <c r="G8" s="856"/>
      <c r="H8" s="846"/>
      <c r="I8" s="847"/>
      <c r="J8" s="35"/>
      <c r="K8" s="35"/>
    </row>
    <row r="9" spans="1:11" ht="24.75" customHeight="1" x14ac:dyDescent="0.2">
      <c r="A9" s="229" t="s">
        <v>148</v>
      </c>
      <c r="B9" s="835" t="s">
        <v>149</v>
      </c>
      <c r="C9" s="835"/>
      <c r="D9" s="230" t="s">
        <v>150</v>
      </c>
      <c r="E9" s="70" t="s">
        <v>151</v>
      </c>
      <c r="F9" s="836" t="s">
        <v>152</v>
      </c>
      <c r="G9" s="836"/>
      <c r="H9" s="836"/>
      <c r="I9" s="836"/>
      <c r="J9" s="35"/>
      <c r="K9" s="35"/>
    </row>
    <row r="10" spans="1:11" ht="26.25" customHeight="1" x14ac:dyDescent="0.2">
      <c r="A10" s="837">
        <v>1</v>
      </c>
      <c r="B10" s="838" t="str">
        <f>A7</f>
        <v>Atendente - 200</v>
      </c>
      <c r="C10" s="838"/>
      <c r="D10" s="231">
        <f>Dados!C12</f>
        <v>200</v>
      </c>
      <c r="E10" s="125">
        <f>Dados!$E9</f>
        <v>2530</v>
      </c>
      <c r="F10" s="113">
        <f>ROUND(E10/220*D10,2)</f>
        <v>2300</v>
      </c>
      <c r="G10" s="613"/>
      <c r="H10" s="114"/>
      <c r="I10" s="115"/>
      <c r="J10" s="35"/>
      <c r="K10" s="35"/>
    </row>
    <row r="11" spans="1:11" ht="24" customHeight="1" x14ac:dyDescent="0.2">
      <c r="A11" s="837"/>
      <c r="B11" s="841"/>
      <c r="C11" s="842"/>
      <c r="D11" s="233"/>
      <c r="E11" s="234"/>
      <c r="F11" s="113">
        <f>ROUND(((E11/220*D10)*C11)*D11,2)</f>
        <v>0</v>
      </c>
      <c r="G11" s="613"/>
      <c r="H11" s="114"/>
      <c r="I11" s="115"/>
      <c r="J11" s="35"/>
      <c r="K11" s="35"/>
    </row>
    <row r="12" spans="1:11" ht="19.5" customHeight="1" x14ac:dyDescent="0.2">
      <c r="A12" s="837"/>
      <c r="B12" s="860" t="s">
        <v>153</v>
      </c>
      <c r="C12" s="860"/>
      <c r="D12" s="860"/>
      <c r="E12" s="860"/>
      <c r="F12" s="236">
        <f>F10+F11</f>
        <v>2300</v>
      </c>
      <c r="G12" s="614"/>
      <c r="H12" s="237"/>
      <c r="I12" s="286"/>
      <c r="J12" s="35"/>
      <c r="K12" s="35"/>
    </row>
    <row r="13" spans="1:11" ht="19.5" customHeight="1" x14ac:dyDescent="0.2">
      <c r="A13" s="837"/>
      <c r="B13" s="840" t="s">
        <v>154</v>
      </c>
      <c r="C13" s="840"/>
      <c r="D13" s="840"/>
      <c r="E13" s="287">
        <f>Dados!G28</f>
        <v>0.79049999999999998</v>
      </c>
      <c r="F13" s="113">
        <f>(ROUND((E13*F12),2))</f>
        <v>1818.15</v>
      </c>
      <c r="G13" s="613"/>
      <c r="H13" s="114"/>
      <c r="I13" s="115"/>
      <c r="J13" s="35"/>
      <c r="K13" s="35"/>
    </row>
    <row r="14" spans="1:11" ht="24.75" customHeight="1" x14ac:dyDescent="0.2">
      <c r="A14" s="858" t="s">
        <v>155</v>
      </c>
      <c r="B14" s="858"/>
      <c r="C14" s="858"/>
      <c r="D14" s="858"/>
      <c r="E14" s="858"/>
      <c r="F14" s="236">
        <f>ROUND(SUM(F12:F13),2)</f>
        <v>4118.1499999999996</v>
      </c>
      <c r="G14" s="615"/>
      <c r="H14" s="240"/>
      <c r="I14" s="238"/>
      <c r="J14" s="35"/>
      <c r="K14" s="35"/>
    </row>
    <row r="15" spans="1:11" ht="19.5" customHeight="1" x14ac:dyDescent="0.2">
      <c r="A15" s="822" t="s">
        <v>156</v>
      </c>
      <c r="B15" s="822"/>
      <c r="C15" s="822"/>
      <c r="D15" s="822"/>
      <c r="E15" s="822"/>
      <c r="F15" s="822"/>
      <c r="G15" s="822"/>
      <c r="H15" s="822"/>
      <c r="I15" s="822"/>
      <c r="J15" s="35"/>
      <c r="K15" s="35"/>
    </row>
    <row r="16" spans="1:11" ht="19.5" customHeight="1" x14ac:dyDescent="0.2">
      <c r="A16" s="832" t="s">
        <v>157</v>
      </c>
      <c r="B16" s="832"/>
      <c r="C16" s="241" t="s">
        <v>158</v>
      </c>
      <c r="D16" s="833" t="s">
        <v>152</v>
      </c>
      <c r="E16" s="833"/>
      <c r="F16" s="833"/>
      <c r="G16" s="834"/>
      <c r="H16" s="833"/>
      <c r="I16" s="833"/>
      <c r="J16" s="35"/>
      <c r="K16" s="35"/>
    </row>
    <row r="17" spans="1:11" ht="19.5" customHeight="1" x14ac:dyDescent="0.2">
      <c r="A17" s="829" t="s">
        <v>93</v>
      </c>
      <c r="B17" s="829"/>
      <c r="C17" s="242"/>
      <c r="D17" s="124"/>
      <c r="E17" s="125"/>
      <c r="F17" s="113">
        <f>Dados!I9</f>
        <v>72.650000000000006</v>
      </c>
      <c r="G17" s="613"/>
      <c r="H17" s="114"/>
      <c r="I17" s="115"/>
      <c r="J17" s="35"/>
      <c r="K17" s="35"/>
    </row>
    <row r="18" spans="1:11" ht="19.5" customHeight="1" x14ac:dyDescent="0.2">
      <c r="A18" s="829" t="s">
        <v>160</v>
      </c>
      <c r="B18" s="829"/>
      <c r="C18" s="242"/>
      <c r="D18" s="124"/>
      <c r="E18" s="243"/>
      <c r="F18" s="113">
        <f>Dados!G35</f>
        <v>2.2000000000000002</v>
      </c>
      <c r="G18" s="613"/>
      <c r="H18" s="114"/>
      <c r="I18" s="115"/>
      <c r="J18" s="35"/>
      <c r="K18" s="35"/>
    </row>
    <row r="19" spans="1:11" ht="25.5" customHeight="1" x14ac:dyDescent="0.2">
      <c r="A19" s="830" t="s">
        <v>103</v>
      </c>
      <c r="B19" s="830"/>
      <c r="C19" s="242"/>
      <c r="D19" s="124"/>
      <c r="E19" s="244"/>
      <c r="F19" s="113">
        <f>Dados!G36</f>
        <v>66.099999999999994</v>
      </c>
      <c r="G19" s="613"/>
      <c r="H19" s="114"/>
      <c r="I19" s="115"/>
      <c r="J19" s="35"/>
      <c r="K19" s="35"/>
    </row>
    <row r="20" spans="1:11" ht="25.5" customHeight="1" x14ac:dyDescent="0.2">
      <c r="A20" s="831" t="s">
        <v>105</v>
      </c>
      <c r="B20" s="831"/>
      <c r="C20" s="114">
        <f>Dados!$G$38</f>
        <v>22</v>
      </c>
      <c r="D20" s="242">
        <f>Dados!$G$37</f>
        <v>24.54</v>
      </c>
      <c r="E20" s="245">
        <f>Dados!$G$39</f>
        <v>0.2</v>
      </c>
      <c r="F20" s="113">
        <f>ROUND((IF(D10&gt;150,((C20*D20)-(E20*(C20*D20))),0)),2)</f>
        <v>431.9</v>
      </c>
      <c r="G20" s="613">
        <f>F20</f>
        <v>431.9</v>
      </c>
      <c r="H20" s="114"/>
      <c r="I20" s="115"/>
      <c r="J20" s="35"/>
      <c r="K20" s="35"/>
    </row>
    <row r="21" spans="1:11" ht="19.5" customHeight="1" x14ac:dyDescent="0.2">
      <c r="A21" s="829" t="s">
        <v>207</v>
      </c>
      <c r="B21" s="829"/>
      <c r="C21" s="114">
        <f>Dados!$G$44</f>
        <v>22</v>
      </c>
      <c r="D21" s="114">
        <f>Dados!$G$43</f>
        <v>7.1</v>
      </c>
      <c r="E21" s="125">
        <f>Dados!$G$41</f>
        <v>4.5</v>
      </c>
      <c r="F21" s="113">
        <f>ROUND((($C$21*$D$21*Dados!$G$42)+($C$21*$E$21*Dados!$G$40) -(F10*Dados!$G$45)),2)</f>
        <v>372.4</v>
      </c>
      <c r="G21" s="613"/>
      <c r="H21" s="114"/>
      <c r="I21" s="115">
        <f>F21</f>
        <v>372.4</v>
      </c>
      <c r="J21" s="35"/>
      <c r="K21" s="35"/>
    </row>
    <row r="22" spans="1:11"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row>
    <row r="23" spans="1:11"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row>
    <row r="24" spans="1:11" ht="24.75" customHeight="1" x14ac:dyDescent="0.2">
      <c r="A24" s="821" t="s">
        <v>163</v>
      </c>
      <c r="B24" s="821"/>
      <c r="C24" s="821"/>
      <c r="D24" s="821"/>
      <c r="E24" s="821"/>
      <c r="F24" s="236">
        <f>SUM(F17:F23)</f>
        <v>945.24999999999989</v>
      </c>
      <c r="G24" s="236">
        <f>SUM(G17:G23)</f>
        <v>431.9</v>
      </c>
      <c r="H24" s="240">
        <f>SUM($H$17:$H$23)</f>
        <v>0</v>
      </c>
      <c r="I24" s="238">
        <f>SUM($I$17:$I$23)</f>
        <v>372.4</v>
      </c>
      <c r="J24" s="35"/>
      <c r="K24" s="35"/>
    </row>
    <row r="25" spans="1:11" ht="24.75" customHeight="1" x14ac:dyDescent="0.2">
      <c r="A25" s="821" t="s">
        <v>164</v>
      </c>
      <c r="B25" s="821"/>
      <c r="C25" s="821"/>
      <c r="D25" s="821"/>
      <c r="E25" s="821"/>
      <c r="F25" s="236">
        <f>F14+F24</f>
        <v>5063.3999999999996</v>
      </c>
      <c r="G25" s="236">
        <f>$G$14+$G$24</f>
        <v>431.9</v>
      </c>
      <c r="H25" s="240">
        <f>$H$14+$H$24</f>
        <v>0</v>
      </c>
      <c r="I25" s="238">
        <f>$I$14+$I$24</f>
        <v>372.4</v>
      </c>
      <c r="J25" s="35"/>
      <c r="K25" s="35"/>
    </row>
    <row r="26" spans="1:11" ht="19.5" customHeight="1" x14ac:dyDescent="0.2">
      <c r="A26" s="822" t="s">
        <v>165</v>
      </c>
      <c r="B26" s="822"/>
      <c r="C26" s="822"/>
      <c r="D26" s="822"/>
      <c r="E26" s="822"/>
      <c r="F26" s="822"/>
      <c r="G26" s="822"/>
      <c r="H26" s="822">
        <f>SUM($H$17:$H$25)</f>
        <v>0</v>
      </c>
      <c r="I26" s="822">
        <f>SUM($I$17:$I$25)</f>
        <v>1117.1999999999998</v>
      </c>
      <c r="J26" s="35"/>
      <c r="K26" s="35"/>
    </row>
    <row r="27" spans="1:11" ht="19.5" customHeight="1" x14ac:dyDescent="0.2">
      <c r="A27" s="825" t="s">
        <v>166</v>
      </c>
      <c r="B27" s="825"/>
      <c r="C27" s="825"/>
      <c r="D27" s="826" t="s">
        <v>167</v>
      </c>
      <c r="E27" s="826"/>
      <c r="F27" s="827" t="s">
        <v>152</v>
      </c>
      <c r="G27" s="828"/>
      <c r="H27" s="827"/>
      <c r="I27" s="827"/>
      <c r="J27" s="35"/>
      <c r="K27" s="35"/>
    </row>
    <row r="28" spans="1:11" ht="19.5" customHeight="1" x14ac:dyDescent="0.2">
      <c r="A28" s="121" t="s">
        <v>168</v>
      </c>
      <c r="B28" s="122"/>
      <c r="C28" s="122"/>
      <c r="D28" s="124">
        <f>Dados!$G$50</f>
        <v>0.03</v>
      </c>
      <c r="E28" s="288"/>
      <c r="F28" s="113">
        <f>ROUND((F25*D28),2)</f>
        <v>151.9</v>
      </c>
      <c r="G28" s="613">
        <f>ROUND(($G$25*$D$28),2)</f>
        <v>12.96</v>
      </c>
      <c r="H28" s="114">
        <f>ROUND((H25*D28),2)</f>
        <v>0</v>
      </c>
      <c r="I28" s="115">
        <f>ROUND((I25*D28),2)</f>
        <v>11.17</v>
      </c>
      <c r="J28" s="35"/>
      <c r="K28" s="35"/>
    </row>
    <row r="29" spans="1:11" ht="19.5" customHeight="1" x14ac:dyDescent="0.2">
      <c r="A29" s="820" t="s">
        <v>169</v>
      </c>
      <c r="B29" s="820"/>
      <c r="C29" s="820"/>
      <c r="D29" s="124"/>
      <c r="E29" s="288"/>
      <c r="F29" s="113">
        <f>F25+F28</f>
        <v>5215.2999999999993</v>
      </c>
      <c r="G29" s="613">
        <f>$G$28+$G$25</f>
        <v>444.85999999999996</v>
      </c>
      <c r="H29" s="114">
        <f>H25+H28</f>
        <v>0</v>
      </c>
      <c r="I29" s="115">
        <f>I25+I28</f>
        <v>383.57</v>
      </c>
      <c r="J29" s="35"/>
      <c r="K29" s="35"/>
    </row>
    <row r="30" spans="1:11" ht="19.5" customHeight="1" x14ac:dyDescent="0.2">
      <c r="A30" s="121" t="s">
        <v>108</v>
      </c>
      <c r="B30" s="122"/>
      <c r="C30" s="122"/>
      <c r="D30" s="124">
        <f>Dados!$G$51</f>
        <v>6.7900000000000002E-2</v>
      </c>
      <c r="E30" s="288">
        <f>F25+F28</f>
        <v>5215.2999999999993</v>
      </c>
      <c r="F30" s="113">
        <f>ROUND((E30*D30),2)</f>
        <v>354.12</v>
      </c>
      <c r="G30" s="613">
        <f>ROUND(($G$29*$D$30),2)</f>
        <v>30.21</v>
      </c>
      <c r="H30" s="114">
        <f>ROUND((H29*D30),2)</f>
        <v>0</v>
      </c>
      <c r="I30" s="115">
        <f>ROUND((I29*D30),2)</f>
        <v>26.04</v>
      </c>
      <c r="J30" s="35"/>
      <c r="K30" s="35"/>
    </row>
    <row r="31" spans="1:11" ht="24.75" customHeight="1" x14ac:dyDescent="0.2">
      <c r="A31" s="246" t="s">
        <v>170</v>
      </c>
      <c r="B31" s="247"/>
      <c r="C31" s="247"/>
      <c r="D31" s="248">
        <f>SUM(D28:D30)</f>
        <v>9.7900000000000001E-2</v>
      </c>
      <c r="E31" s="289"/>
      <c r="F31" s="236">
        <f>F28+F30</f>
        <v>506.02</v>
      </c>
      <c r="G31" s="615">
        <f>$G$28+$G$30</f>
        <v>43.17</v>
      </c>
      <c r="H31" s="240">
        <f>H28+H30</f>
        <v>0</v>
      </c>
      <c r="I31" s="238">
        <f>I28+I30</f>
        <v>37.21</v>
      </c>
      <c r="J31" s="35"/>
      <c r="K31" s="35"/>
    </row>
    <row r="32" spans="1:11" ht="24.75" customHeight="1" x14ac:dyDescent="0.2">
      <c r="A32" s="858" t="s">
        <v>171</v>
      </c>
      <c r="B32" s="858"/>
      <c r="C32" s="858"/>
      <c r="D32" s="858"/>
      <c r="E32" s="858"/>
      <c r="F32" s="236">
        <f>F14+F24+F31</f>
        <v>5569.42</v>
      </c>
      <c r="G32" s="615">
        <f>$G$14+$G$24+$G$31</f>
        <v>475.07</v>
      </c>
      <c r="H32" s="240">
        <f>H14+H24+H31</f>
        <v>0</v>
      </c>
      <c r="I32" s="238">
        <f>I14+I24+I31</f>
        <v>409.60999999999996</v>
      </c>
      <c r="J32" s="35"/>
      <c r="K32" s="35"/>
    </row>
    <row r="33" spans="1:11" ht="19.5" customHeight="1" x14ac:dyDescent="0.2">
      <c r="A33" s="822" t="s">
        <v>172</v>
      </c>
      <c r="B33" s="822"/>
      <c r="C33" s="822"/>
      <c r="D33" s="822"/>
      <c r="E33" s="822"/>
      <c r="F33" s="822"/>
      <c r="G33" s="822"/>
      <c r="H33" s="822"/>
      <c r="I33" s="822"/>
      <c r="J33" s="35"/>
      <c r="K33" s="35"/>
    </row>
    <row r="34" spans="1:11" ht="19.5" customHeight="1" x14ac:dyDescent="0.2">
      <c r="A34" s="121" t="s">
        <v>109</v>
      </c>
      <c r="B34" s="122"/>
      <c r="C34" s="123"/>
      <c r="D34" s="124">
        <f>Dados!$G$58</f>
        <v>7.5999999999999998E-2</v>
      </c>
      <c r="E34" s="125"/>
      <c r="F34" s="113">
        <f>ROUND((F39*D34),2)</f>
        <v>493.62</v>
      </c>
      <c r="G34" s="613">
        <f>ROUND(($G$39*$D$34),2)</f>
        <v>42.11</v>
      </c>
      <c r="H34" s="114">
        <f>ROUND((H39*D34),2)</f>
        <v>0</v>
      </c>
      <c r="I34" s="115">
        <f>ROUND((I39*D34),2)</f>
        <v>36.299999999999997</v>
      </c>
      <c r="J34" s="35"/>
      <c r="K34" s="35"/>
    </row>
    <row r="35" spans="1:11" ht="19.5" customHeight="1" x14ac:dyDescent="0.2">
      <c r="A35" s="121" t="s">
        <v>110</v>
      </c>
      <c r="B35" s="122"/>
      <c r="C35" s="123"/>
      <c r="D35" s="124">
        <f>Dados!$G$59</f>
        <v>1.6500000000000001E-2</v>
      </c>
      <c r="E35" s="125"/>
      <c r="F35" s="113">
        <f>ROUND((F39*D35),2)</f>
        <v>107.17</v>
      </c>
      <c r="G35" s="613">
        <f>ROUND(($G$39*$D$35),2)</f>
        <v>9.14</v>
      </c>
      <c r="H35" s="114">
        <f>ROUND((H39*D35),2)</f>
        <v>0</v>
      </c>
      <c r="I35" s="115">
        <f>ROUND((I39*D35),2)</f>
        <v>7.88</v>
      </c>
      <c r="J35" s="35"/>
      <c r="K35" s="35"/>
    </row>
    <row r="36" spans="1:11" ht="19.5" customHeight="1" x14ac:dyDescent="0.2">
      <c r="A36" s="121" t="s">
        <v>111</v>
      </c>
      <c r="B36" s="122"/>
      <c r="C36" s="123"/>
      <c r="D36" s="124">
        <f>Dados!$G$60</f>
        <v>0.05</v>
      </c>
      <c r="E36" s="125"/>
      <c r="F36" s="113">
        <f>ROUND((F39*D36),2)</f>
        <v>324.75</v>
      </c>
      <c r="G36" s="613">
        <f>ROUND(($G$39*$D$36),2)</f>
        <v>27.7</v>
      </c>
      <c r="H36" s="114">
        <f>ROUND((H39*D36),2)</f>
        <v>0</v>
      </c>
      <c r="I36" s="115">
        <f>ROUND((I39*D36),2)</f>
        <v>23.88</v>
      </c>
      <c r="J36" s="35"/>
      <c r="K36" s="35"/>
    </row>
    <row r="37" spans="1:11"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row>
    <row r="38" spans="1:11" ht="30" customHeight="1" thickBot="1" x14ac:dyDescent="0.25">
      <c r="A38" s="246" t="s">
        <v>173</v>
      </c>
      <c r="B38" s="247"/>
      <c r="C38" s="250"/>
      <c r="D38" s="248">
        <f>SUM(D34:D37)</f>
        <v>0.14250000000000002</v>
      </c>
      <c r="E38" s="251"/>
      <c r="F38" s="236">
        <f>SUM(F34:F37)</f>
        <v>925.54</v>
      </c>
      <c r="G38" s="236">
        <f>SUM(G34:G37)</f>
        <v>78.95</v>
      </c>
      <c r="H38" s="236">
        <f t="shared" ref="H38:I38" si="1">SUM(H34:H37)</f>
        <v>0</v>
      </c>
      <c r="I38" s="252">
        <f t="shared" si="1"/>
        <v>68.06</v>
      </c>
      <c r="J38" s="35"/>
      <c r="K38" s="35"/>
    </row>
    <row r="39" spans="1:11" ht="34.5" hidden="1" customHeight="1" thickBot="1" x14ac:dyDescent="0.25">
      <c r="A39" s="823" t="str">
        <f>A7</f>
        <v>Atendente - 200</v>
      </c>
      <c r="B39" s="823"/>
      <c r="C39" s="823"/>
      <c r="D39" s="823"/>
      <c r="E39" s="823"/>
      <c r="F39" s="253">
        <f>ROUND(F32/(1-D38),2)</f>
        <v>6494.95</v>
      </c>
      <c r="G39" s="616">
        <f>ROUND($G$32/(1-$D$38),2)</f>
        <v>554.02</v>
      </c>
      <c r="H39" s="254">
        <f>ROUND(H32/(1-D38),2)</f>
        <v>0</v>
      </c>
      <c r="I39" s="255">
        <f>ROUND(I32/(1-D38),2)</f>
        <v>477.68</v>
      </c>
      <c r="J39" s="35"/>
      <c r="K39" s="35"/>
    </row>
    <row r="40" spans="1:11" ht="30" customHeight="1" thickBot="1" x14ac:dyDescent="0.25">
      <c r="A40" s="859" t="str">
        <f>A7</f>
        <v>Atendente - 200</v>
      </c>
      <c r="B40" s="859"/>
      <c r="C40" s="859"/>
      <c r="D40" s="859"/>
      <c r="E40" s="859"/>
      <c r="F40" s="79">
        <f>F39</f>
        <v>6494.95</v>
      </c>
      <c r="G40" s="630">
        <f>$G$39</f>
        <v>554.02</v>
      </c>
      <c r="H40" s="79">
        <f>H39</f>
        <v>0</v>
      </c>
      <c r="I40" s="80">
        <f>I39</f>
        <v>477.68</v>
      </c>
      <c r="J40" s="35"/>
      <c r="K40" s="35"/>
    </row>
    <row r="41" spans="1:11" ht="29.25" customHeight="1" thickBot="1" x14ac:dyDescent="0.25">
      <c r="A41" s="857" t="s">
        <v>174</v>
      </c>
      <c r="B41" s="857"/>
      <c r="C41" s="857"/>
      <c r="D41" s="857"/>
      <c r="E41" s="857"/>
      <c r="F41" s="81">
        <f>($F$40/$F$12)/100</f>
        <v>2.8238913043478264E-2</v>
      </c>
      <c r="G41" s="82"/>
      <c r="H41" s="82"/>
      <c r="I41" s="83"/>
      <c r="J41" s="35"/>
      <c r="K41" s="35"/>
    </row>
    <row r="42" spans="1:11" ht="24" customHeight="1" x14ac:dyDescent="0.2">
      <c r="A42" s="35"/>
      <c r="B42" s="35"/>
      <c r="C42" s="35"/>
      <c r="D42" s="35"/>
      <c r="E42" s="35"/>
      <c r="F42" s="77"/>
      <c r="G42" s="77"/>
      <c r="H42" s="77"/>
      <c r="I42" s="35"/>
      <c r="J42" s="35"/>
      <c r="K42" s="35"/>
    </row>
    <row r="43" spans="1:11" x14ac:dyDescent="0.2">
      <c r="A43" s="35"/>
      <c r="B43" s="35"/>
      <c r="C43" s="35"/>
      <c r="D43" s="35"/>
      <c r="E43" s="35"/>
      <c r="F43" s="77"/>
      <c r="G43" s="77"/>
      <c r="H43" s="77"/>
      <c r="I43" s="35"/>
      <c r="J43" s="35"/>
      <c r="K43" s="35"/>
    </row>
    <row r="44" spans="1:11" x14ac:dyDescent="0.2">
      <c r="A44" s="35"/>
      <c r="B44" s="35"/>
      <c r="C44" s="35"/>
      <c r="D44" s="35"/>
      <c r="E44" s="35"/>
      <c r="F44" s="77"/>
      <c r="G44" s="77"/>
      <c r="H44" s="77"/>
      <c r="I44" s="35"/>
      <c r="J44" s="35"/>
      <c r="K44" s="35"/>
    </row>
  </sheetData>
  <sheetProtection algorithmName="SHA-512" hashValue="Il2nhgrnNF/6xE1M0NO7L062TKcyYmxTkOiY5MR8JnmShNe4xPtAAzSQZTH513B6HrD1UDLYr/+wVoLbrX+27g==" saltValue="FYyXB6FeZD/HNhZMgjotzg=="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5"/>
  <sheetViews>
    <sheetView showGridLines="0" zoomScale="80" zoomScaleNormal="80" workbookViewId="0">
      <selection activeCell="K11" sqref="K11"/>
    </sheetView>
  </sheetViews>
  <sheetFormatPr defaultColWidth="9" defaultRowHeight="12.75" x14ac:dyDescent="0.2"/>
  <cols>
    <col min="1" max="1" width="11.33203125" customWidth="1"/>
    <col min="2" max="2" width="28.83203125" customWidth="1"/>
    <col min="3" max="3" width="10.5" customWidth="1"/>
    <col min="4" max="5" width="17.5" customWidth="1"/>
    <col min="6" max="8" width="17.83203125" style="16" customWidth="1"/>
    <col min="9" max="9" width="17.83203125" customWidth="1"/>
  </cols>
  <sheetData>
    <row r="1" spans="1:14" x14ac:dyDescent="0.2">
      <c r="A1" s="63"/>
      <c r="B1" s="345" t="s">
        <v>0</v>
      </c>
      <c r="C1" s="64"/>
      <c r="D1" s="64"/>
      <c r="E1" s="64"/>
      <c r="F1" s="65"/>
      <c r="G1" s="65"/>
      <c r="H1" s="65"/>
      <c r="I1" s="66"/>
      <c r="J1" s="35"/>
      <c r="K1" s="35"/>
      <c r="L1" s="35"/>
      <c r="M1" s="35"/>
      <c r="N1" s="35"/>
    </row>
    <row r="2" spans="1:14" x14ac:dyDescent="0.2">
      <c r="A2" s="67"/>
      <c r="B2" s="346" t="s">
        <v>210</v>
      </c>
      <c r="C2" s="60"/>
      <c r="D2" s="60"/>
      <c r="E2" s="60"/>
      <c r="F2" s="108"/>
      <c r="G2" s="108"/>
      <c r="H2" s="108"/>
      <c r="I2" s="68"/>
      <c r="J2" s="35"/>
      <c r="K2" s="35"/>
      <c r="L2" s="35"/>
      <c r="M2" s="35"/>
      <c r="N2" s="35"/>
    </row>
    <row r="3" spans="1:14" ht="13.5" thickBot="1" x14ac:dyDescent="0.25">
      <c r="A3" s="69"/>
      <c r="B3" s="346" t="s">
        <v>1</v>
      </c>
      <c r="C3" s="60"/>
      <c r="D3" s="60"/>
      <c r="E3" s="60"/>
      <c r="F3" s="108"/>
      <c r="G3" s="108"/>
      <c r="H3" s="108"/>
      <c r="I3" s="68"/>
      <c r="J3" s="35"/>
      <c r="K3" s="35"/>
      <c r="L3" s="35"/>
      <c r="M3" s="35"/>
      <c r="N3" s="35"/>
    </row>
    <row r="4" spans="1:14" ht="32.25" customHeight="1" x14ac:dyDescent="0.2">
      <c r="A4" s="843" t="s">
        <v>143</v>
      </c>
      <c r="B4" s="843"/>
      <c r="C4" s="843"/>
      <c r="D4" s="843"/>
      <c r="E4" s="843"/>
      <c r="F4" s="843"/>
      <c r="G4" s="843"/>
      <c r="H4" s="843"/>
      <c r="I4" s="843"/>
      <c r="J4" s="35"/>
      <c r="K4" s="35"/>
      <c r="L4" s="35"/>
      <c r="M4" s="35"/>
      <c r="N4" s="35"/>
    </row>
    <row r="5" spans="1:14" ht="32.25" customHeight="1" x14ac:dyDescent="0.2">
      <c r="A5" s="849" t="str">
        <f>Dados!A5</f>
        <v>Sindicato utilizado - SINDEAC/MG. Vigência: 01/01/2023 à 31/12/2023
Sendo a data base da categoria 01º de Janeiro. Com número de registro no MTE MG000001/2023.</v>
      </c>
      <c r="B5" s="850"/>
      <c r="C5" s="850"/>
      <c r="D5" s="850"/>
      <c r="E5" s="850"/>
      <c r="F5" s="850"/>
      <c r="G5" s="850"/>
      <c r="H5" s="850"/>
      <c r="I5" s="851"/>
      <c r="J5" s="35"/>
      <c r="K5" s="35"/>
      <c r="L5" s="35"/>
      <c r="M5" s="35"/>
      <c r="N5" s="35"/>
    </row>
    <row r="6" spans="1:14" ht="22.5" customHeight="1" thickBot="1" x14ac:dyDescent="0.25">
      <c r="A6" s="844" t="s">
        <v>2</v>
      </c>
      <c r="B6" s="844"/>
      <c r="C6" s="844"/>
      <c r="D6" s="844"/>
      <c r="E6" s="844"/>
      <c r="F6" s="844"/>
      <c r="G6" s="844"/>
      <c r="H6" s="844"/>
      <c r="I6" s="844"/>
      <c r="J6" s="35"/>
      <c r="K6" s="35"/>
      <c r="L6" s="35"/>
      <c r="M6" s="35"/>
      <c r="N6" s="35"/>
    </row>
    <row r="7" spans="1:14" ht="30" customHeight="1" thickBot="1" x14ac:dyDescent="0.25">
      <c r="A7" s="852" t="str">
        <f>Dados!B11&amp;" - "&amp;D10</f>
        <v>Auxiliar Administrativo - Classe I - 150</v>
      </c>
      <c r="B7" s="853"/>
      <c r="C7" s="853"/>
      <c r="D7" s="853"/>
      <c r="E7" s="854"/>
      <c r="F7" s="845" t="s">
        <v>144</v>
      </c>
      <c r="G7" s="855" t="s">
        <v>471</v>
      </c>
      <c r="H7" s="846" t="s">
        <v>145</v>
      </c>
      <c r="I7" s="847" t="s">
        <v>146</v>
      </c>
      <c r="J7" s="35"/>
      <c r="K7" s="35"/>
      <c r="L7" s="35"/>
      <c r="M7" s="35"/>
      <c r="N7" s="35"/>
    </row>
    <row r="8" spans="1:14" ht="18" customHeight="1" thickBot="1" x14ac:dyDescent="0.25">
      <c r="A8" s="848" t="s">
        <v>147</v>
      </c>
      <c r="B8" s="848"/>
      <c r="C8" s="848"/>
      <c r="D8" s="848"/>
      <c r="E8" s="228" t="s">
        <v>88</v>
      </c>
      <c r="F8" s="845"/>
      <c r="G8" s="856"/>
      <c r="H8" s="846"/>
      <c r="I8" s="847"/>
      <c r="J8" s="35"/>
      <c r="K8" s="35"/>
      <c r="L8" s="35"/>
      <c r="M8" s="35"/>
      <c r="N8" s="35"/>
    </row>
    <row r="9" spans="1:14" ht="24.75" customHeight="1" x14ac:dyDescent="0.2">
      <c r="A9" s="229" t="s">
        <v>148</v>
      </c>
      <c r="B9" s="835" t="s">
        <v>149</v>
      </c>
      <c r="C9" s="835"/>
      <c r="D9" s="230" t="s">
        <v>150</v>
      </c>
      <c r="E9" s="70" t="s">
        <v>151</v>
      </c>
      <c r="F9" s="836" t="s">
        <v>152</v>
      </c>
      <c r="G9" s="836"/>
      <c r="H9" s="836"/>
      <c r="I9" s="836"/>
      <c r="J9" s="35"/>
      <c r="K9" s="35"/>
      <c r="L9" s="35"/>
      <c r="M9" s="35"/>
      <c r="N9" s="35"/>
    </row>
    <row r="10" spans="1:14" ht="27" customHeight="1" x14ac:dyDescent="0.2">
      <c r="A10" s="837">
        <v>1</v>
      </c>
      <c r="B10" s="838" t="str">
        <f>A7</f>
        <v>Auxiliar Administrativo - Classe I - 150</v>
      </c>
      <c r="C10" s="838"/>
      <c r="D10" s="290">
        <f>Dados!C11</f>
        <v>150</v>
      </c>
      <c r="E10" s="125">
        <f>Dados!$E11</f>
        <v>2530</v>
      </c>
      <c r="F10" s="113">
        <f>ROUND(E10/220*D10,2)</f>
        <v>1725</v>
      </c>
      <c r="G10" s="613"/>
      <c r="H10" s="114"/>
      <c r="I10" s="115"/>
      <c r="J10" s="35"/>
      <c r="K10" s="35"/>
      <c r="L10" s="35"/>
      <c r="M10" s="35"/>
      <c r="N10" s="35"/>
    </row>
    <row r="11" spans="1:14" ht="24" customHeight="1" x14ac:dyDescent="0.2">
      <c r="A11" s="837"/>
      <c r="B11" s="841"/>
      <c r="C11" s="842"/>
      <c r="D11" s="291"/>
      <c r="E11" s="234"/>
      <c r="F11" s="113">
        <f>ROUND(((E11/220*D10)*C11)*D11,2)</f>
        <v>0</v>
      </c>
      <c r="G11" s="613"/>
      <c r="H11" s="114"/>
      <c r="I11" s="115"/>
      <c r="J11" s="35"/>
      <c r="K11" s="35"/>
      <c r="L11" s="35"/>
      <c r="M11" s="35"/>
      <c r="N11" s="35"/>
    </row>
    <row r="12" spans="1:14" ht="19.5" customHeight="1" x14ac:dyDescent="0.2">
      <c r="A12" s="837"/>
      <c r="B12" s="839" t="s">
        <v>153</v>
      </c>
      <c r="C12" s="839"/>
      <c r="D12" s="839"/>
      <c r="E12" s="839"/>
      <c r="F12" s="292">
        <f>F10+F11</f>
        <v>1725</v>
      </c>
      <c r="G12" s="614"/>
      <c r="H12" s="237"/>
      <c r="I12" s="286"/>
      <c r="J12" s="35"/>
      <c r="K12" s="35"/>
      <c r="L12" s="35"/>
      <c r="M12" s="35"/>
      <c r="N12" s="35"/>
    </row>
    <row r="13" spans="1:14" ht="19.5" customHeight="1" x14ac:dyDescent="0.2">
      <c r="A13" s="837"/>
      <c r="B13" s="840" t="s">
        <v>154</v>
      </c>
      <c r="C13" s="840"/>
      <c r="D13" s="840"/>
      <c r="E13" s="239">
        <f>Dados!G28</f>
        <v>0.79049999999999998</v>
      </c>
      <c r="F13" s="113">
        <f>(ROUND((E13*F12),2))</f>
        <v>1363.61</v>
      </c>
      <c r="G13" s="613"/>
      <c r="H13" s="114"/>
      <c r="I13" s="115"/>
      <c r="J13" s="35"/>
      <c r="K13" s="35"/>
      <c r="L13" s="35"/>
      <c r="M13" s="35"/>
      <c r="N13" s="35"/>
    </row>
    <row r="14" spans="1:14" ht="24.75" customHeight="1" x14ac:dyDescent="0.2">
      <c r="A14" s="821" t="s">
        <v>155</v>
      </c>
      <c r="B14" s="821"/>
      <c r="C14" s="821"/>
      <c r="D14" s="821"/>
      <c r="E14" s="821"/>
      <c r="F14" s="236">
        <f>ROUND(SUM(F12:F13),2)</f>
        <v>3088.61</v>
      </c>
      <c r="G14" s="615"/>
      <c r="H14" s="240"/>
      <c r="I14" s="238"/>
      <c r="J14" s="35"/>
      <c r="K14" s="35"/>
      <c r="L14" s="35"/>
      <c r="M14" s="35"/>
      <c r="N14" s="35"/>
    </row>
    <row r="15" spans="1:14" ht="19.5" customHeight="1" x14ac:dyDescent="0.2">
      <c r="A15" s="822" t="s">
        <v>156</v>
      </c>
      <c r="B15" s="822"/>
      <c r="C15" s="822"/>
      <c r="D15" s="822"/>
      <c r="E15" s="822"/>
      <c r="F15" s="822"/>
      <c r="G15" s="822"/>
      <c r="H15" s="822"/>
      <c r="I15" s="822"/>
      <c r="J15" s="35"/>
      <c r="K15" s="35"/>
      <c r="L15" s="35"/>
      <c r="M15" s="35"/>
      <c r="N15" s="35"/>
    </row>
    <row r="16" spans="1:14" ht="19.5" customHeight="1" x14ac:dyDescent="0.2">
      <c r="A16" s="832" t="s">
        <v>157</v>
      </c>
      <c r="B16" s="832"/>
      <c r="C16" s="241" t="s">
        <v>158</v>
      </c>
      <c r="D16" s="833" t="s">
        <v>159</v>
      </c>
      <c r="E16" s="833"/>
      <c r="F16" s="833"/>
      <c r="G16" s="834"/>
      <c r="H16" s="833"/>
      <c r="I16" s="833"/>
      <c r="J16" s="35"/>
      <c r="K16" s="35"/>
      <c r="L16" s="35"/>
      <c r="M16" s="35"/>
      <c r="N16" s="35"/>
    </row>
    <row r="17" spans="1:14" ht="19.5" customHeight="1" x14ac:dyDescent="0.2">
      <c r="A17" s="829" t="s">
        <v>93</v>
      </c>
      <c r="B17" s="829"/>
      <c r="C17" s="242"/>
      <c r="D17" s="124"/>
      <c r="E17" s="125"/>
      <c r="F17" s="113">
        <f>Dados!I11</f>
        <v>72.650000000000006</v>
      </c>
      <c r="G17" s="613"/>
      <c r="H17" s="114"/>
      <c r="I17" s="115"/>
      <c r="J17" s="35"/>
      <c r="K17" s="35"/>
      <c r="L17" s="35"/>
      <c r="M17" s="35"/>
      <c r="N17" s="35"/>
    </row>
    <row r="18" spans="1:14" ht="19.5" customHeight="1" x14ac:dyDescent="0.2">
      <c r="A18" s="829" t="s">
        <v>160</v>
      </c>
      <c r="B18" s="829"/>
      <c r="C18" s="242"/>
      <c r="D18" s="124"/>
      <c r="E18" s="243"/>
      <c r="F18" s="113">
        <f>Dados!G35</f>
        <v>2.2000000000000002</v>
      </c>
      <c r="G18" s="613"/>
      <c r="H18" s="114"/>
      <c r="I18" s="115"/>
      <c r="J18" s="35"/>
      <c r="K18" s="35"/>
      <c r="L18" s="35"/>
      <c r="M18" s="35"/>
      <c r="N18" s="35"/>
    </row>
    <row r="19" spans="1:14" ht="25.5" customHeight="1" x14ac:dyDescent="0.2">
      <c r="A19" s="830" t="s">
        <v>103</v>
      </c>
      <c r="B19" s="830"/>
      <c r="C19" s="242"/>
      <c r="D19" s="124"/>
      <c r="E19" s="244"/>
      <c r="F19" s="113">
        <f>Dados!G36</f>
        <v>66.099999999999994</v>
      </c>
      <c r="G19" s="613"/>
      <c r="H19" s="114"/>
      <c r="I19" s="115"/>
      <c r="J19" s="35"/>
      <c r="K19" s="35"/>
      <c r="L19" s="35"/>
      <c r="M19" s="35"/>
      <c r="N19" s="35"/>
    </row>
    <row r="20" spans="1:14" ht="25.5" customHeight="1" x14ac:dyDescent="0.2">
      <c r="A20" s="831" t="s">
        <v>161</v>
      </c>
      <c r="B20" s="831"/>
      <c r="C20" s="114">
        <f>Dados!$G$38</f>
        <v>22</v>
      </c>
      <c r="D20" s="242">
        <f>Dados!$G$37</f>
        <v>24.54</v>
      </c>
      <c r="E20" s="245">
        <f>Dados!$G$39</f>
        <v>0.2</v>
      </c>
      <c r="F20" s="113">
        <f>ROUND((IF(D10&gt;150,((C20*D20)-(E20*(C20*D20))),0)),2)</f>
        <v>0</v>
      </c>
      <c r="G20" s="613">
        <f>F20</f>
        <v>0</v>
      </c>
      <c r="H20" s="114"/>
      <c r="I20" s="115"/>
      <c r="J20" s="35"/>
      <c r="K20" s="35"/>
      <c r="L20" s="35"/>
      <c r="M20" s="35"/>
      <c r="N20" s="35"/>
    </row>
    <row r="21" spans="1:14" ht="19.5" customHeight="1" x14ac:dyDescent="0.2">
      <c r="A21" s="829" t="s">
        <v>162</v>
      </c>
      <c r="B21" s="829"/>
      <c r="C21" s="114">
        <f>Dados!$G$44</f>
        <v>22</v>
      </c>
      <c r="D21" s="114">
        <f>Dados!$G$43</f>
        <v>7.1</v>
      </c>
      <c r="E21" s="125">
        <f>Dados!$G$41</f>
        <v>4.5</v>
      </c>
      <c r="F21" s="113">
        <f>ROUND((($C$21*$D$21*Dados!$G$42)+($C$21*$E$21*Dados!$G$40) -(F10*Dados!$G$45)),2)</f>
        <v>406.9</v>
      </c>
      <c r="G21" s="613"/>
      <c r="H21" s="114"/>
      <c r="I21" s="115">
        <f>F21</f>
        <v>406.9</v>
      </c>
      <c r="J21" s="35"/>
      <c r="K21" s="35"/>
      <c r="L21" s="35"/>
      <c r="M21" s="35"/>
      <c r="N21" s="35"/>
    </row>
    <row r="22" spans="1:14" ht="19.5" customHeight="1" x14ac:dyDescent="0.2">
      <c r="A22" s="829" t="str">
        <f>Dados!B46</f>
        <v>Outros (inserir somente com a justificativa legal)</v>
      </c>
      <c r="B22" s="829"/>
      <c r="C22" s="114">
        <v>1</v>
      </c>
      <c r="D22" s="114">
        <f>Dados!$G$46</f>
        <v>0</v>
      </c>
      <c r="E22" s="125"/>
      <c r="F22" s="113">
        <f>ROUND((C22*D22),2)</f>
        <v>0</v>
      </c>
      <c r="G22" s="613"/>
      <c r="H22" s="114"/>
      <c r="I22" s="115"/>
      <c r="J22" s="35"/>
      <c r="K22" s="35"/>
      <c r="L22" s="35"/>
      <c r="M22" s="35"/>
      <c r="N22" s="35"/>
    </row>
    <row r="23" spans="1:14" ht="19.5" customHeight="1" x14ac:dyDescent="0.2">
      <c r="A23" s="829" t="str">
        <f>Dados!B47</f>
        <v>Outros (inserir somente com a justificativa legal)</v>
      </c>
      <c r="B23" s="829"/>
      <c r="C23" s="114">
        <v>1</v>
      </c>
      <c r="D23" s="114">
        <f>Dados!$G$47</f>
        <v>0</v>
      </c>
      <c r="E23" s="125"/>
      <c r="F23" s="113">
        <f>ROUND((C23*D23),2)</f>
        <v>0</v>
      </c>
      <c r="G23" s="613"/>
      <c r="H23" s="114"/>
      <c r="I23" s="115"/>
      <c r="J23" s="35"/>
      <c r="K23" s="35"/>
      <c r="L23" s="35"/>
      <c r="M23" s="35"/>
      <c r="N23" s="35"/>
    </row>
    <row r="24" spans="1:14" ht="24.75" customHeight="1" x14ac:dyDescent="0.2">
      <c r="A24" s="821" t="s">
        <v>163</v>
      </c>
      <c r="B24" s="821"/>
      <c r="C24" s="821"/>
      <c r="D24" s="821"/>
      <c r="E24" s="821"/>
      <c r="F24" s="236">
        <f>SUM(F17:F23)</f>
        <v>547.84999999999991</v>
      </c>
      <c r="G24" s="236">
        <f>SUM(G17:G23)</f>
        <v>0</v>
      </c>
      <c r="H24" s="240">
        <f>SUM($H$17:$H$23)</f>
        <v>0</v>
      </c>
      <c r="I24" s="238">
        <f>SUM($I$17:$I$23)</f>
        <v>406.9</v>
      </c>
      <c r="J24" s="35"/>
      <c r="K24" s="35"/>
      <c r="L24" s="35"/>
      <c r="M24" s="35"/>
      <c r="N24" s="35"/>
    </row>
    <row r="25" spans="1:14" ht="24.75" customHeight="1" x14ac:dyDescent="0.2">
      <c r="A25" s="821" t="s">
        <v>164</v>
      </c>
      <c r="B25" s="821"/>
      <c r="C25" s="821"/>
      <c r="D25" s="821"/>
      <c r="E25" s="821"/>
      <c r="F25" s="236">
        <f>F14+F24</f>
        <v>3636.46</v>
      </c>
      <c r="G25" s="236">
        <f>$G$14+$G$24</f>
        <v>0</v>
      </c>
      <c r="H25" s="240">
        <f>$H$14+$H$24</f>
        <v>0</v>
      </c>
      <c r="I25" s="238">
        <f>$I$14+$I$24</f>
        <v>406.9</v>
      </c>
      <c r="J25" s="35"/>
      <c r="K25" s="35"/>
      <c r="L25" s="35"/>
      <c r="M25" s="35"/>
      <c r="N25" s="35"/>
    </row>
    <row r="26" spans="1:14" ht="19.5" customHeight="1" x14ac:dyDescent="0.2">
      <c r="A26" s="822" t="s">
        <v>165</v>
      </c>
      <c r="B26" s="822"/>
      <c r="C26" s="822"/>
      <c r="D26" s="822"/>
      <c r="E26" s="822"/>
      <c r="F26" s="822"/>
      <c r="G26" s="822"/>
      <c r="H26" s="822">
        <f>SUM($H$17:$H$25)</f>
        <v>0</v>
      </c>
      <c r="I26" s="822">
        <f>SUM($I$17:$I$25)</f>
        <v>1220.6999999999998</v>
      </c>
      <c r="J26" s="35"/>
      <c r="K26" s="35"/>
      <c r="L26" s="35"/>
      <c r="M26" s="35"/>
      <c r="N26" s="35"/>
    </row>
    <row r="27" spans="1:14" ht="19.5" customHeight="1" x14ac:dyDescent="0.2">
      <c r="A27" s="825" t="s">
        <v>166</v>
      </c>
      <c r="B27" s="825"/>
      <c r="C27" s="825"/>
      <c r="D27" s="826" t="s">
        <v>167</v>
      </c>
      <c r="E27" s="826"/>
      <c r="F27" s="827" t="s">
        <v>152</v>
      </c>
      <c r="G27" s="828"/>
      <c r="H27" s="827"/>
      <c r="I27" s="827"/>
      <c r="J27" s="35"/>
      <c r="K27" s="35"/>
      <c r="L27" s="35"/>
      <c r="M27" s="35"/>
      <c r="N27" s="35"/>
    </row>
    <row r="28" spans="1:14" ht="19.5" customHeight="1" x14ac:dyDescent="0.2">
      <c r="A28" s="121" t="s">
        <v>168</v>
      </c>
      <c r="B28" s="122"/>
      <c r="C28" s="122"/>
      <c r="D28" s="124">
        <f>Dados!$G$50</f>
        <v>0.03</v>
      </c>
      <c r="E28" s="112"/>
      <c r="F28" s="113">
        <f>ROUND((F25*D28),2)</f>
        <v>109.09</v>
      </c>
      <c r="G28" s="613">
        <f>ROUND(($G$25*$D$28),2)</f>
        <v>0</v>
      </c>
      <c r="H28" s="114">
        <f>ROUND((H25*D28),2)</f>
        <v>0</v>
      </c>
      <c r="I28" s="115">
        <f>ROUND((I25*D28),2)</f>
        <v>12.21</v>
      </c>
      <c r="J28" s="35"/>
      <c r="K28" s="35"/>
      <c r="L28" s="35"/>
      <c r="M28" s="35"/>
      <c r="N28" s="35"/>
    </row>
    <row r="29" spans="1:14" ht="19.5" customHeight="1" x14ac:dyDescent="0.2">
      <c r="A29" s="820" t="s">
        <v>169</v>
      </c>
      <c r="B29" s="820"/>
      <c r="C29" s="820"/>
      <c r="D29" s="124"/>
      <c r="E29" s="112"/>
      <c r="F29" s="113">
        <f>F25+F28</f>
        <v>3745.55</v>
      </c>
      <c r="G29" s="613">
        <f>$G$28+$G$25</f>
        <v>0</v>
      </c>
      <c r="H29" s="114">
        <f>H25+H28</f>
        <v>0</v>
      </c>
      <c r="I29" s="115">
        <f>I25+I28</f>
        <v>419.10999999999996</v>
      </c>
      <c r="J29" s="35"/>
      <c r="K29" s="35"/>
      <c r="L29" s="35"/>
      <c r="M29" s="35"/>
      <c r="N29" s="35"/>
    </row>
    <row r="30" spans="1:14" ht="19.5" customHeight="1" x14ac:dyDescent="0.2">
      <c r="A30" s="121" t="s">
        <v>108</v>
      </c>
      <c r="B30" s="122"/>
      <c r="C30" s="122"/>
      <c r="D30" s="124">
        <f>Dados!$G$51</f>
        <v>6.7900000000000002E-2</v>
      </c>
      <c r="E30" s="112">
        <f>F25+F28</f>
        <v>3745.55</v>
      </c>
      <c r="F30" s="113">
        <f>ROUND((E30*D30),2)</f>
        <v>254.32</v>
      </c>
      <c r="G30" s="613">
        <f>ROUND(($G$29*$D$30),2)</f>
        <v>0</v>
      </c>
      <c r="H30" s="114">
        <f>ROUND((H29*D30),2)</f>
        <v>0</v>
      </c>
      <c r="I30" s="115">
        <f>ROUND((I29*D30),2)</f>
        <v>28.46</v>
      </c>
      <c r="J30" s="35"/>
      <c r="K30" s="35"/>
      <c r="L30" s="35"/>
      <c r="M30" s="35"/>
      <c r="N30" s="35"/>
    </row>
    <row r="31" spans="1:14" ht="24.75" customHeight="1" x14ac:dyDescent="0.2">
      <c r="A31" s="246" t="s">
        <v>170</v>
      </c>
      <c r="B31" s="247"/>
      <c r="C31" s="247"/>
      <c r="D31" s="248">
        <f>SUM(D28:D30)</f>
        <v>9.7900000000000001E-2</v>
      </c>
      <c r="E31" s="249"/>
      <c r="F31" s="236">
        <f>F28+F30</f>
        <v>363.40999999999997</v>
      </c>
      <c r="G31" s="615">
        <f>$G$28+$G$30</f>
        <v>0</v>
      </c>
      <c r="H31" s="240">
        <f>H28+H30</f>
        <v>0</v>
      </c>
      <c r="I31" s="238">
        <f>I28+I30</f>
        <v>40.67</v>
      </c>
      <c r="J31" s="35"/>
      <c r="K31" s="35"/>
      <c r="L31" s="35"/>
      <c r="M31" s="35"/>
      <c r="N31" s="35"/>
    </row>
    <row r="32" spans="1:14" ht="24.75" customHeight="1" x14ac:dyDescent="0.2">
      <c r="A32" s="821" t="s">
        <v>171</v>
      </c>
      <c r="B32" s="821"/>
      <c r="C32" s="821"/>
      <c r="D32" s="821"/>
      <c r="E32" s="821"/>
      <c r="F32" s="236">
        <f>F14+F24+F31</f>
        <v>3999.87</v>
      </c>
      <c r="G32" s="615">
        <f>$G$14+$G$24+$G$31</f>
        <v>0</v>
      </c>
      <c r="H32" s="240">
        <f>H14+H24+H31</f>
        <v>0</v>
      </c>
      <c r="I32" s="238">
        <f>I14+I24+I31</f>
        <v>447.57</v>
      </c>
      <c r="J32" s="35"/>
      <c r="K32" s="35"/>
      <c r="L32" s="35"/>
      <c r="M32" s="35"/>
      <c r="N32" s="35"/>
    </row>
    <row r="33" spans="1:14" ht="19.5" customHeight="1" x14ac:dyDescent="0.2">
      <c r="A33" s="822" t="s">
        <v>172</v>
      </c>
      <c r="B33" s="822"/>
      <c r="C33" s="822"/>
      <c r="D33" s="822"/>
      <c r="E33" s="822"/>
      <c r="F33" s="822"/>
      <c r="G33" s="822"/>
      <c r="H33" s="822"/>
      <c r="I33" s="822"/>
      <c r="J33" s="35"/>
      <c r="K33" s="35"/>
      <c r="L33" s="35"/>
      <c r="M33" s="35"/>
      <c r="N33" s="35"/>
    </row>
    <row r="34" spans="1:14" ht="19.5" customHeight="1" x14ac:dyDescent="0.2">
      <c r="A34" s="121" t="s">
        <v>109</v>
      </c>
      <c r="B34" s="122"/>
      <c r="C34" s="123"/>
      <c r="D34" s="124">
        <f>Dados!$G$58</f>
        <v>7.5999999999999998E-2</v>
      </c>
      <c r="E34" s="125"/>
      <c r="F34" s="113">
        <f>ROUND((F39*D34),2)</f>
        <v>354.51</v>
      </c>
      <c r="G34" s="613">
        <f>ROUND(($G$39*$D$34),2)</f>
        <v>0</v>
      </c>
      <c r="H34" s="114">
        <f>ROUND((H39*D34),2)</f>
        <v>0</v>
      </c>
      <c r="I34" s="115">
        <f>ROUND((I39*D34),2)</f>
        <v>39.67</v>
      </c>
      <c r="J34" s="35"/>
      <c r="K34" s="35"/>
      <c r="L34" s="35"/>
      <c r="M34" s="35"/>
      <c r="N34" s="35"/>
    </row>
    <row r="35" spans="1:14" ht="19.5" customHeight="1" x14ac:dyDescent="0.2">
      <c r="A35" s="121" t="s">
        <v>110</v>
      </c>
      <c r="B35" s="122"/>
      <c r="C35" s="123"/>
      <c r="D35" s="124">
        <f>Dados!$G$59</f>
        <v>1.6500000000000001E-2</v>
      </c>
      <c r="E35" s="125"/>
      <c r="F35" s="113">
        <f>ROUND((F39*D35),2)</f>
        <v>76.97</v>
      </c>
      <c r="G35" s="613">
        <f>ROUND(($G$39*$D$35),2)</f>
        <v>0</v>
      </c>
      <c r="H35" s="114">
        <f>ROUND((H39*D35),2)</f>
        <v>0</v>
      </c>
      <c r="I35" s="115">
        <f>ROUND((I39*D35),2)</f>
        <v>8.61</v>
      </c>
      <c r="J35" s="35"/>
      <c r="K35" s="35"/>
      <c r="L35" s="35"/>
      <c r="M35" s="35"/>
      <c r="N35" s="35"/>
    </row>
    <row r="36" spans="1:14" ht="19.5" customHeight="1" x14ac:dyDescent="0.2">
      <c r="A36" s="121" t="s">
        <v>111</v>
      </c>
      <c r="B36" s="122"/>
      <c r="C36" s="123"/>
      <c r="D36" s="124">
        <f>Dados!$G$60</f>
        <v>0.05</v>
      </c>
      <c r="E36" s="125"/>
      <c r="F36" s="113">
        <f>ROUND((F39*D36),2)</f>
        <v>233.23</v>
      </c>
      <c r="G36" s="613">
        <f>ROUND(($G$39*$D$36),2)</f>
        <v>0</v>
      </c>
      <c r="H36" s="114">
        <f>ROUND((H39*D36),2)</f>
        <v>0</v>
      </c>
      <c r="I36" s="115">
        <f>ROUND((I39*D36),2)</f>
        <v>26.1</v>
      </c>
      <c r="J36" s="35"/>
      <c r="K36" s="35"/>
      <c r="L36" s="35"/>
      <c r="M36" s="35"/>
      <c r="N36" s="35"/>
    </row>
    <row r="37" spans="1:14" ht="19.5" customHeight="1" x14ac:dyDescent="0.2">
      <c r="A37" s="121" t="str">
        <f>Dados!B61</f>
        <v>Outros (inserir somente com a justificativa legal)</v>
      </c>
      <c r="B37" s="122"/>
      <c r="C37" s="123"/>
      <c r="D37" s="124">
        <f>Dados!G61</f>
        <v>0</v>
      </c>
      <c r="E37" s="125"/>
      <c r="F37" s="113">
        <f>ROUND((F39*$D$37),2)</f>
        <v>0</v>
      </c>
      <c r="G37" s="113">
        <f t="shared" ref="G37:I37" si="0">ROUND((G39*$D$37),2)</f>
        <v>0</v>
      </c>
      <c r="H37" s="113">
        <f t="shared" si="0"/>
        <v>0</v>
      </c>
      <c r="I37" s="113">
        <f t="shared" si="0"/>
        <v>0</v>
      </c>
      <c r="J37" s="35"/>
      <c r="K37" s="35"/>
      <c r="L37" s="35"/>
      <c r="M37" s="35"/>
      <c r="N37" s="35"/>
    </row>
    <row r="38" spans="1:14" ht="30" customHeight="1" thickBot="1" x14ac:dyDescent="0.25">
      <c r="A38" s="246" t="s">
        <v>173</v>
      </c>
      <c r="B38" s="247"/>
      <c r="C38" s="250"/>
      <c r="D38" s="248">
        <f>SUM(D34:D37)</f>
        <v>0.14250000000000002</v>
      </c>
      <c r="E38" s="251"/>
      <c r="F38" s="236">
        <f>SUM(F34:F37)</f>
        <v>664.71</v>
      </c>
      <c r="G38" s="236">
        <f>SUM(G34:G37)</f>
        <v>0</v>
      </c>
      <c r="H38" s="236">
        <f t="shared" ref="H38:I38" si="1">SUM(H34:H37)</f>
        <v>0</v>
      </c>
      <c r="I38" s="252">
        <f t="shared" si="1"/>
        <v>74.38</v>
      </c>
      <c r="J38" s="35"/>
      <c r="K38" s="35"/>
      <c r="L38" s="35"/>
      <c r="M38" s="35"/>
      <c r="N38" s="35"/>
    </row>
    <row r="39" spans="1:14" ht="34.5" hidden="1" customHeight="1" thickBot="1" x14ac:dyDescent="0.25">
      <c r="A39" s="823" t="str">
        <f>A7</f>
        <v>Auxiliar Administrativo - Classe I - 150</v>
      </c>
      <c r="B39" s="823"/>
      <c r="C39" s="823"/>
      <c r="D39" s="823"/>
      <c r="E39" s="823"/>
      <c r="F39" s="253">
        <f>ROUND(F32/(1-D38),2)</f>
        <v>4664.57</v>
      </c>
      <c r="G39" s="616">
        <f>ROUND($G$32/(1-$D$38),2)</f>
        <v>0</v>
      </c>
      <c r="H39" s="254">
        <f>ROUND(H32/(1-D38),2)</f>
        <v>0</v>
      </c>
      <c r="I39" s="255">
        <f>ROUND(I32/(1-D38),2)</f>
        <v>521.95000000000005</v>
      </c>
      <c r="J39" s="35"/>
      <c r="K39" s="35"/>
      <c r="L39" s="35"/>
      <c r="M39" s="35"/>
      <c r="N39" s="35"/>
    </row>
    <row r="40" spans="1:14" ht="30" customHeight="1" thickBot="1" x14ac:dyDescent="0.25">
      <c r="A40" s="824" t="str">
        <f>A7</f>
        <v>Auxiliar Administrativo - Classe I - 150</v>
      </c>
      <c r="B40" s="824"/>
      <c r="C40" s="824"/>
      <c r="D40" s="824"/>
      <c r="E40" s="824"/>
      <c r="F40" s="71">
        <f>F39</f>
        <v>4664.57</v>
      </c>
      <c r="G40" s="617">
        <f>$G$39</f>
        <v>0</v>
      </c>
      <c r="H40" s="72">
        <f>H39</f>
        <v>0</v>
      </c>
      <c r="I40" s="73">
        <f>I39</f>
        <v>521.95000000000005</v>
      </c>
      <c r="J40" s="35"/>
      <c r="K40" s="35"/>
      <c r="L40" s="35"/>
      <c r="M40" s="35"/>
      <c r="N40" s="35"/>
    </row>
    <row r="41" spans="1:14" ht="29.25" customHeight="1" thickBot="1" x14ac:dyDescent="0.25">
      <c r="A41" s="819" t="s">
        <v>174</v>
      </c>
      <c r="B41" s="819"/>
      <c r="C41" s="819"/>
      <c r="D41" s="819"/>
      <c r="E41" s="819"/>
      <c r="F41" s="74">
        <f>($F$40/$F$12)/100</f>
        <v>2.7040985507246377E-2</v>
      </c>
      <c r="G41" s="618"/>
      <c r="H41" s="75"/>
      <c r="I41" s="76"/>
      <c r="J41" s="35"/>
      <c r="K41" s="35"/>
      <c r="L41" s="35"/>
      <c r="M41" s="35"/>
      <c r="N41" s="35"/>
    </row>
    <row r="42" spans="1:14" ht="24" customHeight="1" x14ac:dyDescent="0.2">
      <c r="A42" s="35"/>
      <c r="B42" s="35"/>
      <c r="C42" s="35"/>
      <c r="D42" s="35"/>
      <c r="E42" s="35"/>
      <c r="F42" s="77"/>
      <c r="G42" s="77"/>
      <c r="H42" s="77"/>
      <c r="I42" s="35"/>
      <c r="J42" s="35"/>
      <c r="K42" s="35"/>
      <c r="L42" s="35"/>
      <c r="M42" s="35"/>
      <c r="N42" s="35"/>
    </row>
    <row r="43" spans="1:14" x14ac:dyDescent="0.2">
      <c r="A43" s="35"/>
      <c r="B43" s="35"/>
      <c r="C43" s="35"/>
      <c r="D43" s="35"/>
      <c r="E43" s="35"/>
      <c r="F43" s="77"/>
      <c r="G43" s="77"/>
      <c r="H43" s="77"/>
      <c r="I43" s="35"/>
      <c r="J43" s="35"/>
      <c r="K43" s="35"/>
      <c r="L43" s="35"/>
      <c r="M43" s="35"/>
      <c r="N43" s="35"/>
    </row>
    <row r="44" spans="1:14" x14ac:dyDescent="0.2">
      <c r="A44" s="35"/>
      <c r="B44" s="35"/>
      <c r="C44" s="35"/>
      <c r="D44" s="35"/>
      <c r="E44" s="35"/>
      <c r="F44" s="77"/>
      <c r="G44" s="77"/>
      <c r="H44" s="77"/>
      <c r="I44" s="35"/>
      <c r="J44" s="35"/>
      <c r="K44" s="35"/>
      <c r="L44" s="35"/>
      <c r="M44" s="35"/>
      <c r="N44" s="35"/>
    </row>
    <row r="45" spans="1:14" x14ac:dyDescent="0.2">
      <c r="A45" s="35"/>
      <c r="B45" s="35"/>
      <c r="C45" s="35"/>
      <c r="D45" s="35"/>
      <c r="E45" s="35"/>
      <c r="F45" s="77"/>
      <c r="G45" s="77"/>
      <c r="H45" s="77"/>
      <c r="I45" s="35"/>
      <c r="J45" s="35"/>
      <c r="K45" s="35"/>
      <c r="L45" s="35"/>
      <c r="M45" s="35"/>
      <c r="N45" s="35"/>
    </row>
  </sheetData>
  <sheetProtection algorithmName="SHA-512" hashValue="Qn4u9hARk+xrUqjXRHl2R/qQLzKrs5Z9+iuf9D3qJppzCabf4tNleJr9zjuNBnaJMztJy93OQ3cPfqW2zq5JEw==" saltValue="Cx4CbWbUt3WyUkRyF0FT/Q==" spinCount="100000" sheet="1" objects="1" scenarios="1"/>
  <mergeCells count="39">
    <mergeCell ref="A4:I4"/>
    <mergeCell ref="A6:I6"/>
    <mergeCell ref="F7:F8"/>
    <mergeCell ref="H7:H8"/>
    <mergeCell ref="I7:I8"/>
    <mergeCell ref="A8:D8"/>
    <mergeCell ref="A5:I5"/>
    <mergeCell ref="A7:E7"/>
    <mergeCell ref="G7:G8"/>
    <mergeCell ref="B9:C9"/>
    <mergeCell ref="F9:I9"/>
    <mergeCell ref="A10:A13"/>
    <mergeCell ref="B10:C10"/>
    <mergeCell ref="B12:E12"/>
    <mergeCell ref="B13:D13"/>
    <mergeCell ref="B11:C11"/>
    <mergeCell ref="A14:E14"/>
    <mergeCell ref="A15:I15"/>
    <mergeCell ref="A16:B16"/>
    <mergeCell ref="D16:I16"/>
    <mergeCell ref="A17:B17"/>
    <mergeCell ref="A18:B18"/>
    <mergeCell ref="A19:B19"/>
    <mergeCell ref="A20:B20"/>
    <mergeCell ref="A21:B21"/>
    <mergeCell ref="A24:E24"/>
    <mergeCell ref="A22:B22"/>
    <mergeCell ref="A23:B23"/>
    <mergeCell ref="A25:E25"/>
    <mergeCell ref="A26:I26"/>
    <mergeCell ref="A27:C27"/>
    <mergeCell ref="D27:E27"/>
    <mergeCell ref="F27:I27"/>
    <mergeCell ref="A41:E41"/>
    <mergeCell ref="A29:C29"/>
    <mergeCell ref="A32:E32"/>
    <mergeCell ref="A33:I33"/>
    <mergeCell ref="A39:E39"/>
    <mergeCell ref="A40:E40"/>
  </mergeCells>
  <pageMargins left="0.39374999999999999" right="0" top="0.39374999999999999" bottom="0" header="0.51180555555555496" footer="0.51180555555555496"/>
  <pageSetup paperSize="9" scale="75" orientation="portrait" horizontalDpi="300" verticalDpi="300"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Template/>
  <TotalTime>441</TotalTime>
  <Application>Microsoft Excel</Application>
  <DocSecurity>0</DocSecurity>
  <ScaleCrop>false</ScaleCrop>
  <HeadingPairs>
    <vt:vector size="4" baseType="variant">
      <vt:variant>
        <vt:lpstr>Planilhas</vt:lpstr>
      </vt:variant>
      <vt:variant>
        <vt:i4>19</vt:i4>
      </vt:variant>
      <vt:variant>
        <vt:lpstr>Intervalos nomeados</vt:lpstr>
      </vt:variant>
      <vt:variant>
        <vt:i4>3</vt:i4>
      </vt:variant>
    </vt:vector>
  </HeadingPairs>
  <TitlesOfParts>
    <vt:vector size="22" baseType="lpstr">
      <vt:lpstr>Ocorrências Mensais - FAT</vt:lpstr>
      <vt:lpstr>INSTRUÇÕES</vt:lpstr>
      <vt:lpstr>Resumo</vt:lpstr>
      <vt:lpstr>Dados</vt:lpstr>
      <vt:lpstr>Encargos</vt:lpstr>
      <vt:lpstr>Uniforme</vt:lpstr>
      <vt:lpstr>Ascensorista 150</vt:lpstr>
      <vt:lpstr>Atendente 200</vt:lpstr>
      <vt:lpstr>Aux Admin I 150</vt:lpstr>
      <vt:lpstr>Aux. Almoxarifado 200</vt:lpstr>
      <vt:lpstr>Aux Admin II 200</vt:lpstr>
      <vt:lpstr>Aux Admin III 150</vt:lpstr>
      <vt:lpstr>Assistente Financeiro 200</vt:lpstr>
      <vt:lpstr>Aux Admin IV 200</vt:lpstr>
      <vt:lpstr>Encarregado Geral 220</vt:lpstr>
      <vt:lpstr>Op. Ed. Audio e Video 150</vt:lpstr>
      <vt:lpstr>Recepcionista 220</vt:lpstr>
      <vt:lpstr>Custo Estimativo Substituto</vt:lpstr>
      <vt:lpstr>IPCA</vt:lpstr>
      <vt:lpstr>Dados!Area_de_impressao</vt:lpstr>
      <vt:lpstr>Resumo!Area_de_impressao</vt:lpstr>
      <vt:lpstr>Uniforme!Area_de_impressao</vt:lpstr>
    </vt:vector>
  </TitlesOfParts>
  <Company>JFMG_x005f_x0000__x005f_x0000__x005f_x0000_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MG6403</dc:creator>
  <dc:description/>
  <cp:lastModifiedBy>Eva</cp:lastModifiedBy>
  <cp:revision>80</cp:revision>
  <cp:lastPrinted>2023-07-10T20:49:50Z</cp:lastPrinted>
  <dcterms:created xsi:type="dcterms:W3CDTF">2001-07-31T19:00:38Z</dcterms:created>
  <dcterms:modified xsi:type="dcterms:W3CDTF">2023-07-21T14:50:09Z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