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Downloads\"/>
    </mc:Choice>
  </mc:AlternateContent>
  <xr:revisionPtr revIDLastSave="0" documentId="13_ncr:1_{7E16A395-8363-41E6-B6F8-D4952FEF0F31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Ocorrências Mensais - FAT" sheetId="1" state="hidden" r:id="rId1"/>
    <sheet name="INSTRUÇÕES" sheetId="2" r:id="rId2"/>
    <sheet name="Resumo" sheetId="3" r:id="rId3"/>
    <sheet name="Dados" sheetId="4" r:id="rId4"/>
    <sheet name="Encargos" sheetId="5" r:id="rId5"/>
    <sheet name="Uniforme" sheetId="6" r:id="rId6"/>
    <sheet name="Ascensorista 150" sheetId="7" r:id="rId7"/>
    <sheet name="Atendente 200" sheetId="8" r:id="rId8"/>
    <sheet name="Aux Admin I 150" sheetId="9" r:id="rId9"/>
    <sheet name="Aux. Almoxarifado 200" sheetId="10" r:id="rId10"/>
    <sheet name="Aux Admin II 200" sheetId="11" r:id="rId11"/>
    <sheet name="Aux Admin III 150" sheetId="12" r:id="rId12"/>
    <sheet name="Assistente Financeiro 200" sheetId="13" r:id="rId13"/>
    <sheet name="Aux Admin IV 200" sheetId="14" r:id="rId14"/>
    <sheet name="Encarregado Geral 220" sheetId="15" r:id="rId15"/>
    <sheet name="Op. Ed. Audio e Video 150" sheetId="16" r:id="rId16"/>
    <sheet name="Recepcionista 220" sheetId="17" r:id="rId17"/>
    <sheet name="Custo Estimativo Substituto" sheetId="18" r:id="rId18"/>
    <sheet name="IPCA" sheetId="19" r:id="rId19"/>
  </sheets>
  <definedNames>
    <definedName name="_xlnm._FilterDatabase" localSheetId="16" hidden="1">'Recepcionista 220'!$A$1:$I$41</definedName>
    <definedName name="_xlnm.Print_Area" localSheetId="3">Dados!$A$1:$L$62</definedName>
    <definedName name="_xlnm.Print_Area" localSheetId="2">Resumo!$A$1:$U$23</definedName>
    <definedName name="_xlnm.Print_Area" localSheetId="5">Uniforme!$A$1:$F$65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18" i="19" l="1"/>
  <c r="AH18" i="19" s="1"/>
  <c r="Z18" i="19"/>
  <c r="AA18" i="19" s="1"/>
  <c r="S18" i="19"/>
  <c r="T18" i="19" s="1"/>
  <c r="L18" i="19"/>
  <c r="M18" i="19" s="1"/>
  <c r="J18" i="19"/>
  <c r="I18" i="19"/>
  <c r="P18" i="19" s="1"/>
  <c r="W18" i="19" s="1"/>
  <c r="AD18" i="19" s="1"/>
  <c r="F18" i="19"/>
  <c r="AH17" i="19"/>
  <c r="AA17" i="19"/>
  <c r="T17" i="19"/>
  <c r="M17" i="19"/>
  <c r="J17" i="19"/>
  <c r="I17" i="19"/>
  <c r="P17" i="19" s="1"/>
  <c r="W17" i="19" s="1"/>
  <c r="AD17" i="19" s="1"/>
  <c r="F17" i="19"/>
  <c r="AH16" i="19"/>
  <c r="AA16" i="19"/>
  <c r="T16" i="19"/>
  <c r="M16" i="19"/>
  <c r="J16" i="19"/>
  <c r="I16" i="19"/>
  <c r="P16" i="19" s="1"/>
  <c r="W16" i="19" s="1"/>
  <c r="AD16" i="19" s="1"/>
  <c r="F16" i="19"/>
  <c r="AH15" i="19"/>
  <c r="AA15" i="19"/>
  <c r="T15" i="19"/>
  <c r="M15" i="19"/>
  <c r="J15" i="19"/>
  <c r="I15" i="19"/>
  <c r="P15" i="19" s="1"/>
  <c r="W15" i="19" s="1"/>
  <c r="AD15" i="19" s="1"/>
  <c r="F15" i="19"/>
  <c r="AH14" i="19"/>
  <c r="AA14" i="19"/>
  <c r="T14" i="19"/>
  <c r="M14" i="19"/>
  <c r="J14" i="19"/>
  <c r="I14" i="19"/>
  <c r="P14" i="19" s="1"/>
  <c r="W14" i="19" s="1"/>
  <c r="AD14" i="19" s="1"/>
  <c r="F14" i="19"/>
  <c r="AH13" i="19"/>
  <c r="AA13" i="19"/>
  <c r="T13" i="19"/>
  <c r="M13" i="19"/>
  <c r="J13" i="19"/>
  <c r="I13" i="19"/>
  <c r="P13" i="19" s="1"/>
  <c r="W13" i="19" s="1"/>
  <c r="AD13" i="19" s="1"/>
  <c r="F13" i="19"/>
  <c r="AH12" i="19"/>
  <c r="AA12" i="19"/>
  <c r="T12" i="19"/>
  <c r="M12" i="19"/>
  <c r="J12" i="19"/>
  <c r="I12" i="19"/>
  <c r="P12" i="19" s="1"/>
  <c r="W12" i="19" s="1"/>
  <c r="AD12" i="19" s="1"/>
  <c r="F12" i="19"/>
  <c r="AH11" i="19"/>
  <c r="AA11" i="19"/>
  <c r="T11" i="19"/>
  <c r="M11" i="19"/>
  <c r="J11" i="19"/>
  <c r="I11" i="19"/>
  <c r="P11" i="19" s="1"/>
  <c r="W11" i="19" s="1"/>
  <c r="AD11" i="19" s="1"/>
  <c r="F11" i="19"/>
  <c r="AH10" i="19"/>
  <c r="AA10" i="19"/>
  <c r="T10" i="19"/>
  <c r="M10" i="19"/>
  <c r="J10" i="19"/>
  <c r="I10" i="19"/>
  <c r="P10" i="19" s="1"/>
  <c r="W10" i="19" s="1"/>
  <c r="AD10" i="19" s="1"/>
  <c r="F10" i="19"/>
  <c r="AH9" i="19"/>
  <c r="AA9" i="19"/>
  <c r="T9" i="19"/>
  <c r="M9" i="19"/>
  <c r="J9" i="19"/>
  <c r="I9" i="19"/>
  <c r="P9" i="19" s="1"/>
  <c r="W9" i="19" s="1"/>
  <c r="AD9" i="19" s="1"/>
  <c r="F9" i="19"/>
  <c r="AH8" i="19"/>
  <c r="AA8" i="19"/>
  <c r="T8" i="19"/>
  <c r="M8" i="19"/>
  <c r="J8" i="19"/>
  <c r="I8" i="19"/>
  <c r="P8" i="19" s="1"/>
  <c r="W8" i="19" s="1"/>
  <c r="AD8" i="19" s="1"/>
  <c r="F8" i="19"/>
  <c r="AH7" i="19"/>
  <c r="AA7" i="19"/>
  <c r="T7" i="19"/>
  <c r="M7" i="19"/>
  <c r="J7" i="19"/>
  <c r="I7" i="19"/>
  <c r="P7" i="19" s="1"/>
  <c r="W7" i="19" s="1"/>
  <c r="AD7" i="19" s="1"/>
  <c r="F7" i="19"/>
  <c r="AG6" i="19"/>
  <c r="AH6" i="19" s="1"/>
  <c r="AI6" i="19" s="1"/>
  <c r="Z6" i="19"/>
  <c r="AA6" i="19" s="1"/>
  <c r="AB6" i="19" s="1"/>
  <c r="S6" i="19"/>
  <c r="T6" i="19" s="1"/>
  <c r="U6" i="19" s="1"/>
  <c r="U7" i="19" s="1"/>
  <c r="U8" i="19" s="1"/>
  <c r="U9" i="19" s="1"/>
  <c r="L6" i="19"/>
  <c r="M6" i="19" s="1"/>
  <c r="N6" i="19" s="1"/>
  <c r="N7" i="19" s="1"/>
  <c r="N8" i="19" s="1"/>
  <c r="J6" i="19"/>
  <c r="I6" i="19"/>
  <c r="P6" i="19" s="1"/>
  <c r="W6" i="19" s="1"/>
  <c r="AD6" i="19" s="1"/>
  <c r="F6" i="19"/>
  <c r="G6" i="19" s="1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E24" i="18"/>
  <c r="B24" i="18"/>
  <c r="E23" i="18"/>
  <c r="E21" i="18"/>
  <c r="E20" i="18" s="1"/>
  <c r="E19" i="18"/>
  <c r="E18" i="18"/>
  <c r="P5" i="18"/>
  <c r="O5" i="18"/>
  <c r="N5" i="18"/>
  <c r="M5" i="18"/>
  <c r="L5" i="18"/>
  <c r="K5" i="18"/>
  <c r="J5" i="18"/>
  <c r="I5" i="18"/>
  <c r="H5" i="18"/>
  <c r="G5" i="18"/>
  <c r="F5" i="18"/>
  <c r="D37" i="17"/>
  <c r="A37" i="17"/>
  <c r="D36" i="17"/>
  <c r="D35" i="17"/>
  <c r="D34" i="17"/>
  <c r="D31" i="17"/>
  <c r="D30" i="17"/>
  <c r="D28" i="17"/>
  <c r="H24" i="17"/>
  <c r="F23" i="17"/>
  <c r="D23" i="17"/>
  <c r="A23" i="17"/>
  <c r="D22" i="17"/>
  <c r="F22" i="17" s="1"/>
  <c r="A22" i="17"/>
  <c r="E21" i="17"/>
  <c r="D21" i="17"/>
  <c r="C21" i="17"/>
  <c r="E20" i="17"/>
  <c r="D20" i="17"/>
  <c r="C20" i="17"/>
  <c r="F19" i="17"/>
  <c r="F18" i="17"/>
  <c r="E10" i="17"/>
  <c r="F10" i="17" s="1"/>
  <c r="F12" i="17" s="1"/>
  <c r="D10" i="17"/>
  <c r="F11" i="17" s="1"/>
  <c r="D37" i="16"/>
  <c r="A37" i="16"/>
  <c r="D36" i="16"/>
  <c r="D35" i="16"/>
  <c r="D34" i="16"/>
  <c r="D30" i="16"/>
  <c r="D28" i="16"/>
  <c r="D31" i="16" s="1"/>
  <c r="H25" i="16"/>
  <c r="H24" i="16"/>
  <c r="D23" i="16"/>
  <c r="F23" i="16" s="1"/>
  <c r="A23" i="16"/>
  <c r="D22" i="16"/>
  <c r="F22" i="16" s="1"/>
  <c r="A22" i="16"/>
  <c r="E21" i="16"/>
  <c r="D21" i="16"/>
  <c r="C21" i="16"/>
  <c r="E20" i="16"/>
  <c r="D20" i="16"/>
  <c r="C20" i="16"/>
  <c r="F19" i="16"/>
  <c r="F18" i="16"/>
  <c r="E10" i="16"/>
  <c r="D10" i="16"/>
  <c r="F11" i="16" s="1"/>
  <c r="D37" i="15"/>
  <c r="A37" i="15"/>
  <c r="D36" i="15"/>
  <c r="D35" i="15"/>
  <c r="D38" i="15" s="1"/>
  <c r="D34" i="15"/>
  <c r="D30" i="15"/>
  <c r="D28" i="15"/>
  <c r="H24" i="15"/>
  <c r="F23" i="15"/>
  <c r="D23" i="15"/>
  <c r="A23" i="15"/>
  <c r="D22" i="15"/>
  <c r="F22" i="15" s="1"/>
  <c r="A22" i="15"/>
  <c r="E21" i="15"/>
  <c r="D21" i="15"/>
  <c r="C21" i="15"/>
  <c r="E20" i="15"/>
  <c r="D20" i="15"/>
  <c r="C20" i="15"/>
  <c r="F19" i="15"/>
  <c r="F18" i="15"/>
  <c r="E10" i="15"/>
  <c r="D10" i="15"/>
  <c r="D37" i="14"/>
  <c r="A37" i="14"/>
  <c r="D36" i="14"/>
  <c r="D35" i="14"/>
  <c r="D34" i="14"/>
  <c r="D38" i="14" s="1"/>
  <c r="D30" i="14"/>
  <c r="D28" i="14"/>
  <c r="H24" i="14"/>
  <c r="D23" i="14"/>
  <c r="F23" i="14" s="1"/>
  <c r="A23" i="14"/>
  <c r="D22" i="14"/>
  <c r="F22" i="14" s="1"/>
  <c r="A22" i="14"/>
  <c r="F21" i="14"/>
  <c r="E21" i="14"/>
  <c r="D21" i="14"/>
  <c r="C21" i="14"/>
  <c r="E20" i="14"/>
  <c r="D20" i="14"/>
  <c r="C20" i="14"/>
  <c r="F19" i="14"/>
  <c r="F18" i="14"/>
  <c r="F11" i="14"/>
  <c r="E10" i="14"/>
  <c r="F10" i="14" s="1"/>
  <c r="F12" i="14" s="1"/>
  <c r="D10" i="14"/>
  <c r="D37" i="13"/>
  <c r="A37" i="13"/>
  <c r="D36" i="13"/>
  <c r="D35" i="13"/>
  <c r="D34" i="13"/>
  <c r="D30" i="13"/>
  <c r="D31" i="13" s="1"/>
  <c r="D28" i="13"/>
  <c r="H24" i="13"/>
  <c r="D23" i="13"/>
  <c r="F23" i="13" s="1"/>
  <c r="A23" i="13"/>
  <c r="D22" i="13"/>
  <c r="F22" i="13" s="1"/>
  <c r="A22" i="13"/>
  <c r="E21" i="13"/>
  <c r="D21" i="13"/>
  <c r="C21" i="13"/>
  <c r="E20" i="13"/>
  <c r="D20" i="13"/>
  <c r="C20" i="13"/>
  <c r="F19" i="13"/>
  <c r="F18" i="13"/>
  <c r="E10" i="13"/>
  <c r="D10" i="13"/>
  <c r="D37" i="12"/>
  <c r="A37" i="12"/>
  <c r="D36" i="12"/>
  <c r="D35" i="12"/>
  <c r="D34" i="12"/>
  <c r="D30" i="12"/>
  <c r="D28" i="12"/>
  <c r="D31" i="12" s="1"/>
  <c r="H24" i="12"/>
  <c r="D23" i="12"/>
  <c r="F23" i="12" s="1"/>
  <c r="A23" i="12"/>
  <c r="F22" i="12"/>
  <c r="D22" i="12"/>
  <c r="A22" i="12"/>
  <c r="E21" i="12"/>
  <c r="D21" i="12"/>
  <c r="C21" i="12"/>
  <c r="E20" i="12"/>
  <c r="D20" i="12"/>
  <c r="C20" i="12"/>
  <c r="F19" i="12"/>
  <c r="F18" i="12"/>
  <c r="F11" i="12"/>
  <c r="E10" i="12"/>
  <c r="F10" i="12" s="1"/>
  <c r="D10" i="12"/>
  <c r="F20" i="12" s="1"/>
  <c r="K13" i="18" s="1"/>
  <c r="A7" i="12"/>
  <c r="A39" i="12" s="1"/>
  <c r="D38" i="11"/>
  <c r="D37" i="11"/>
  <c r="A37" i="11"/>
  <c r="D36" i="11"/>
  <c r="D35" i="11"/>
  <c r="D34" i="11"/>
  <c r="D30" i="11"/>
  <c r="D28" i="11"/>
  <c r="D31" i="11" s="1"/>
  <c r="H24" i="11"/>
  <c r="H25" i="11" s="1"/>
  <c r="F23" i="11"/>
  <c r="D23" i="11"/>
  <c r="A23" i="11"/>
  <c r="D22" i="11"/>
  <c r="F22" i="11" s="1"/>
  <c r="A22" i="11"/>
  <c r="E21" i="11"/>
  <c r="D21" i="11"/>
  <c r="C21" i="11"/>
  <c r="E20" i="11"/>
  <c r="D20" i="11"/>
  <c r="C20" i="11"/>
  <c r="F19" i="11"/>
  <c r="F18" i="11"/>
  <c r="E10" i="11"/>
  <c r="D10" i="11"/>
  <c r="F10" i="11" s="1"/>
  <c r="D37" i="10"/>
  <c r="A37" i="10"/>
  <c r="D36" i="10"/>
  <c r="D35" i="10"/>
  <c r="D34" i="10"/>
  <c r="D30" i="10"/>
  <c r="D28" i="10"/>
  <c r="D31" i="10" s="1"/>
  <c r="H24" i="10"/>
  <c r="D23" i="10"/>
  <c r="F23" i="10" s="1"/>
  <c r="A23" i="10"/>
  <c r="D22" i="10"/>
  <c r="F22" i="10" s="1"/>
  <c r="A22" i="10"/>
  <c r="E21" i="10"/>
  <c r="D21" i="10"/>
  <c r="C21" i="10"/>
  <c r="E20" i="10"/>
  <c r="D20" i="10"/>
  <c r="C20" i="10"/>
  <c r="F19" i="10"/>
  <c r="F18" i="10"/>
  <c r="E10" i="10"/>
  <c r="D10" i="10"/>
  <c r="F11" i="10" s="1"/>
  <c r="D37" i="9"/>
  <c r="A37" i="9"/>
  <c r="D36" i="9"/>
  <c r="D35" i="9"/>
  <c r="D38" i="9" s="1"/>
  <c r="D34" i="9"/>
  <c r="D30" i="9"/>
  <c r="D31" i="9" s="1"/>
  <c r="D28" i="9"/>
  <c r="H24" i="9"/>
  <c r="D23" i="9"/>
  <c r="F23" i="9" s="1"/>
  <c r="A23" i="9"/>
  <c r="F22" i="9"/>
  <c r="D22" i="9"/>
  <c r="A22" i="9"/>
  <c r="E21" i="9"/>
  <c r="D21" i="9"/>
  <c r="C21" i="9"/>
  <c r="E20" i="9"/>
  <c r="D20" i="9"/>
  <c r="C20" i="9"/>
  <c r="F19" i="9"/>
  <c r="F18" i="9"/>
  <c r="E10" i="9"/>
  <c r="F10" i="9" s="1"/>
  <c r="D10" i="9"/>
  <c r="F20" i="9" s="1"/>
  <c r="D37" i="8"/>
  <c r="A37" i="8"/>
  <c r="D36" i="8"/>
  <c r="D35" i="8"/>
  <c r="D34" i="8"/>
  <c r="D30" i="8"/>
  <c r="D28" i="8"/>
  <c r="H24" i="8"/>
  <c r="F23" i="8"/>
  <c r="D23" i="8"/>
  <c r="A23" i="8"/>
  <c r="D22" i="8"/>
  <c r="F22" i="8" s="1"/>
  <c r="A22" i="8"/>
  <c r="E21" i="8"/>
  <c r="D21" i="8"/>
  <c r="C21" i="8"/>
  <c r="E20" i="8"/>
  <c r="D20" i="8"/>
  <c r="C20" i="8"/>
  <c r="F19" i="8"/>
  <c r="F18" i="8"/>
  <c r="D10" i="8"/>
  <c r="F11" i="8" s="1"/>
  <c r="D37" i="7"/>
  <c r="A37" i="7"/>
  <c r="D36" i="7"/>
  <c r="D35" i="7"/>
  <c r="D34" i="7"/>
  <c r="D30" i="7"/>
  <c r="D28" i="7"/>
  <c r="D31" i="7" s="1"/>
  <c r="H25" i="7"/>
  <c r="H24" i="7"/>
  <c r="D23" i="7"/>
  <c r="F23" i="7" s="1"/>
  <c r="A23" i="7"/>
  <c r="F22" i="7"/>
  <c r="D22" i="7"/>
  <c r="A22" i="7"/>
  <c r="E21" i="7"/>
  <c r="D21" i="7"/>
  <c r="C21" i="7"/>
  <c r="E20" i="7"/>
  <c r="D20" i="7"/>
  <c r="C20" i="7"/>
  <c r="F19" i="7"/>
  <c r="F18" i="7"/>
  <c r="E10" i="7"/>
  <c r="F10" i="7" s="1"/>
  <c r="D10" i="7"/>
  <c r="F20" i="7" s="1"/>
  <c r="P63" i="6"/>
  <c r="K63" i="6"/>
  <c r="L63" i="6" s="1"/>
  <c r="M63" i="6" s="1"/>
  <c r="N63" i="6" s="1"/>
  <c r="O63" i="6" s="1"/>
  <c r="P62" i="6"/>
  <c r="K62" i="6"/>
  <c r="L62" i="6" s="1"/>
  <c r="M62" i="6" s="1"/>
  <c r="N62" i="6" s="1"/>
  <c r="O62" i="6" s="1"/>
  <c r="P61" i="6"/>
  <c r="L61" i="6"/>
  <c r="M61" i="6" s="1"/>
  <c r="N61" i="6" s="1"/>
  <c r="O61" i="6" s="1"/>
  <c r="K61" i="6"/>
  <c r="P60" i="6"/>
  <c r="L60" i="6"/>
  <c r="M60" i="6" s="1"/>
  <c r="N60" i="6" s="1"/>
  <c r="O60" i="6" s="1"/>
  <c r="K60" i="6"/>
  <c r="P56" i="6"/>
  <c r="K56" i="6"/>
  <c r="L56" i="6" s="1"/>
  <c r="M56" i="6" s="1"/>
  <c r="N56" i="6" s="1"/>
  <c r="O56" i="6" s="1"/>
  <c r="P55" i="6"/>
  <c r="K55" i="6"/>
  <c r="L55" i="6" s="1"/>
  <c r="M55" i="6" s="1"/>
  <c r="N55" i="6" s="1"/>
  <c r="O55" i="6" s="1"/>
  <c r="P54" i="6"/>
  <c r="K54" i="6"/>
  <c r="L54" i="6" s="1"/>
  <c r="M54" i="6" s="1"/>
  <c r="N54" i="6" s="1"/>
  <c r="O54" i="6" s="1"/>
  <c r="P53" i="6"/>
  <c r="K53" i="6"/>
  <c r="L53" i="6" s="1"/>
  <c r="M53" i="6" s="1"/>
  <c r="N53" i="6" s="1"/>
  <c r="O53" i="6" s="1"/>
  <c r="P52" i="6"/>
  <c r="O52" i="6"/>
  <c r="K52" i="6"/>
  <c r="L52" i="6" s="1"/>
  <c r="M52" i="6" s="1"/>
  <c r="N52" i="6" s="1"/>
  <c r="P48" i="6"/>
  <c r="L48" i="6"/>
  <c r="M48" i="6" s="1"/>
  <c r="N48" i="6" s="1"/>
  <c r="O48" i="6" s="1"/>
  <c r="K48" i="6"/>
  <c r="P47" i="6"/>
  <c r="K47" i="6"/>
  <c r="L47" i="6" s="1"/>
  <c r="M47" i="6" s="1"/>
  <c r="N47" i="6" s="1"/>
  <c r="O47" i="6" s="1"/>
  <c r="P46" i="6"/>
  <c r="K46" i="6"/>
  <c r="L46" i="6" s="1"/>
  <c r="M46" i="6" s="1"/>
  <c r="N46" i="6" s="1"/>
  <c r="O46" i="6" s="1"/>
  <c r="P45" i="6"/>
  <c r="K45" i="6"/>
  <c r="L45" i="6" s="1"/>
  <c r="M45" i="6" s="1"/>
  <c r="N45" i="6" s="1"/>
  <c r="O45" i="6" s="1"/>
  <c r="P41" i="6"/>
  <c r="L41" i="6"/>
  <c r="M41" i="6" s="1"/>
  <c r="N41" i="6" s="1"/>
  <c r="O41" i="6" s="1"/>
  <c r="K41" i="6"/>
  <c r="P40" i="6"/>
  <c r="K40" i="6"/>
  <c r="L40" i="6" s="1"/>
  <c r="M40" i="6" s="1"/>
  <c r="N40" i="6" s="1"/>
  <c r="O40" i="6" s="1"/>
  <c r="P39" i="6"/>
  <c r="K39" i="6"/>
  <c r="L39" i="6" s="1"/>
  <c r="M39" i="6" s="1"/>
  <c r="N39" i="6" s="1"/>
  <c r="O39" i="6" s="1"/>
  <c r="P38" i="6"/>
  <c r="K38" i="6"/>
  <c r="L38" i="6" s="1"/>
  <c r="M38" i="6" s="1"/>
  <c r="N38" i="6" s="1"/>
  <c r="O38" i="6" s="1"/>
  <c r="P37" i="6"/>
  <c r="K37" i="6"/>
  <c r="L37" i="6" s="1"/>
  <c r="M37" i="6" s="1"/>
  <c r="N37" i="6" s="1"/>
  <c r="O37" i="6" s="1"/>
  <c r="P33" i="6"/>
  <c r="K33" i="6"/>
  <c r="L33" i="6" s="1"/>
  <c r="M33" i="6" s="1"/>
  <c r="N33" i="6" s="1"/>
  <c r="O33" i="6" s="1"/>
  <c r="P32" i="6"/>
  <c r="K32" i="6"/>
  <c r="L32" i="6" s="1"/>
  <c r="M32" i="6" s="1"/>
  <c r="N32" i="6" s="1"/>
  <c r="O32" i="6" s="1"/>
  <c r="P31" i="6"/>
  <c r="L31" i="6"/>
  <c r="M31" i="6" s="1"/>
  <c r="N31" i="6" s="1"/>
  <c r="O31" i="6" s="1"/>
  <c r="K31" i="6"/>
  <c r="P30" i="6"/>
  <c r="L30" i="6"/>
  <c r="M30" i="6" s="1"/>
  <c r="N30" i="6" s="1"/>
  <c r="O30" i="6" s="1"/>
  <c r="K30" i="6"/>
  <c r="P26" i="6"/>
  <c r="N26" i="6"/>
  <c r="O26" i="6" s="1"/>
  <c r="K26" i="6"/>
  <c r="L26" i="6" s="1"/>
  <c r="M26" i="6" s="1"/>
  <c r="P24" i="6"/>
  <c r="L24" i="6"/>
  <c r="M24" i="6" s="1"/>
  <c r="N24" i="6" s="1"/>
  <c r="O24" i="6" s="1"/>
  <c r="K24" i="6"/>
  <c r="P23" i="6"/>
  <c r="L23" i="6"/>
  <c r="M23" i="6" s="1"/>
  <c r="N23" i="6" s="1"/>
  <c r="O23" i="6" s="1"/>
  <c r="K23" i="6"/>
  <c r="P19" i="6"/>
  <c r="K19" i="6"/>
  <c r="L19" i="6" s="1"/>
  <c r="M19" i="6" s="1"/>
  <c r="N19" i="6" s="1"/>
  <c r="O19" i="6" s="1"/>
  <c r="P18" i="6"/>
  <c r="L18" i="6"/>
  <c r="M18" i="6" s="1"/>
  <c r="N18" i="6" s="1"/>
  <c r="O18" i="6" s="1"/>
  <c r="K18" i="6"/>
  <c r="P17" i="6"/>
  <c r="L17" i="6"/>
  <c r="M17" i="6" s="1"/>
  <c r="N17" i="6" s="1"/>
  <c r="O17" i="6" s="1"/>
  <c r="K17" i="6"/>
  <c r="P16" i="6"/>
  <c r="K16" i="6"/>
  <c r="L16" i="6" s="1"/>
  <c r="M16" i="6" s="1"/>
  <c r="N16" i="6" s="1"/>
  <c r="O16" i="6" s="1"/>
  <c r="P12" i="6"/>
  <c r="K12" i="6"/>
  <c r="L12" i="6" s="1"/>
  <c r="M12" i="6" s="1"/>
  <c r="N12" i="6" s="1"/>
  <c r="O12" i="6" s="1"/>
  <c r="P11" i="6"/>
  <c r="N11" i="6"/>
  <c r="O11" i="6" s="1"/>
  <c r="K11" i="6"/>
  <c r="L11" i="6" s="1"/>
  <c r="M11" i="6" s="1"/>
  <c r="P10" i="6"/>
  <c r="N10" i="6"/>
  <c r="O10" i="6" s="1"/>
  <c r="K10" i="6"/>
  <c r="L10" i="6" s="1"/>
  <c r="M10" i="6" s="1"/>
  <c r="P9" i="6"/>
  <c r="K9" i="6"/>
  <c r="L9" i="6" s="1"/>
  <c r="M9" i="6" s="1"/>
  <c r="N9" i="6" s="1"/>
  <c r="O9" i="6" s="1"/>
  <c r="P8" i="6"/>
  <c r="K8" i="6"/>
  <c r="L8" i="6" s="1"/>
  <c r="M8" i="6" s="1"/>
  <c r="N8" i="6" s="1"/>
  <c r="O8" i="6" s="1"/>
  <c r="P7" i="6"/>
  <c r="O7" i="6"/>
  <c r="K7" i="6"/>
  <c r="L7" i="6" s="1"/>
  <c r="M7" i="6" s="1"/>
  <c r="N7" i="6" s="1"/>
  <c r="H49" i="5"/>
  <c r="C47" i="5"/>
  <c r="C54" i="5" s="1"/>
  <c r="C41" i="5"/>
  <c r="C40" i="5"/>
  <c r="C39" i="5"/>
  <c r="C38" i="5"/>
  <c r="C37" i="5"/>
  <c r="C34" i="5"/>
  <c r="C32" i="5"/>
  <c r="C31" i="5"/>
  <c r="F55" i="5" s="1"/>
  <c r="G55" i="5" s="1"/>
  <c r="H55" i="5" s="1"/>
  <c r="C29" i="5"/>
  <c r="C30" i="5" s="1"/>
  <c r="C25" i="5"/>
  <c r="C19" i="5"/>
  <c r="F50" i="5" s="1"/>
  <c r="L74" i="4"/>
  <c r="G74" i="4"/>
  <c r="H74" i="4" s="1"/>
  <c r="I74" i="4" s="1"/>
  <c r="J74" i="4" s="1"/>
  <c r="K74" i="4" s="1"/>
  <c r="M69" i="4"/>
  <c r="F69" i="4"/>
  <c r="F68" i="4"/>
  <c r="M68" i="4" s="1"/>
  <c r="M67" i="4"/>
  <c r="F67" i="4"/>
  <c r="F66" i="4"/>
  <c r="M66" i="4" s="1"/>
  <c r="F65" i="4"/>
  <c r="M65" i="4" s="1"/>
  <c r="G62" i="4"/>
  <c r="B54" i="4"/>
  <c r="G30" i="4"/>
  <c r="C14" i="5" s="1"/>
  <c r="C16" i="5" s="1"/>
  <c r="F18" i="4"/>
  <c r="H18" i="4" s="1"/>
  <c r="P7" i="18" s="1"/>
  <c r="F17" i="4"/>
  <c r="H17" i="4" s="1"/>
  <c r="O7" i="18" s="1"/>
  <c r="F16" i="4"/>
  <c r="H16" i="4" s="1"/>
  <c r="N7" i="18" s="1"/>
  <c r="F15" i="4"/>
  <c r="H15" i="4" s="1"/>
  <c r="M7" i="18" s="1"/>
  <c r="F14" i="4"/>
  <c r="H14" i="4" s="1"/>
  <c r="L7" i="18" s="1"/>
  <c r="F13" i="4"/>
  <c r="H13" i="4" s="1"/>
  <c r="K7" i="18" s="1"/>
  <c r="F12" i="4"/>
  <c r="H12" i="4" s="1"/>
  <c r="J7" i="18" s="1"/>
  <c r="H11" i="4"/>
  <c r="I7" i="18" s="1"/>
  <c r="F11" i="4"/>
  <c r="F10" i="4"/>
  <c r="H10" i="4" s="1"/>
  <c r="H7" i="18" s="1"/>
  <c r="E9" i="4"/>
  <c r="F8" i="4"/>
  <c r="H8" i="4" s="1"/>
  <c r="F7" i="18" s="1"/>
  <c r="A5" i="4"/>
  <c r="Q21" i="3"/>
  <c r="N21" i="3"/>
  <c r="D21" i="3"/>
  <c r="C21" i="3"/>
  <c r="C24" i="1" s="1"/>
  <c r="B21" i="3"/>
  <c r="Q20" i="3"/>
  <c r="N20" i="3"/>
  <c r="D20" i="3"/>
  <c r="A56" i="6" s="1"/>
  <c r="C20" i="3"/>
  <c r="C23" i="1" s="1"/>
  <c r="B20" i="3"/>
  <c r="Q19" i="3"/>
  <c r="N19" i="3"/>
  <c r="D19" i="3"/>
  <c r="A48" i="6" s="1"/>
  <c r="D48" i="6" s="1"/>
  <c r="F48" i="6" s="1"/>
  <c r="C19" i="3"/>
  <c r="B19" i="3"/>
  <c r="B22" i="1" s="1"/>
  <c r="Q18" i="3"/>
  <c r="N18" i="3"/>
  <c r="D18" i="3"/>
  <c r="A41" i="6" s="1"/>
  <c r="C18" i="3"/>
  <c r="B18" i="3"/>
  <c r="Q17" i="3"/>
  <c r="N17" i="3"/>
  <c r="D17" i="3"/>
  <c r="C17" i="3"/>
  <c r="B17" i="3"/>
  <c r="B20" i="1" s="1"/>
  <c r="Q16" i="3"/>
  <c r="N16" i="3"/>
  <c r="D16" i="3"/>
  <c r="C16" i="3"/>
  <c r="C19" i="1" s="1"/>
  <c r="B16" i="3"/>
  <c r="B19" i="1" s="1"/>
  <c r="Q15" i="3"/>
  <c r="N15" i="3"/>
  <c r="D15" i="3"/>
  <c r="C15" i="3"/>
  <c r="B15" i="3"/>
  <c r="B18" i="1" s="1"/>
  <c r="Q14" i="3"/>
  <c r="N14" i="3"/>
  <c r="D14" i="3"/>
  <c r="C14" i="3"/>
  <c r="B14" i="3"/>
  <c r="Q13" i="3"/>
  <c r="N13" i="3"/>
  <c r="D13" i="3"/>
  <c r="C13" i="3"/>
  <c r="B13" i="3"/>
  <c r="Q12" i="3"/>
  <c r="N12" i="3"/>
  <c r="D12" i="3"/>
  <c r="A19" i="6" s="1"/>
  <c r="C12" i="3"/>
  <c r="B12" i="3"/>
  <c r="Q11" i="3"/>
  <c r="N11" i="3"/>
  <c r="D11" i="3"/>
  <c r="C11" i="3"/>
  <c r="B11" i="3"/>
  <c r="C45" i="1"/>
  <c r="C44" i="1"/>
  <c r="C43" i="1"/>
  <c r="C42" i="1"/>
  <c r="C41" i="1"/>
  <c r="C40" i="1"/>
  <c r="C39" i="1"/>
  <c r="F29" i="1" s="1"/>
  <c r="C34" i="1"/>
  <c r="R25" i="1"/>
  <c r="K24" i="1"/>
  <c r="K21" i="3" s="1"/>
  <c r="F24" i="1"/>
  <c r="H21" i="3" s="1"/>
  <c r="B24" i="1"/>
  <c r="A24" i="1"/>
  <c r="K23" i="1"/>
  <c r="K20" i="3" s="1"/>
  <c r="F23" i="1"/>
  <c r="H20" i="3" s="1"/>
  <c r="B23" i="1"/>
  <c r="A23" i="1"/>
  <c r="K22" i="1"/>
  <c r="K19" i="3" s="1"/>
  <c r="F22" i="1"/>
  <c r="H19" i="3" s="1"/>
  <c r="C22" i="1"/>
  <c r="A22" i="1"/>
  <c r="K21" i="1"/>
  <c r="K18" i="3" s="1"/>
  <c r="F21" i="1"/>
  <c r="H18" i="3" s="1"/>
  <c r="C21" i="1"/>
  <c r="B21" i="1"/>
  <c r="A21" i="1"/>
  <c r="K20" i="1"/>
  <c r="K17" i="3" s="1"/>
  <c r="F20" i="1"/>
  <c r="H17" i="3" s="1"/>
  <c r="C20" i="1"/>
  <c r="A20" i="1"/>
  <c r="K19" i="1"/>
  <c r="K16" i="3" s="1"/>
  <c r="F19" i="1"/>
  <c r="H16" i="3" s="1"/>
  <c r="A19" i="1"/>
  <c r="W18" i="1"/>
  <c r="V18" i="1"/>
  <c r="K18" i="1"/>
  <c r="K15" i="3" s="1"/>
  <c r="F18" i="1"/>
  <c r="H15" i="3" s="1"/>
  <c r="C18" i="1"/>
  <c r="A18" i="1"/>
  <c r="W17" i="1"/>
  <c r="V17" i="1"/>
  <c r="K17" i="1"/>
  <c r="K14" i="3" s="1"/>
  <c r="F17" i="1"/>
  <c r="H14" i="3" s="1"/>
  <c r="C17" i="1"/>
  <c r="B17" i="1"/>
  <c r="A17" i="1"/>
  <c r="W16" i="1"/>
  <c r="V16" i="1"/>
  <c r="K16" i="1"/>
  <c r="K13" i="3" s="1"/>
  <c r="F16" i="1"/>
  <c r="H13" i="3" s="1"/>
  <c r="C16" i="1"/>
  <c r="B16" i="1"/>
  <c r="A16" i="1"/>
  <c r="W15" i="1"/>
  <c r="V15" i="1"/>
  <c r="K15" i="1"/>
  <c r="K12" i="3" s="1"/>
  <c r="F15" i="1"/>
  <c r="H12" i="3" s="1"/>
  <c r="C15" i="1"/>
  <c r="B15" i="1"/>
  <c r="A15" i="1"/>
  <c r="K14" i="1"/>
  <c r="K11" i="3" s="1"/>
  <c r="F14" i="1"/>
  <c r="H11" i="3" s="1"/>
  <c r="C14" i="1"/>
  <c r="B14" i="1"/>
  <c r="A14" i="1"/>
  <c r="F8" i="1"/>
  <c r="E8" i="1"/>
  <c r="D41" i="6" l="1"/>
  <c r="F41" i="6" s="1"/>
  <c r="D40" i="6"/>
  <c r="F40" i="6" s="1"/>
  <c r="D37" i="6"/>
  <c r="F37" i="6" s="1"/>
  <c r="D39" i="6"/>
  <c r="F39" i="6" s="1"/>
  <c r="D38" i="6"/>
  <c r="F38" i="6" s="1"/>
  <c r="A7" i="8"/>
  <c r="A39" i="8" s="1"/>
  <c r="F20" i="14"/>
  <c r="A7" i="17"/>
  <c r="A39" i="17" s="1"/>
  <c r="N9" i="19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K22" i="3"/>
  <c r="F20" i="11"/>
  <c r="F20" i="17"/>
  <c r="P13" i="18" s="1"/>
  <c r="U10" i="19"/>
  <c r="U11" i="19" s="1"/>
  <c r="U12" i="19" s="1"/>
  <c r="U13" i="19" s="1"/>
  <c r="U14" i="19" s="1"/>
  <c r="U15" i="19" s="1"/>
  <c r="U16" i="19" s="1"/>
  <c r="U17" i="19" s="1"/>
  <c r="U18" i="19" s="1"/>
  <c r="U19" i="19" s="1"/>
  <c r="F10" i="10"/>
  <c r="F12" i="10" s="1"/>
  <c r="F21" i="10"/>
  <c r="H14" i="18" s="1"/>
  <c r="H28" i="11"/>
  <c r="F10" i="16"/>
  <c r="F12" i="16" s="1"/>
  <c r="F21" i="17"/>
  <c r="AB7" i="19"/>
  <c r="AB8" i="19" s="1"/>
  <c r="AB9" i="19" s="1"/>
  <c r="AB10" i="19" s="1"/>
  <c r="AB11" i="19" s="1"/>
  <c r="AB12" i="19" s="1"/>
  <c r="AB13" i="19" s="1"/>
  <c r="AB14" i="19" s="1"/>
  <c r="AB15" i="19" s="1"/>
  <c r="AB16" i="19" s="1"/>
  <c r="AB17" i="19" s="1"/>
  <c r="AB18" i="19" s="1"/>
  <c r="AB19" i="19" s="1"/>
  <c r="D38" i="7"/>
  <c r="F11" i="11"/>
  <c r="F12" i="11" s="1"/>
  <c r="H26" i="11"/>
  <c r="D38" i="12"/>
  <c r="D31" i="14"/>
  <c r="AI7" i="19"/>
  <c r="AI8" i="19" s="1"/>
  <c r="AI9" i="19" s="1"/>
  <c r="AI10" i="19" s="1"/>
  <c r="AI11" i="19" s="1"/>
  <c r="AI12" i="19" s="1"/>
  <c r="AI13" i="19" s="1"/>
  <c r="AI14" i="19" s="1"/>
  <c r="AI15" i="19" s="1"/>
  <c r="AI16" i="19" s="1"/>
  <c r="AI17" i="19" s="1"/>
  <c r="AI18" i="19" s="1"/>
  <c r="AI19" i="19" s="1"/>
  <c r="D38" i="8"/>
  <c r="D38" i="13"/>
  <c r="D22" i="3"/>
  <c r="B10" i="12"/>
  <c r="D38" i="17"/>
  <c r="Q22" i="3"/>
  <c r="F20" i="8"/>
  <c r="F21" i="9"/>
  <c r="G20" i="12"/>
  <c r="G24" i="12" s="1"/>
  <c r="H48" i="5"/>
  <c r="C49" i="5"/>
  <c r="C26" i="5"/>
  <c r="C27" i="5" s="1"/>
  <c r="C51" i="5" s="1"/>
  <c r="D18" i="6"/>
  <c r="F18" i="6" s="1"/>
  <c r="D17" i="6"/>
  <c r="F17" i="6" s="1"/>
  <c r="D16" i="6"/>
  <c r="F16" i="6" s="1"/>
  <c r="D19" i="6"/>
  <c r="F19" i="6" s="1"/>
  <c r="D55" i="6"/>
  <c r="F55" i="6" s="1"/>
  <c r="D54" i="6"/>
  <c r="F54" i="6" s="1"/>
  <c r="D53" i="6"/>
  <c r="F53" i="6" s="1"/>
  <c r="D52" i="6"/>
  <c r="F52" i="6" s="1"/>
  <c r="D56" i="6"/>
  <c r="F56" i="6" s="1"/>
  <c r="H28" i="7"/>
  <c r="A5" i="14"/>
  <c r="A5" i="17"/>
  <c r="A5" i="15"/>
  <c r="A5" i="13"/>
  <c r="A5" i="11"/>
  <c r="A5" i="16"/>
  <c r="A5" i="12"/>
  <c r="A6" i="3"/>
  <c r="A5" i="8"/>
  <c r="F13" i="18"/>
  <c r="G20" i="7"/>
  <c r="G24" i="7" s="1"/>
  <c r="H26" i="7"/>
  <c r="C33" i="5"/>
  <c r="F21" i="7"/>
  <c r="D38" i="10"/>
  <c r="H29" i="11"/>
  <c r="H30" i="11" s="1"/>
  <c r="H31" i="11" s="1"/>
  <c r="H32" i="11" s="1"/>
  <c r="H39" i="11" s="1"/>
  <c r="M8" i="18"/>
  <c r="G50" i="5"/>
  <c r="E8" i="18"/>
  <c r="E9" i="18" s="1"/>
  <c r="F51" i="5"/>
  <c r="G51" i="5" s="1"/>
  <c r="H51" i="5" s="1"/>
  <c r="C42" i="5"/>
  <c r="I13" i="18"/>
  <c r="G20" i="9"/>
  <c r="G24" i="9" s="1"/>
  <c r="I14" i="18"/>
  <c r="I21" i="9"/>
  <c r="L14" i="18"/>
  <c r="I21" i="14"/>
  <c r="I24" i="14" s="1"/>
  <c r="N22" i="3"/>
  <c r="A33" i="6"/>
  <c r="A5" i="7"/>
  <c r="F21" i="8"/>
  <c r="F21" i="11"/>
  <c r="D38" i="16"/>
  <c r="D47" i="6"/>
  <c r="F47" i="6" s="1"/>
  <c r="D46" i="6"/>
  <c r="F46" i="6" s="1"/>
  <c r="D45" i="6"/>
  <c r="F45" i="6" s="1"/>
  <c r="B10" i="8"/>
  <c r="A40" i="8"/>
  <c r="A26" i="6"/>
  <c r="A63" i="6"/>
  <c r="F9" i="4"/>
  <c r="H9" i="4" s="1"/>
  <c r="G7" i="18" s="1"/>
  <c r="E10" i="8"/>
  <c r="F10" i="8" s="1"/>
  <c r="F12" i="8" s="1"/>
  <c r="G13" i="18"/>
  <c r="G20" i="8"/>
  <c r="G24" i="8" s="1"/>
  <c r="J13" i="18"/>
  <c r="G20" i="11"/>
  <c r="G24" i="11" s="1"/>
  <c r="H22" i="3"/>
  <c r="D31" i="8"/>
  <c r="A5" i="9"/>
  <c r="A5" i="10"/>
  <c r="H26" i="9"/>
  <c r="F20" i="13"/>
  <c r="F10" i="13"/>
  <c r="A7" i="13"/>
  <c r="F11" i="13"/>
  <c r="H28" i="16"/>
  <c r="H29" i="16" s="1"/>
  <c r="H30" i="16" s="1"/>
  <c r="I21" i="17"/>
  <c r="I24" i="17" s="1"/>
  <c r="P14" i="18"/>
  <c r="P16" i="18" s="1"/>
  <c r="P30" i="18" s="1"/>
  <c r="C35" i="5"/>
  <c r="C52" i="5" s="1"/>
  <c r="H25" i="8"/>
  <c r="F21" i="16"/>
  <c r="F20" i="10"/>
  <c r="A7" i="10"/>
  <c r="G25" i="12"/>
  <c r="G28" i="12" s="1"/>
  <c r="C20" i="5"/>
  <c r="F52" i="5" s="1"/>
  <c r="G52" i="5" s="1"/>
  <c r="H52" i="5" s="1"/>
  <c r="A10" i="6"/>
  <c r="F11" i="7"/>
  <c r="F12" i="7" s="1"/>
  <c r="F11" i="9"/>
  <c r="F12" i="9" s="1"/>
  <c r="H25" i="9"/>
  <c r="H25" i="10"/>
  <c r="F12" i="12"/>
  <c r="F21" i="12"/>
  <c r="D31" i="15"/>
  <c r="F20" i="15"/>
  <c r="F10" i="15"/>
  <c r="F12" i="15" s="1"/>
  <c r="A7" i="15"/>
  <c r="F11" i="15"/>
  <c r="A7" i="7"/>
  <c r="H26" i="8"/>
  <c r="A7" i="9"/>
  <c r="A7" i="11"/>
  <c r="H25" i="13"/>
  <c r="H25" i="15"/>
  <c r="A7" i="16"/>
  <c r="F20" i="16"/>
  <c r="G20" i="17"/>
  <c r="G24" i="17" s="1"/>
  <c r="A40" i="12"/>
  <c r="H26" i="13"/>
  <c r="A7" i="14"/>
  <c r="H25" i="17"/>
  <c r="H25" i="12"/>
  <c r="H25" i="14"/>
  <c r="M9" i="18" l="1"/>
  <c r="F9" i="18"/>
  <c r="O9" i="18"/>
  <c r="O10" i="18" s="1"/>
  <c r="O11" i="18" s="1"/>
  <c r="O29" i="18" s="1"/>
  <c r="N9" i="18"/>
  <c r="C21" i="5"/>
  <c r="C22" i="5" s="1"/>
  <c r="L13" i="18"/>
  <c r="L16" i="18" s="1"/>
  <c r="L30" i="18" s="1"/>
  <c r="G20" i="14"/>
  <c r="G24" i="14" s="1"/>
  <c r="G25" i="14" s="1"/>
  <c r="G28" i="14" s="1"/>
  <c r="B10" i="17"/>
  <c r="A40" i="17"/>
  <c r="O8" i="18"/>
  <c r="I8" i="18"/>
  <c r="I16" i="18"/>
  <c r="I30" i="18" s="1"/>
  <c r="I21" i="10"/>
  <c r="F42" i="6"/>
  <c r="F43" i="6" s="1"/>
  <c r="I15" i="4" s="1"/>
  <c r="F17" i="13" s="1"/>
  <c r="H35" i="11"/>
  <c r="H37" i="11"/>
  <c r="H36" i="11"/>
  <c r="H40" i="11"/>
  <c r="H34" i="11"/>
  <c r="G53" i="5"/>
  <c r="H50" i="5"/>
  <c r="H53" i="5" s="1"/>
  <c r="H28" i="13"/>
  <c r="H29" i="13"/>
  <c r="H30" i="13" s="1"/>
  <c r="A40" i="15"/>
  <c r="B10" i="15"/>
  <c r="A39" i="15"/>
  <c r="K14" i="18"/>
  <c r="K16" i="18" s="1"/>
  <c r="K30" i="18" s="1"/>
  <c r="I21" i="12"/>
  <c r="I24" i="12" s="1"/>
  <c r="G29" i="12"/>
  <c r="G30" i="12" s="1"/>
  <c r="G31" i="12" s="1"/>
  <c r="G32" i="12" s="1"/>
  <c r="G39" i="12" s="1"/>
  <c r="M13" i="18"/>
  <c r="G20" i="13"/>
  <c r="G24" i="13" s="1"/>
  <c r="G25" i="11"/>
  <c r="G28" i="11" s="1"/>
  <c r="D32" i="6"/>
  <c r="F32" i="6" s="1"/>
  <c r="D31" i="6"/>
  <c r="F31" i="6" s="1"/>
  <c r="D30" i="6"/>
  <c r="F30" i="6" s="1"/>
  <c r="D33" i="6"/>
  <c r="F33" i="6" s="1"/>
  <c r="G25" i="9"/>
  <c r="G28" i="9" s="1"/>
  <c r="F14" i="18"/>
  <c r="F16" i="18" s="1"/>
  <c r="F30" i="18" s="1"/>
  <c r="I21" i="7"/>
  <c r="E10" i="18"/>
  <c r="P9" i="18"/>
  <c r="H9" i="18"/>
  <c r="N8" i="18"/>
  <c r="N10" i="18" s="1"/>
  <c r="N11" i="18" s="1"/>
  <c r="N29" i="18" s="1"/>
  <c r="L9" i="18"/>
  <c r="F8" i="18"/>
  <c r="F10" i="18" s="1"/>
  <c r="F11" i="18" s="1"/>
  <c r="F29" i="18" s="1"/>
  <c r="F20" i="6"/>
  <c r="F21" i="6" s="1"/>
  <c r="I9" i="4" s="1"/>
  <c r="F17" i="8" s="1"/>
  <c r="F24" i="8" s="1"/>
  <c r="A39" i="9"/>
  <c r="B10" i="9"/>
  <c r="A40" i="9"/>
  <c r="D26" i="6"/>
  <c r="F26" i="6" s="1"/>
  <c r="D25" i="6"/>
  <c r="F25" i="6" s="1"/>
  <c r="D24" i="6"/>
  <c r="F24" i="6" s="1"/>
  <c r="D23" i="6"/>
  <c r="F23" i="6" s="1"/>
  <c r="G14" i="18"/>
  <c r="I21" i="8"/>
  <c r="G25" i="17"/>
  <c r="G28" i="17" s="1"/>
  <c r="H28" i="12"/>
  <c r="H29" i="12" s="1"/>
  <c r="H30" i="12" s="1"/>
  <c r="A40" i="7"/>
  <c r="B10" i="7"/>
  <c r="A39" i="7"/>
  <c r="H28" i="9"/>
  <c r="H13" i="18"/>
  <c r="H16" i="18" s="1"/>
  <c r="H30" i="18" s="1"/>
  <c r="G20" i="10"/>
  <c r="G24" i="10" s="1"/>
  <c r="O14" i="18"/>
  <c r="I21" i="16"/>
  <c r="I24" i="16" s="1"/>
  <c r="H28" i="8"/>
  <c r="H29" i="8" s="1"/>
  <c r="H30" i="8" s="1"/>
  <c r="D62" i="6"/>
  <c r="F62" i="6" s="1"/>
  <c r="D61" i="6"/>
  <c r="F61" i="6" s="1"/>
  <c r="D60" i="6"/>
  <c r="F60" i="6" s="1"/>
  <c r="D63" i="6"/>
  <c r="F63" i="6" s="1"/>
  <c r="J14" i="18"/>
  <c r="J16" i="18" s="1"/>
  <c r="J30" i="18" s="1"/>
  <c r="I21" i="11"/>
  <c r="C23" i="5"/>
  <c r="C50" i="5" s="1"/>
  <c r="H31" i="16"/>
  <c r="H32" i="16" s="1"/>
  <c r="H39" i="16" s="1"/>
  <c r="F12" i="13"/>
  <c r="F21" i="13"/>
  <c r="G16" i="18"/>
  <c r="G30" i="18" s="1"/>
  <c r="J9" i="18"/>
  <c r="F49" i="6"/>
  <c r="F50" i="6" s="1"/>
  <c r="I16" i="4" s="1"/>
  <c r="F17" i="15" s="1"/>
  <c r="P8" i="18"/>
  <c r="P10" i="18" s="1"/>
  <c r="P11" i="18" s="1"/>
  <c r="P29" i="18" s="1"/>
  <c r="P31" i="18" s="1"/>
  <c r="H8" i="18"/>
  <c r="H10" i="18" s="1"/>
  <c r="H11" i="18" s="1"/>
  <c r="H29" i="18" s="1"/>
  <c r="H31" i="18" s="1"/>
  <c r="K9" i="18"/>
  <c r="L8" i="18"/>
  <c r="L10" i="18" s="1"/>
  <c r="L11" i="18" s="1"/>
  <c r="L29" i="18" s="1"/>
  <c r="L31" i="18" s="1"/>
  <c r="F57" i="6"/>
  <c r="F58" i="6" s="1"/>
  <c r="I17" i="4" s="1"/>
  <c r="F17" i="16" s="1"/>
  <c r="F24" i="16" s="1"/>
  <c r="G20" i="16"/>
  <c r="G24" i="16" s="1"/>
  <c r="O13" i="18"/>
  <c r="O16" i="18" s="1"/>
  <c r="O30" i="18" s="1"/>
  <c r="G9" i="18"/>
  <c r="G8" i="18"/>
  <c r="A40" i="11"/>
  <c r="A39" i="11"/>
  <c r="B10" i="11"/>
  <c r="A39" i="14"/>
  <c r="A40" i="14"/>
  <c r="B10" i="14"/>
  <c r="H29" i="15"/>
  <c r="H30" i="15" s="1"/>
  <c r="H28" i="15"/>
  <c r="H28" i="14"/>
  <c r="H28" i="17"/>
  <c r="H29" i="17" s="1"/>
  <c r="H30" i="17" s="1"/>
  <c r="B10" i="16"/>
  <c r="A40" i="16"/>
  <c r="A39" i="16"/>
  <c r="N13" i="18"/>
  <c r="G20" i="15"/>
  <c r="G24" i="15" s="1"/>
  <c r="H28" i="10"/>
  <c r="H29" i="10" s="1"/>
  <c r="H30" i="10" s="1"/>
  <c r="D9" i="6"/>
  <c r="F9" i="6" s="1"/>
  <c r="D8" i="6"/>
  <c r="F8" i="6" s="1"/>
  <c r="D7" i="6"/>
  <c r="F7" i="6" s="1"/>
  <c r="D12" i="6"/>
  <c r="F12" i="6" s="1"/>
  <c r="D11" i="6"/>
  <c r="F11" i="6" s="1"/>
  <c r="D10" i="6"/>
  <c r="F10" i="6" s="1"/>
  <c r="B10" i="10"/>
  <c r="A39" i="10"/>
  <c r="A40" i="10"/>
  <c r="I25" i="17"/>
  <c r="A39" i="13"/>
  <c r="B10" i="13"/>
  <c r="A40" i="13"/>
  <c r="G25" i="8"/>
  <c r="G28" i="8" s="1"/>
  <c r="I25" i="14"/>
  <c r="I24" i="9"/>
  <c r="G25" i="7"/>
  <c r="G28" i="7" s="1"/>
  <c r="I24" i="10"/>
  <c r="M10" i="18"/>
  <c r="M11" i="18" s="1"/>
  <c r="M29" i="18" s="1"/>
  <c r="F21" i="15"/>
  <c r="H26" i="10"/>
  <c r="J8" i="18"/>
  <c r="J10" i="18" s="1"/>
  <c r="J11" i="18" s="1"/>
  <c r="J29" i="18" s="1"/>
  <c r="I9" i="18"/>
  <c r="I10" i="18" s="1"/>
  <c r="I11" i="18" s="1"/>
  <c r="I29" i="18" s="1"/>
  <c r="I31" i="18" s="1"/>
  <c r="C44" i="5"/>
  <c r="C53" i="5" s="1"/>
  <c r="F53" i="5"/>
  <c r="K8" i="18"/>
  <c r="H29" i="7"/>
  <c r="H30" i="7" s="1"/>
  <c r="H31" i="7" s="1"/>
  <c r="H32" i="7" s="1"/>
  <c r="H39" i="7" s="1"/>
  <c r="C43" i="5"/>
  <c r="C55" i="5" l="1"/>
  <c r="G28" i="4" s="1"/>
  <c r="E13" i="12" s="1"/>
  <c r="F13" i="12" s="1"/>
  <c r="F14" i="12" s="1"/>
  <c r="G29" i="14"/>
  <c r="G30" i="14" s="1"/>
  <c r="G31" i="14" s="1"/>
  <c r="G32" i="14" s="1"/>
  <c r="G39" i="14" s="1"/>
  <c r="F34" i="6"/>
  <c r="F35" i="6" s="1"/>
  <c r="I11" i="4" s="1"/>
  <c r="F17" i="9" s="1"/>
  <c r="F24" i="9" s="1"/>
  <c r="F31" i="18"/>
  <c r="F13" i="6"/>
  <c r="F14" i="6" s="1"/>
  <c r="I8" i="4" s="1"/>
  <c r="F17" i="7" s="1"/>
  <c r="F24" i="7" s="1"/>
  <c r="K10" i="18"/>
  <c r="K11" i="18" s="1"/>
  <c r="K29" i="18" s="1"/>
  <c r="K31" i="18" s="1"/>
  <c r="K18" i="18" s="1"/>
  <c r="E13" i="14"/>
  <c r="F13" i="14" s="1"/>
  <c r="F14" i="14" s="1"/>
  <c r="E13" i="17"/>
  <c r="F13" i="17" s="1"/>
  <c r="F14" i="17" s="1"/>
  <c r="E13" i="15"/>
  <c r="F13" i="15" s="1"/>
  <c r="F14" i="15" s="1"/>
  <c r="E13" i="13"/>
  <c r="F13" i="13" s="1"/>
  <c r="E13" i="11"/>
  <c r="F13" i="11" s="1"/>
  <c r="F14" i="11" s="1"/>
  <c r="E13" i="16"/>
  <c r="F13" i="16" s="1"/>
  <c r="F14" i="16" s="1"/>
  <c r="E13" i="10"/>
  <c r="F13" i="10" s="1"/>
  <c r="F14" i="10" s="1"/>
  <c r="E13" i="8"/>
  <c r="F13" i="8" s="1"/>
  <c r="F14" i="8" s="1"/>
  <c r="E13" i="7"/>
  <c r="F13" i="7" s="1"/>
  <c r="F14" i="7" s="1"/>
  <c r="E13" i="9"/>
  <c r="F13" i="9" s="1"/>
  <c r="F14" i="9" s="1"/>
  <c r="G37" i="12"/>
  <c r="G34" i="12"/>
  <c r="G35" i="12"/>
  <c r="G40" i="12"/>
  <c r="P16" i="3"/>
  <c r="R16" i="3" s="1"/>
  <c r="G36" i="12"/>
  <c r="H36" i="7"/>
  <c r="H34" i="7"/>
  <c r="H40" i="7"/>
  <c r="H35" i="7"/>
  <c r="I18" i="18"/>
  <c r="I25" i="10"/>
  <c r="L18" i="18"/>
  <c r="M14" i="18"/>
  <c r="M16" i="18" s="1"/>
  <c r="M30" i="18" s="1"/>
  <c r="M31" i="18" s="1"/>
  <c r="I21" i="13"/>
  <c r="F24" i="13"/>
  <c r="I24" i="11"/>
  <c r="I25" i="16"/>
  <c r="F54" i="5"/>
  <c r="F56" i="5" s="1"/>
  <c r="F58" i="5" s="1"/>
  <c r="H18" i="18"/>
  <c r="G29" i="17"/>
  <c r="G30" i="17" s="1"/>
  <c r="G31" i="17" s="1"/>
  <c r="G32" i="17" s="1"/>
  <c r="G39" i="17" s="1"/>
  <c r="I14" i="4"/>
  <c r="F17" i="14" s="1"/>
  <c r="F24" i="14" s="1"/>
  <c r="I13" i="4"/>
  <c r="F17" i="12" s="1"/>
  <c r="F24" i="12" s="1"/>
  <c r="I12" i="4"/>
  <c r="F17" i="11" s="1"/>
  <c r="F24" i="11" s="1"/>
  <c r="H35" i="16"/>
  <c r="H36" i="16"/>
  <c r="H37" i="16"/>
  <c r="H34" i="16"/>
  <c r="H40" i="16"/>
  <c r="G25" i="10"/>
  <c r="G28" i="10" s="1"/>
  <c r="G29" i="9"/>
  <c r="G30" i="9" s="1"/>
  <c r="G31" i="9"/>
  <c r="G32" i="9" s="1"/>
  <c r="G39" i="9" s="1"/>
  <c r="G29" i="11"/>
  <c r="G30" i="11" s="1"/>
  <c r="G31" i="11" s="1"/>
  <c r="G32" i="11" s="1"/>
  <c r="G39" i="11" s="1"/>
  <c r="O31" i="18"/>
  <c r="H56" i="5"/>
  <c r="H58" i="5" s="1"/>
  <c r="J31" i="18"/>
  <c r="H31" i="17"/>
  <c r="H32" i="17" s="1"/>
  <c r="H39" i="17" s="1"/>
  <c r="H31" i="15"/>
  <c r="H32" i="15" s="1"/>
  <c r="H39" i="15" s="1"/>
  <c r="G10" i="18"/>
  <c r="G11" i="18" s="1"/>
  <c r="G29" i="18" s="1"/>
  <c r="G31" i="18" s="1"/>
  <c r="H31" i="8"/>
  <c r="H32" i="8" s="1"/>
  <c r="H39" i="8" s="1"/>
  <c r="H54" i="5"/>
  <c r="H31" i="13"/>
  <c r="H32" i="13" s="1"/>
  <c r="H39" i="13" s="1"/>
  <c r="H38" i="11"/>
  <c r="N14" i="18"/>
  <c r="N16" i="18" s="1"/>
  <c r="N30" i="18" s="1"/>
  <c r="N31" i="18" s="1"/>
  <c r="I21" i="15"/>
  <c r="I24" i="15" s="1"/>
  <c r="I25" i="9"/>
  <c r="G29" i="8"/>
  <c r="G30" i="8" s="1"/>
  <c r="G31" i="8"/>
  <c r="G32" i="8" s="1"/>
  <c r="G39" i="8" s="1"/>
  <c r="I28" i="17"/>
  <c r="I29" i="17" s="1"/>
  <c r="I30" i="17" s="1"/>
  <c r="P18" i="18"/>
  <c r="G29" i="7"/>
  <c r="G30" i="7" s="1"/>
  <c r="G31" i="7" s="1"/>
  <c r="G32" i="7" s="1"/>
  <c r="G39" i="7" s="1"/>
  <c r="I28" i="14"/>
  <c r="I29" i="14"/>
  <c r="I30" i="14" s="1"/>
  <c r="G25" i="15"/>
  <c r="G28" i="15" s="1"/>
  <c r="G25" i="16"/>
  <c r="G28" i="16" s="1"/>
  <c r="I24" i="8"/>
  <c r="I26" i="9"/>
  <c r="H31" i="10"/>
  <c r="H32" i="10" s="1"/>
  <c r="H39" i="10" s="1"/>
  <c r="F64" i="6"/>
  <c r="F65" i="6" s="1"/>
  <c r="I18" i="4" s="1"/>
  <c r="F17" i="17" s="1"/>
  <c r="F24" i="17" s="1"/>
  <c r="F27" i="6"/>
  <c r="F28" i="6" s="1"/>
  <c r="I10" i="4" s="1"/>
  <c r="F17" i="10" s="1"/>
  <c r="F24" i="10" s="1"/>
  <c r="H29" i="14"/>
  <c r="H30" i="14" s="1"/>
  <c r="H31" i="14" s="1"/>
  <c r="H32" i="14" s="1"/>
  <c r="H39" i="14" s="1"/>
  <c r="F24" i="15"/>
  <c r="F14" i="13"/>
  <c r="H29" i="9"/>
  <c r="H30" i="9" s="1"/>
  <c r="H31" i="9" s="1"/>
  <c r="H32" i="9" s="1"/>
  <c r="H39" i="9" s="1"/>
  <c r="H31" i="12"/>
  <c r="H32" i="12" s="1"/>
  <c r="H39" i="12" s="1"/>
  <c r="F18" i="18"/>
  <c r="I24" i="7"/>
  <c r="G25" i="13"/>
  <c r="G28" i="13" s="1"/>
  <c r="I25" i="12"/>
  <c r="G54" i="5"/>
  <c r="G56" i="5" s="1"/>
  <c r="G58" i="5" s="1"/>
  <c r="G35" i="14" l="1"/>
  <c r="G36" i="14"/>
  <c r="G40" i="14"/>
  <c r="P17" i="3"/>
  <c r="R17" i="3" s="1"/>
  <c r="G34" i="14"/>
  <c r="G37" i="14"/>
  <c r="M18" i="18"/>
  <c r="N18" i="18"/>
  <c r="G29" i="13"/>
  <c r="G30" i="13" s="1"/>
  <c r="G31" i="13" s="1"/>
  <c r="G32" i="13" s="1"/>
  <c r="G39" i="13" s="1"/>
  <c r="H40" i="9"/>
  <c r="H35" i="9"/>
  <c r="H34" i="9"/>
  <c r="H37" i="9"/>
  <c r="H36" i="9"/>
  <c r="K19" i="18"/>
  <c r="I25" i="15"/>
  <c r="G36" i="11"/>
  <c r="P15" i="3"/>
  <c r="R15" i="3" s="1"/>
  <c r="G40" i="11"/>
  <c r="G35" i="11"/>
  <c r="G34" i="11"/>
  <c r="G37" i="11"/>
  <c r="L19" i="18"/>
  <c r="L20" i="18" s="1"/>
  <c r="F25" i="8"/>
  <c r="G29" i="15"/>
  <c r="G30" i="15" s="1"/>
  <c r="G31" i="15" s="1"/>
  <c r="G32" i="15" s="1"/>
  <c r="G39" i="15" s="1"/>
  <c r="P19" i="18"/>
  <c r="P20" i="18" s="1"/>
  <c r="G18" i="18"/>
  <c r="I25" i="11"/>
  <c r="F25" i="7"/>
  <c r="F25" i="11"/>
  <c r="F25" i="12"/>
  <c r="F25" i="13"/>
  <c r="G29" i="16"/>
  <c r="G30" i="16" s="1"/>
  <c r="G31" i="16" s="1"/>
  <c r="G32" i="16" s="1"/>
  <c r="G39" i="16" s="1"/>
  <c r="G37" i="8"/>
  <c r="G34" i="8"/>
  <c r="P12" i="3"/>
  <c r="R12" i="3" s="1"/>
  <c r="G35" i="8"/>
  <c r="G36" i="8"/>
  <c r="G40" i="8"/>
  <c r="T19" i="1"/>
  <c r="T16" i="1"/>
  <c r="T14" i="1"/>
  <c r="T15" i="1"/>
  <c r="T18" i="1"/>
  <c r="T24" i="1"/>
  <c r="T21" i="1"/>
  <c r="T22" i="1"/>
  <c r="T17" i="1"/>
  <c r="T23" i="1"/>
  <c r="T20" i="1"/>
  <c r="H19" i="18"/>
  <c r="H20" i="18" s="1"/>
  <c r="I28" i="10"/>
  <c r="I29" i="10" s="1"/>
  <c r="I30" i="10" s="1"/>
  <c r="F25" i="14"/>
  <c r="P11" i="3"/>
  <c r="R11" i="3" s="1"/>
  <c r="G37" i="7"/>
  <c r="G34" i="7"/>
  <c r="G40" i="7"/>
  <c r="G35" i="7"/>
  <c r="G36" i="7"/>
  <c r="H36" i="13"/>
  <c r="H40" i="13"/>
  <c r="H35" i="13"/>
  <c r="H37" i="13"/>
  <c r="H34" i="13"/>
  <c r="J18" i="18"/>
  <c r="G29" i="10"/>
  <c r="G30" i="10" s="1"/>
  <c r="G31" i="10" s="1"/>
  <c r="G32" i="10" s="1"/>
  <c r="G39" i="10" s="1"/>
  <c r="G40" i="17"/>
  <c r="G37" i="17"/>
  <c r="G34" i="17"/>
  <c r="G35" i="17"/>
  <c r="G36" i="17"/>
  <c r="P21" i="3"/>
  <c r="R21" i="3" s="1"/>
  <c r="I28" i="12"/>
  <c r="I29" i="12" s="1"/>
  <c r="I30" i="12" s="1"/>
  <c r="F19" i="18"/>
  <c r="F20" i="18" s="1"/>
  <c r="H40" i="12"/>
  <c r="H37" i="12"/>
  <c r="H34" i="12"/>
  <c r="H36" i="12"/>
  <c r="H35" i="12"/>
  <c r="H36" i="10"/>
  <c r="H40" i="10"/>
  <c r="H34" i="10"/>
  <c r="H37" i="10"/>
  <c r="H35" i="10"/>
  <c r="I25" i="8"/>
  <c r="I28" i="9"/>
  <c r="I29" i="9" s="1"/>
  <c r="I30" i="9" s="1"/>
  <c r="H40" i="8"/>
  <c r="H37" i="8"/>
  <c r="H34" i="8"/>
  <c r="H35" i="8"/>
  <c r="H36" i="8"/>
  <c r="I24" i="13"/>
  <c r="F25" i="9"/>
  <c r="F25" i="16"/>
  <c r="F25" i="17"/>
  <c r="G38" i="12"/>
  <c r="G38" i="14"/>
  <c r="I31" i="17"/>
  <c r="I32" i="17" s="1"/>
  <c r="I39" i="17" s="1"/>
  <c r="I26" i="10"/>
  <c r="H38" i="16"/>
  <c r="H38" i="7"/>
  <c r="H37" i="15"/>
  <c r="H34" i="15"/>
  <c r="H35" i="15"/>
  <c r="H40" i="15"/>
  <c r="H36" i="15"/>
  <c r="I25" i="7"/>
  <c r="H40" i="14"/>
  <c r="H37" i="14"/>
  <c r="H34" i="14"/>
  <c r="H36" i="14"/>
  <c r="H35" i="14"/>
  <c r="H36" i="17"/>
  <c r="H40" i="17"/>
  <c r="H37" i="17"/>
  <c r="H34" i="17"/>
  <c r="H35" i="17"/>
  <c r="O18" i="18"/>
  <c r="G37" i="9"/>
  <c r="G34" i="9"/>
  <c r="G40" i="9"/>
  <c r="G36" i="9"/>
  <c r="P14" i="3"/>
  <c r="R14" i="3" s="1"/>
  <c r="G35" i="9"/>
  <c r="I28" i="16"/>
  <c r="I19" i="18"/>
  <c r="I20" i="18" s="1"/>
  <c r="I25" i="18" s="1"/>
  <c r="I32" i="18" s="1"/>
  <c r="I33" i="18" s="1"/>
  <c r="F25" i="10"/>
  <c r="F25" i="15"/>
  <c r="I31" i="14"/>
  <c r="I32" i="14" s="1"/>
  <c r="I39" i="14" s="1"/>
  <c r="H38" i="10" l="1"/>
  <c r="L25" i="18"/>
  <c r="L32" i="18" s="1"/>
  <c r="L33" i="18" s="1"/>
  <c r="H25" i="18"/>
  <c r="H32" i="18" s="1"/>
  <c r="H33" i="18" s="1"/>
  <c r="M13" i="3" s="1"/>
  <c r="O13" i="3" s="1"/>
  <c r="G38" i="8"/>
  <c r="H38" i="17"/>
  <c r="G35" i="15"/>
  <c r="G36" i="15"/>
  <c r="G37" i="15"/>
  <c r="G34" i="15"/>
  <c r="G40" i="15"/>
  <c r="P19" i="3"/>
  <c r="R19" i="3" s="1"/>
  <c r="G36" i="16"/>
  <c r="G40" i="16"/>
  <c r="G35" i="16"/>
  <c r="G34" i="16"/>
  <c r="P20" i="3"/>
  <c r="R20" i="3" s="1"/>
  <c r="G37" i="16"/>
  <c r="I22" i="18"/>
  <c r="M14" i="3"/>
  <c r="O14" i="3" s="1"/>
  <c r="I24" i="18"/>
  <c r="I21" i="18"/>
  <c r="I23" i="18"/>
  <c r="G40" i="13"/>
  <c r="G37" i="13"/>
  <c r="G34" i="13"/>
  <c r="G36" i="13"/>
  <c r="P18" i="3"/>
  <c r="R18" i="3" s="1"/>
  <c r="G35" i="13"/>
  <c r="O19" i="18"/>
  <c r="I25" i="13"/>
  <c r="H22" i="18"/>
  <c r="H21" i="18"/>
  <c r="H23" i="18"/>
  <c r="F28" i="11"/>
  <c r="E30" i="11" s="1"/>
  <c r="F30" i="11" s="1"/>
  <c r="L22" i="18"/>
  <c r="M17" i="3"/>
  <c r="O17" i="3" s="1"/>
  <c r="L21" i="18"/>
  <c r="L23" i="18"/>
  <c r="L24" i="18"/>
  <c r="E30" i="15"/>
  <c r="F30" i="15" s="1"/>
  <c r="F28" i="15"/>
  <c r="I28" i="7"/>
  <c r="I29" i="7"/>
  <c r="I30" i="7" s="1"/>
  <c r="I26" i="7"/>
  <c r="F28" i="9"/>
  <c r="F29" i="9" s="1"/>
  <c r="F28" i="14"/>
  <c r="E30" i="14" s="1"/>
  <c r="F30" i="14" s="1"/>
  <c r="F28" i="7"/>
  <c r="E30" i="7" s="1"/>
  <c r="F30" i="7" s="1"/>
  <c r="I28" i="15"/>
  <c r="I29" i="15" s="1"/>
  <c r="I30" i="15" s="1"/>
  <c r="N19" i="18"/>
  <c r="N20" i="18" s="1"/>
  <c r="H38" i="8"/>
  <c r="G38" i="17"/>
  <c r="H38" i="13"/>
  <c r="G38" i="7"/>
  <c r="G38" i="9"/>
  <c r="O20" i="18"/>
  <c r="H38" i="14"/>
  <c r="H38" i="15"/>
  <c r="K20" i="18"/>
  <c r="K25" i="18" s="1"/>
  <c r="K32" i="18" s="1"/>
  <c r="K33" i="18" s="1"/>
  <c r="I31" i="9"/>
  <c r="I32" i="9" s="1"/>
  <c r="I39" i="9" s="1"/>
  <c r="I31" i="12"/>
  <c r="I32" i="12" s="1"/>
  <c r="I39" i="12" s="1"/>
  <c r="F28" i="16"/>
  <c r="F29" i="16" s="1"/>
  <c r="G40" i="10"/>
  <c r="G34" i="10"/>
  <c r="G37" i="10"/>
  <c r="G36" i="10"/>
  <c r="G35" i="10"/>
  <c r="P13" i="3"/>
  <c r="R13" i="3" s="1"/>
  <c r="I36" i="14"/>
  <c r="I40" i="14"/>
  <c r="G17" i="3" s="1"/>
  <c r="I17" i="3" s="1"/>
  <c r="I35" i="14"/>
  <c r="I34" i="14"/>
  <c r="I37" i="14"/>
  <c r="I35" i="17"/>
  <c r="I36" i="17"/>
  <c r="I40" i="17"/>
  <c r="G21" i="3" s="1"/>
  <c r="I21" i="3" s="1"/>
  <c r="I37" i="17"/>
  <c r="I34" i="17"/>
  <c r="F28" i="17"/>
  <c r="E30" i="17" s="1"/>
  <c r="F30" i="17" s="1"/>
  <c r="F28" i="12"/>
  <c r="E30" i="12" s="1"/>
  <c r="F30" i="12" s="1"/>
  <c r="G19" i="18"/>
  <c r="G20" i="18" s="1"/>
  <c r="F28" i="8"/>
  <c r="F29" i="8" s="1"/>
  <c r="M19" i="18"/>
  <c r="I29" i="16"/>
  <c r="I30" i="16" s="1"/>
  <c r="I31" i="16" s="1"/>
  <c r="I32" i="16" s="1"/>
  <c r="I39" i="16" s="1"/>
  <c r="H38" i="12"/>
  <c r="F25" i="18"/>
  <c r="F32" i="18" s="1"/>
  <c r="F33" i="18" s="1"/>
  <c r="P25" i="18"/>
  <c r="P32" i="18" s="1"/>
  <c r="P33" i="18" s="1"/>
  <c r="G38" i="11"/>
  <c r="F28" i="10"/>
  <c r="F29" i="10" s="1"/>
  <c r="E30" i="10"/>
  <c r="F30" i="10" s="1"/>
  <c r="I28" i="8"/>
  <c r="I29" i="8" s="1"/>
  <c r="I30" i="8" s="1"/>
  <c r="I26" i="8"/>
  <c r="J19" i="18"/>
  <c r="J20" i="18" s="1"/>
  <c r="J25" i="18" s="1"/>
  <c r="J32" i="18" s="1"/>
  <c r="J33" i="18" s="1"/>
  <c r="T25" i="1"/>
  <c r="W14" i="1"/>
  <c r="W19" i="1" s="1"/>
  <c r="F28" i="13"/>
  <c r="E30" i="13" s="1"/>
  <c r="F30" i="13" s="1"/>
  <c r="I28" i="11"/>
  <c r="I26" i="11"/>
  <c r="I31" i="10"/>
  <c r="I32" i="10" s="1"/>
  <c r="I39" i="10" s="1"/>
  <c r="H38" i="9"/>
  <c r="E30" i="8" l="1"/>
  <c r="F30" i="8" s="1"/>
  <c r="F29" i="7"/>
  <c r="F29" i="11"/>
  <c r="O25" i="18"/>
  <c r="O32" i="18" s="1"/>
  <c r="O33" i="18" s="1"/>
  <c r="M20" i="18"/>
  <c r="M25" i="18" s="1"/>
  <c r="M32" i="18" s="1"/>
  <c r="M33" i="18" s="1"/>
  <c r="F29" i="14"/>
  <c r="F29" i="17"/>
  <c r="F29" i="12"/>
  <c r="F29" i="13"/>
  <c r="H24" i="18"/>
  <c r="G25" i="18"/>
  <c r="G32" i="18" s="1"/>
  <c r="G33" i="18" s="1"/>
  <c r="G22" i="18" s="1"/>
  <c r="R22" i="3"/>
  <c r="M25" i="1" s="1"/>
  <c r="N25" i="18"/>
  <c r="N32" i="18" s="1"/>
  <c r="N33" i="18" s="1"/>
  <c r="N24" i="18" s="1"/>
  <c r="I37" i="16"/>
  <c r="I34" i="16"/>
  <c r="I35" i="16"/>
  <c r="I40" i="16"/>
  <c r="G20" i="3" s="1"/>
  <c r="I20" i="3" s="1"/>
  <c r="I36" i="16"/>
  <c r="O22" i="18"/>
  <c r="M20" i="3"/>
  <c r="O20" i="3" s="1"/>
  <c r="O23" i="18"/>
  <c r="O21" i="18"/>
  <c r="O24" i="18"/>
  <c r="J22" i="18"/>
  <c r="M15" i="3"/>
  <c r="O15" i="3" s="1"/>
  <c r="J24" i="18"/>
  <c r="J21" i="18"/>
  <c r="J23" i="18"/>
  <c r="K22" i="18"/>
  <c r="M16" i="3"/>
  <c r="O16" i="3" s="1"/>
  <c r="K21" i="18"/>
  <c r="K23" i="18"/>
  <c r="K24" i="18"/>
  <c r="M12" i="3"/>
  <c r="O12" i="3" s="1"/>
  <c r="G23" i="18"/>
  <c r="G24" i="18"/>
  <c r="G21" i="18"/>
  <c r="I36" i="9"/>
  <c r="I40" i="9"/>
  <c r="G14" i="3" s="1"/>
  <c r="I14" i="3" s="1"/>
  <c r="I35" i="9"/>
  <c r="I34" i="9"/>
  <c r="I37" i="9"/>
  <c r="M19" i="3"/>
  <c r="O19" i="3" s="1"/>
  <c r="N21" i="18"/>
  <c r="N23" i="18"/>
  <c r="I35" i="10"/>
  <c r="I40" i="10"/>
  <c r="G13" i="3" s="1"/>
  <c r="I13" i="3" s="1"/>
  <c r="I36" i="10"/>
  <c r="I34" i="10"/>
  <c r="I37" i="10"/>
  <c r="F22" i="18"/>
  <c r="M11" i="3"/>
  <c r="F23" i="18"/>
  <c r="F24" i="18"/>
  <c r="F21" i="18"/>
  <c r="I36" i="12"/>
  <c r="I40" i="12"/>
  <c r="G16" i="3" s="1"/>
  <c r="I16" i="3" s="1"/>
  <c r="I35" i="12"/>
  <c r="I37" i="12"/>
  <c r="I34" i="12"/>
  <c r="F31" i="15"/>
  <c r="F32" i="15" s="1"/>
  <c r="F39" i="15" s="1"/>
  <c r="G38" i="16"/>
  <c r="I31" i="8"/>
  <c r="I32" i="8" s="1"/>
  <c r="I39" i="8" s="1"/>
  <c r="E30" i="9"/>
  <c r="F30" i="9" s="1"/>
  <c r="F31" i="9" s="1"/>
  <c r="F32" i="9" s="1"/>
  <c r="F39" i="9" s="1"/>
  <c r="F29" i="15"/>
  <c r="F31" i="11"/>
  <c r="F32" i="11" s="1"/>
  <c r="F39" i="11" s="1"/>
  <c r="P22" i="18"/>
  <c r="M21" i="3"/>
  <c r="O21" i="3" s="1"/>
  <c r="P24" i="18"/>
  <c r="P21" i="18"/>
  <c r="P23" i="18"/>
  <c r="I28" i="13"/>
  <c r="F31" i="13"/>
  <c r="F32" i="13" s="1"/>
  <c r="F39" i="13" s="1"/>
  <c r="I38" i="17"/>
  <c r="E30" i="16"/>
  <c r="F30" i="16" s="1"/>
  <c r="F31" i="16" s="1"/>
  <c r="F32" i="16" s="1"/>
  <c r="F39" i="16" s="1"/>
  <c r="F31" i="7"/>
  <c r="F32" i="7" s="1"/>
  <c r="F39" i="7" s="1"/>
  <c r="I29" i="11"/>
  <c r="I30" i="11" s="1"/>
  <c r="I31" i="11" s="1"/>
  <c r="I32" i="11" s="1"/>
  <c r="I39" i="11" s="1"/>
  <c r="F31" i="10"/>
  <c r="F32" i="10" s="1"/>
  <c r="F39" i="10" s="1"/>
  <c r="F31" i="8"/>
  <c r="F32" i="8" s="1"/>
  <c r="F39" i="8" s="1"/>
  <c r="F31" i="12"/>
  <c r="F32" i="12" s="1"/>
  <c r="F39" i="12" s="1"/>
  <c r="F31" i="17"/>
  <c r="F32" i="17" s="1"/>
  <c r="F39" i="17" s="1"/>
  <c r="I38" i="14"/>
  <c r="G38" i="10"/>
  <c r="I26" i="13"/>
  <c r="F31" i="14"/>
  <c r="F32" i="14" s="1"/>
  <c r="F39" i="14" s="1"/>
  <c r="I31" i="7"/>
  <c r="I32" i="7" s="1"/>
  <c r="I39" i="7" s="1"/>
  <c r="G38" i="13"/>
  <c r="I31" i="15"/>
  <c r="I32" i="15" s="1"/>
  <c r="I39" i="15" s="1"/>
  <c r="G38" i="15"/>
  <c r="M22" i="18" l="1"/>
  <c r="M18" i="3"/>
  <c r="O18" i="3" s="1"/>
  <c r="M24" i="18"/>
  <c r="M21" i="18"/>
  <c r="M23" i="18"/>
  <c r="I38" i="10"/>
  <c r="N22" i="18"/>
  <c r="I38" i="9"/>
  <c r="F40" i="16"/>
  <c r="F37" i="16"/>
  <c r="F34" i="16"/>
  <c r="F36" i="16"/>
  <c r="F35" i="16"/>
  <c r="I37" i="11"/>
  <c r="I34" i="11"/>
  <c r="I40" i="11"/>
  <c r="G15" i="3" s="1"/>
  <c r="I15" i="3" s="1"/>
  <c r="I36" i="11"/>
  <c r="I35" i="11"/>
  <c r="F35" i="8"/>
  <c r="F36" i="8"/>
  <c r="F40" i="8"/>
  <c r="F34" i="8"/>
  <c r="F37" i="8"/>
  <c r="F35" i="12"/>
  <c r="F36" i="12"/>
  <c r="F37" i="12"/>
  <c r="F34" i="12"/>
  <c r="F40" i="12"/>
  <c r="F37" i="7"/>
  <c r="F34" i="7"/>
  <c r="F40" i="7"/>
  <c r="F35" i="7"/>
  <c r="F36" i="7"/>
  <c r="F37" i="13"/>
  <c r="F34" i="13"/>
  <c r="F35" i="13"/>
  <c r="F40" i="13"/>
  <c r="F36" i="13"/>
  <c r="I36" i="8"/>
  <c r="I40" i="8"/>
  <c r="G12" i="3" s="1"/>
  <c r="I12" i="3" s="1"/>
  <c r="I37" i="8"/>
  <c r="I34" i="8"/>
  <c r="I35" i="8"/>
  <c r="M22" i="3"/>
  <c r="O11" i="3"/>
  <c r="O22" i="3" s="1"/>
  <c r="L25" i="1" s="1"/>
  <c r="I38" i="12"/>
  <c r="I38" i="16"/>
  <c r="F35" i="9"/>
  <c r="F37" i="9"/>
  <c r="F40" i="9"/>
  <c r="F36" i="9"/>
  <c r="F34" i="9"/>
  <c r="F37" i="17"/>
  <c r="F34" i="17"/>
  <c r="F35" i="17"/>
  <c r="F36" i="17"/>
  <c r="F40" i="17"/>
  <c r="I40" i="7"/>
  <c r="G11" i="3" s="1"/>
  <c r="I11" i="3" s="1"/>
  <c r="I35" i="7"/>
  <c r="I36" i="7"/>
  <c r="I34" i="7"/>
  <c r="F40" i="11"/>
  <c r="F36" i="11"/>
  <c r="F35" i="11"/>
  <c r="F34" i="11"/>
  <c r="F37" i="11"/>
  <c r="I40" i="15"/>
  <c r="G19" i="3" s="1"/>
  <c r="I19" i="3" s="1"/>
  <c r="I37" i="15"/>
  <c r="I34" i="15"/>
  <c r="I36" i="15"/>
  <c r="I35" i="15"/>
  <c r="F35" i="14"/>
  <c r="F36" i="14"/>
  <c r="F37" i="14"/>
  <c r="F34" i="14"/>
  <c r="F40" i="14"/>
  <c r="F37" i="10"/>
  <c r="F34" i="10"/>
  <c r="F40" i="10"/>
  <c r="F36" i="10"/>
  <c r="F35" i="10"/>
  <c r="F36" i="15"/>
  <c r="F40" i="15"/>
  <c r="F35" i="15"/>
  <c r="F37" i="15"/>
  <c r="F34" i="15"/>
  <c r="F38" i="15" s="1"/>
  <c r="I29" i="13"/>
  <c r="I30" i="13" s="1"/>
  <c r="I31" i="13" s="1"/>
  <c r="I32" i="13" s="1"/>
  <c r="I39" i="13" s="1"/>
  <c r="F38" i="10" l="1"/>
  <c r="F38" i="9"/>
  <c r="F38" i="13"/>
  <c r="I35" i="13"/>
  <c r="I36" i="13"/>
  <c r="I37" i="13"/>
  <c r="I34" i="13"/>
  <c r="I40" i="13"/>
  <c r="G18" i="3" s="1"/>
  <c r="I18" i="3" s="1"/>
  <c r="E12" i="3"/>
  <c r="F12" i="3" s="1"/>
  <c r="F41" i="8"/>
  <c r="J12" i="3"/>
  <c r="L12" i="3" s="1"/>
  <c r="F41" i="16"/>
  <c r="E20" i="3"/>
  <c r="F20" i="3" s="1"/>
  <c r="J20" i="3"/>
  <c r="L20" i="3" s="1"/>
  <c r="S20" i="3" s="1"/>
  <c r="O23" i="1" s="1"/>
  <c r="F41" i="15"/>
  <c r="E19" i="3"/>
  <c r="F19" i="3" s="1"/>
  <c r="T19" i="3" s="1"/>
  <c r="Q22" i="1" s="1"/>
  <c r="J19" i="3"/>
  <c r="L19" i="3" s="1"/>
  <c r="E13" i="3"/>
  <c r="F13" i="3" s="1"/>
  <c r="J13" i="3"/>
  <c r="L13" i="3" s="1"/>
  <c r="S13" i="3" s="1"/>
  <c r="O16" i="1" s="1"/>
  <c r="F41" i="10"/>
  <c r="F41" i="17"/>
  <c r="E21" i="3"/>
  <c r="F21" i="3" s="1"/>
  <c r="J21" i="3"/>
  <c r="L21" i="3" s="1"/>
  <c r="S21" i="3" s="1"/>
  <c r="O24" i="1" s="1"/>
  <c r="F38" i="14"/>
  <c r="S19" i="3"/>
  <c r="O22" i="1" s="1"/>
  <c r="I38" i="8"/>
  <c r="F38" i="7"/>
  <c r="F38" i="8"/>
  <c r="F41" i="11"/>
  <c r="E15" i="3"/>
  <c r="F15" i="3" s="1"/>
  <c r="J15" i="3"/>
  <c r="L15" i="3" s="1"/>
  <c r="E17" i="3"/>
  <c r="F17" i="3" s="1"/>
  <c r="T17" i="3" s="1"/>
  <c r="Q20" i="1" s="1"/>
  <c r="J17" i="3"/>
  <c r="L17" i="3" s="1"/>
  <c r="S17" i="3" s="1"/>
  <c r="O20" i="1" s="1"/>
  <c r="F41" i="14"/>
  <c r="J14" i="3"/>
  <c r="L14" i="3" s="1"/>
  <c r="S14" i="3" s="1"/>
  <c r="O17" i="1" s="1"/>
  <c r="F41" i="9"/>
  <c r="E14" i="3"/>
  <c r="F14" i="3" s="1"/>
  <c r="T14" i="3" s="1"/>
  <c r="Q17" i="1" s="1"/>
  <c r="F41" i="7"/>
  <c r="E11" i="3"/>
  <c r="F11" i="3" s="1"/>
  <c r="J11" i="3"/>
  <c r="F38" i="17"/>
  <c r="F38" i="12"/>
  <c r="I38" i="11"/>
  <c r="F38" i="16"/>
  <c r="F41" i="13"/>
  <c r="J18" i="3"/>
  <c r="L18" i="3" s="1"/>
  <c r="E18" i="3"/>
  <c r="F18" i="3" s="1"/>
  <c r="F41" i="12"/>
  <c r="E16" i="3"/>
  <c r="F16" i="3" s="1"/>
  <c r="J16" i="3"/>
  <c r="L16" i="3" s="1"/>
  <c r="S16" i="3" s="1"/>
  <c r="O19" i="1" s="1"/>
  <c r="I38" i="15"/>
  <c r="F38" i="11"/>
  <c r="I38" i="7"/>
  <c r="S12" i="3"/>
  <c r="O15" i="1" s="1"/>
  <c r="S15" i="3"/>
  <c r="O18" i="1" s="1"/>
  <c r="T21" i="3" l="1"/>
  <c r="Q24" i="1" s="1"/>
  <c r="T13" i="3"/>
  <c r="Q16" i="1" s="1"/>
  <c r="J22" i="3"/>
  <c r="L11" i="3"/>
  <c r="T20" i="3"/>
  <c r="Q23" i="1" s="1"/>
  <c r="T12" i="3"/>
  <c r="Q15" i="1" s="1"/>
  <c r="F22" i="3"/>
  <c r="S18" i="3"/>
  <c r="O21" i="1" s="1"/>
  <c r="I22" i="3"/>
  <c r="H25" i="1" s="1"/>
  <c r="T15" i="3"/>
  <c r="Q18" i="1" s="1"/>
  <c r="T16" i="3"/>
  <c r="Q19" i="1" s="1"/>
  <c r="I38" i="13"/>
  <c r="L22" i="3" l="1"/>
  <c r="K25" i="1" s="1"/>
  <c r="O25" i="1" s="1"/>
  <c r="S11" i="3"/>
  <c r="T18" i="3"/>
  <c r="Q21" i="1" s="1"/>
  <c r="S22" i="3" l="1"/>
  <c r="O14" i="1"/>
  <c r="T11" i="3"/>
  <c r="T22" i="3" l="1"/>
  <c r="T23" i="3" s="1"/>
  <c r="U11" i="3"/>
  <c r="Q14" i="1"/>
  <c r="Q25" i="1" l="1"/>
  <c r="V14" i="1"/>
  <c r="V19" i="1" s="1"/>
</calcChain>
</file>

<file path=xl/sharedStrings.xml><?xml version="1.0" encoding="utf-8"?>
<sst xmlns="http://schemas.openxmlformats.org/spreadsheetml/2006/main" count="1201" uniqueCount="473">
  <si>
    <t>Tribunal Regional Federal da 6ª Região</t>
  </si>
  <si>
    <t>Belo Horizonte - MG</t>
  </si>
  <si>
    <t>Seção de Gestão e Suporte a Contratos de Terceirização - Seget/MG</t>
  </si>
  <si>
    <t xml:space="preserve">OCORRÊNCIAS MENSAIS DO FATURAMENTO </t>
  </si>
  <si>
    <t>UTILIZAÇÃO DO GESTOR CONTRATUAL PARA REALIZAÇÃO DO FATURAMENTO MENSAL</t>
  </si>
  <si>
    <t>DEFINIR VERSÃO DE APRESENTAÇÃO:</t>
  </si>
  <si>
    <t>PLANILHA PARA LICITAÇÃO (PRECIFICAÇÃO)</t>
  </si>
  <si>
    <t>DEFINIR BASE DE DESCONTOS/GLOSAS:</t>
  </si>
  <si>
    <t>MÊS CONTÁBIL</t>
  </si>
  <si>
    <r>
      <rPr>
        <b/>
        <sz val="10"/>
        <color rgb="FFFF0000"/>
        <rFont val="Calibri"/>
        <family val="2"/>
        <charset val="1"/>
      </rPr>
      <t xml:space="preserve">INSTRUÇÕES DE PREENCHIMENTO
UTILIZAÇÃO EXCLUSIVA FISCAL/GESTOR
PARA AUXILIAR NO VALOR DE FATURAMENTO
</t>
    </r>
    <r>
      <rPr>
        <b/>
        <sz val="10"/>
        <rFont val="Calibri"/>
        <family val="2"/>
        <charset val="1"/>
      </rPr>
      <t xml:space="preserve">
Preencher as células destacadas na cor vermelha para realização dos cálculos das demais abas.
Não é necessário preenchimento de outras abas.</t>
    </r>
  </si>
  <si>
    <t>Informar número de Postos que não utilizam V.T.
(Coluna "D")</t>
  </si>
  <si>
    <t>Desconto automático de V.T.
(Coluna "E")</t>
  </si>
  <si>
    <t>Desconto automático de V.T.
(Coluna "F")</t>
  </si>
  <si>
    <t>Preencher o número de dias úteis em que o optante de V.T realizou trabalho em Home Office
(Coluna "G")</t>
  </si>
  <si>
    <t>Preencher o número de dias (corridos) que o terceirizado que não recebe vt ficou afastado por férias ou faltas
(Coluna "H")</t>
  </si>
  <si>
    <t>Conversão das horas de ausências em dias de ausências
(Coluna "I")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</si>
  <si>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</si>
  <si>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</si>
  <si>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</si>
  <si>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Desconto de V.A. por dias de recesso forense e/ou ponto facultativo.
(Coluna "M")</t>
  </si>
  <si>
    <t>Nº de dias de férias sem substituição quando o adicional de insalubridade é passado para outra servente do quadro 
(Coluna "N")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</si>
  <si>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</si>
  <si>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</si>
  <si>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</si>
  <si>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</si>
  <si>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</si>
  <si>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</si>
  <si>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</si>
  <si>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</si>
  <si>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</si>
  <si>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</si>
  <si>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</si>
  <si>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</si>
  <si>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Dias de Home Office para os postos Optantes de V.T.</t>
  </si>
  <si>
    <t>Ajuste de V.T para fornecimento para
postos Não Optantes</t>
  </si>
  <si>
    <t>Dias de faltas após conversão das horas
(planilha auxiliar)</t>
  </si>
  <si>
    <t>Quant. Atrasos e Faltas</t>
  </si>
  <si>
    <t>Dias de Férias</t>
  </si>
  <si>
    <t>Dias de Glosas de V.A no Mês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</si>
  <si>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</si>
  <si>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</si>
  <si>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</si>
  <si>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</si>
  <si>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</si>
  <si>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</si>
  <si>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</si>
  <si>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</si>
  <si>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</si>
  <si>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r>
      <rPr>
        <b/>
        <sz val="10"/>
        <rFont val="Calibri"/>
        <family val="2"/>
        <charset val="1"/>
      </rPr>
      <t xml:space="preserve">RETENÇÃO 
GLOSA CONTA VINCULADA
</t>
    </r>
    <r>
      <rPr>
        <b/>
        <sz val="10"/>
        <color rgb="FFFF0000"/>
        <rFont val="Calibri"/>
        <family val="2"/>
        <charset val="1"/>
      </rPr>
      <t>(VERIFICAR NECESSIDADE)</t>
    </r>
  </si>
  <si>
    <t>SIM</t>
  </si>
  <si>
    <t>ELEMENTO 1</t>
  </si>
  <si>
    <t>ELEMENTO 2</t>
  </si>
  <si>
    <t>ELEMENTO 3</t>
  </si>
  <si>
    <t>ELEMENTO 4</t>
  </si>
  <si>
    <t>ELEMENTO 5</t>
  </si>
  <si>
    <t>VALOR TOTAL GLOSADOS</t>
  </si>
  <si>
    <t>OBSERVAÇÕES:</t>
  </si>
  <si>
    <t>1. Para apoio ao lançamento de ausências de horas, sugere-se a utilização da planilha complementar abaixo. O preenchimento das horas convertidas deve ocorrer na Coluna "I".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</si>
  <si>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</si>
  <si>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</si>
  <si>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</si>
  <si>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</si>
  <si>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</si>
  <si>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Obs: Informar a jornada de trabalho do posto analisado. Em sequência, informar as horas completas faltantes e posteriormente os minutos. Ex: 10:25h faltantes - Lançar 10 na célula "D22" e lançar 25 na célula "E22". Lançar o resultado convertido na coluna "H".</t>
  </si>
  <si>
    <t>LISTA PARA OPÇÕES DE GLOSAS</t>
  </si>
  <si>
    <t>DIAS ÚTEIS (CONTRATO)</t>
  </si>
  <si>
    <t>Obs: Desconto por dias definidos em contrato.</t>
  </si>
  <si>
    <t>Obs: Desconto atualmente aplicado (30 dias corridos).</t>
  </si>
  <si>
    <t>DIAS DO MÊS VIGENTE</t>
  </si>
  <si>
    <t>Informar</t>
  </si>
  <si>
    <t>Obs: Desconto por dias úteis mensais, ocorrência variável, devendo ser informado mensalmente.</t>
  </si>
  <si>
    <t>LISTA PARA JORNADA DE TRABALHO</t>
  </si>
  <si>
    <t>DIVISOR DE HORAS</t>
  </si>
  <si>
    <t>LISTA PARA TOTAL DE POSTOS</t>
  </si>
  <si>
    <t>INSTRUÇÕES DE PREENCHIMENTO - ANEXO IX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</si>
  <si>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</si>
  <si>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</si>
  <si>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</si>
  <si>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</si>
  <si>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t>As demais células, estarão bloqueadas para edição das licitantes.</t>
  </si>
  <si>
    <t>3.</t>
  </si>
  <si>
    <t>As Abas necessárias para o preenchimento estão organizadas em uma sequencia lógica, sendo Dados; Encargos; Uniforme, devidamente abreviadas para otimização da planilha.</t>
  </si>
  <si>
    <t>Sugere-se o preenchimento das seguintes abas em sequência, Dados, Encargos, Uniforme, para a realização de cálulos completa da planilha de composição de custos.</t>
  </si>
  <si>
    <t>3.1</t>
  </si>
  <si>
    <t>Estas Abas estarão destacadas na Cor Amarela.</t>
  </si>
  <si>
    <t>3.2</t>
  </si>
  <si>
    <t>PREENCHIMENTO ABA "DADOS"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</si>
  <si>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"E21:E25").</t>
  </si>
  <si>
    <t xml:space="preserve"> - Informar piso salarial de cada categoria, correspondente à jornada de 220h. (Células "E8":"E18") na eventualidade de ser superior aos salários fixados.</t>
  </si>
  <si>
    <t xml:space="preserve"> - Informar o percentual correspondente ao RAT, conforme atividade principal da licitante. (Célula "G31").</t>
  </si>
  <si>
    <t xml:space="preserve"> - Informar o valor unitário do Seguro de Vida, nos casos exigidos, conforme legislação vigente. (Célula "G35").</t>
  </si>
  <si>
    <t xml:space="preserve"> - Informar o valor unitário do Programa de Assistência Familiar - PAF, nos casos exigidos, conforme legislação vigente. (Célula "G36").</t>
  </si>
  <si>
    <t xml:space="preserve"> - Informar o quantitativo unitário diário de tarifas de transporte público (ex.: 2 tarifas para ida e 2 tarifas para volta = Total de 4 tarifas). (Célula "G40 e G42").</t>
  </si>
  <si>
    <t xml:space="preserve"> - Informar o valor unitário da tarifa de transporte público vigente à data de apresentação da proposta, nos casos exigidos, conforme legislação vigente. (Célula "G41 e G43").</t>
  </si>
  <si>
    <t xml:space="preserve"> - Informar o percentual de desconto à título de participação do trabalhador em relação ao fornecimento de vale transporte, nos casos exigidos, conforme legislação vigente. (Célula "G45").</t>
  </si>
  <si>
    <t xml:space="preserve"> - Informar o valor unitário do tícket de Vale Alimentação, nos casos exigidos, conforme legislação vigente. (Célula "G37").</t>
  </si>
  <si>
    <t xml:space="preserve"> - Informar o percentual de desconto à título de participação do trabalhador em relação ao fornecimento de Vale Alimentação, nos casos exigidos, conforme legislação vigente. (Célula "G39").</t>
  </si>
  <si>
    <t xml:space="preserve"> - Incluir outros custos não previstos previamente, bem como descreve-los, em caso de previsão legal, devendo ser apresentadas justificativas para a inserção. (Células "B46" e "H46").</t>
  </si>
  <si>
    <t xml:space="preserve"> - Incluir outros custos não previstos previamente, bem como descreve-los, em caso de previsão legal, devendo ser apresentadas justificativas para a inserção. (Células "B47" e "G47").</t>
  </si>
  <si>
    <t xml:space="preserve"> - Informar o percentual relativo às Despesas Administrativas da licitante. (Células "G50").</t>
  </si>
  <si>
    <t xml:space="preserve"> - Informar o percentual relativo ao Lucro da licitante. (Células "G51").</t>
  </si>
  <si>
    <t xml:space="preserve"> - Informar a opção tributária da licitante (Células "F57") conforme legislação vigente, OBSERVANDO as instruções contantes na Célula "B54".</t>
  </si>
  <si>
    <t xml:space="preserve"> - Informar o percentual da alíquota COFINS (Células "G58") conforme legislação vigente, OBSERVANDO as instruções contantes na Célula "B54".</t>
  </si>
  <si>
    <t xml:space="preserve"> - Informar o percentual da alíquota PIS/PASEP (Células "G59") conforme legislação vigente, OBSERVANDO as instruções contantes na Célula "B54".</t>
  </si>
  <si>
    <t xml:space="preserve"> - Incluir outros impostos não inseridos previamente, bem como descreve-los, em caso de previsão legal, devendo ser apresentadas justificativas para a inserção. (Célula "G61").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</si>
  <si>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</si>
  <si>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</si>
  <si>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</si>
  <si>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</si>
  <si>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"B57"), com as demais instruções cabíveis aos percentuais dispostos nesta Aba.</t>
  </si>
  <si>
    <t>3.4</t>
  </si>
  <si>
    <t>PREENCHIMENTO ABA "UNIFORMES"</t>
  </si>
  <si>
    <t xml:space="preserve"> - Informar os valores unitários de cada peça de uniforme nas células destacadas em amarelo dispostas na "Coluna E", de acordo com sua descrição no Anexo IV - Uniformes.</t>
  </si>
  <si>
    <t>4.</t>
  </si>
  <si>
    <r>
      <rPr>
        <b/>
        <sz val="11"/>
        <rFont val="Calibri"/>
        <family val="2"/>
        <charset val="1"/>
      </rPr>
      <t xml:space="preserve">Destaca-se que após o preenchimento destas Abas, os preços individuais das categorias profissionais serão refletidos para as suas abas correspondentes </t>
    </r>
    <r>
      <rPr>
        <sz val="11"/>
        <rFont val="Calibri"/>
        <family val="2"/>
        <charset val="1"/>
      </rPr>
      <t>(Ascensorista, Atendente, Auxiliar de Almoxarifado, Aux. Administrativo - Classe I, II, III e IV, Assistente de Apoio Financeiro, Encarregado Geral, Operador e Editor de Áudio e Vídeo, Recepcionista).</t>
    </r>
  </si>
  <si>
    <t>4.1</t>
  </si>
  <si>
    <r>
      <rPr>
        <b/>
        <sz val="11"/>
        <color rgb="FFCC0000"/>
        <rFont val="Calibri"/>
        <family val="2"/>
        <charset val="1"/>
      </rPr>
      <t xml:space="preserve">Não será necessário realizar nenhuma alteração nas abas contendo o detalhamento de custos de cada categoria profissional. </t>
    </r>
    <r>
      <rPr>
        <b/>
        <sz val="11"/>
        <rFont val="Calibri"/>
        <family val="2"/>
        <charset val="1"/>
      </rPr>
      <t>Estas abas conterão apenas o reflexo dos dados preenchdidos nas abas anteriores (conforme explicação nº 3).</t>
    </r>
  </si>
  <si>
    <t>4.2</t>
  </si>
  <si>
    <t>Estas abas estão destacadas na Cor Cinza.</t>
  </si>
  <si>
    <t>5.</t>
  </si>
  <si>
    <t>A Aba "Resumo", contém o detalhadamento dos custos unitários por categoria profissional, além de conter o preço final da proposta.</t>
  </si>
  <si>
    <t>5.1</t>
  </si>
  <si>
    <t>Para efeitos de lance/oferta as licitantes devem considerar o valor da célula "Q22", da Aba "Resumo", correspondente ao VALOR MENSAL.</t>
  </si>
  <si>
    <t>5.2</t>
  </si>
  <si>
    <t>Esta aba está destacada na Cor Azul.</t>
  </si>
  <si>
    <t>PLANILHA DE CUSTOS E FORMAÇÃO DE PREÇOS - RESUMO</t>
  </si>
  <si>
    <t>PREÇO MENSAL INTEGRAL</t>
  </si>
  <si>
    <t xml:space="preserve">MÊS: </t>
  </si>
  <si>
    <t>VALORES EM R$</t>
  </si>
  <si>
    <t>ELEMENTO DE DESPESA</t>
  </si>
  <si>
    <t>CATEGORIA PROFISSIONAL</t>
  </si>
  <si>
    <t>TOTAL DO FATURAMENTO MENSAL</t>
  </si>
  <si>
    <t>TOTAL DO FATURAMENTO POR ELEMENTO DE DESPESA</t>
  </si>
  <si>
    <t>CUSTO MENSAL</t>
  </si>
  <si>
    <t>GLOSA VALE-TRANSPORTE</t>
  </si>
  <si>
    <t>GLOSA DE ATRASOS, FALTAS E DESCONTO DO TITULAR EM FÉRIAS (sem material)</t>
  </si>
  <si>
    <t>GLOSA VALE ALIMENTAÇÃO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</si>
  <si>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</si>
  <si>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</si>
  <si>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</si>
  <si>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</si>
  <si>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</si>
  <si>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Desconto de Vale Alimentação em recesso forense ou ponto facultativo.</t>
  </si>
  <si>
    <t>Total da Glosa de Atrasos, Faltas e Desconto do Titular em Férias sem substituição e desconto de VA</t>
  </si>
  <si>
    <t>Custo Unitário da categoria</t>
  </si>
  <si>
    <t>Custo Mensal da categoria</t>
  </si>
  <si>
    <t>Dias de afastamento</t>
  </si>
  <si>
    <t>Valor da Glosa do vale-transporte da categoria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</si>
  <si>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</si>
  <si>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</si>
  <si>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</si>
  <si>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</si>
  <si>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Custo Mensal  do vale alimentação da categoria com Encargos</t>
  </si>
  <si>
    <t>Dias de Recesso e/ou ponto facultativo</t>
  </si>
  <si>
    <t>Valor da Glosa do vale alimentação da categoria</t>
  </si>
  <si>
    <t xml:space="preserve">TOTAL DO FATURAMENTO MENSAL </t>
  </si>
  <si>
    <t>Valor a ser utilizado para lançamento da proposta / lance final de disputa. Valor Mensal.</t>
  </si>
  <si>
    <t>TOTAL DO FATURAMENTO ANUAL</t>
  </si>
  <si>
    <t>Seção de Gestão de Contratos de Terceirização - SEGET</t>
  </si>
  <si>
    <t>PLANILHA DE DADOS</t>
  </si>
  <si>
    <t>Valores em R$</t>
  </si>
  <si>
    <t>Elemento Despesa</t>
  </si>
  <si>
    <r>
      <rPr>
        <sz val="11"/>
        <rFont val="Calibri"/>
        <family val="2"/>
        <charset val="1"/>
      </rPr>
      <t xml:space="preserve">Salário Base I (para 220h/m)
</t>
    </r>
    <r>
      <rPr>
        <b/>
        <sz val="11"/>
        <rFont val="Calibri"/>
        <family val="2"/>
        <charset val="1"/>
      </rPr>
      <t>OBS 1</t>
    </r>
  </si>
  <si>
    <t>Salário Base II
(Conforme Jornada Contratada)
(R$)</t>
  </si>
  <si>
    <t>Percentual Adicional</t>
  </si>
  <si>
    <t>Remuneração Total
(Grupo A)
(R$)</t>
  </si>
  <si>
    <t>Uniforme
(R$)</t>
  </si>
  <si>
    <t>Ascensorista</t>
  </si>
  <si>
    <t>Atendente</t>
  </si>
  <si>
    <t>Auxiliar de Almoxarifado</t>
  </si>
  <si>
    <t>Auxiliar Administrativo - Classe I</t>
  </si>
  <si>
    <t>Auxiliar Administrativo - Classe II</t>
  </si>
  <si>
    <t>Auxiliar Administrativo - Classe III (Nível Superior)</t>
  </si>
  <si>
    <t>Auxiliar Administrativo - Classe IV (Nível Superior)</t>
  </si>
  <si>
    <t>Assistente de Apoio Financeiro (Nível Superior)</t>
  </si>
  <si>
    <t>Encarregado Geral</t>
  </si>
  <si>
    <t>Operador e Editor de Áudio e Vídeo</t>
  </si>
  <si>
    <t xml:space="preserve">Recepcionista </t>
  </si>
  <si>
    <r>
      <rPr>
        <b/>
        <sz val="11"/>
        <rFont val="Calibri"/>
        <family val="2"/>
        <charset val="1"/>
      </rPr>
      <t xml:space="preserve">OBS 1: </t>
    </r>
    <r>
      <rPr>
        <sz val="11"/>
        <rFont val="Calibri"/>
        <family val="2"/>
        <charset val="1"/>
      </rPr>
      <t>Inserir piso salarial correspondente à jornada de 220h mensais.</t>
    </r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</si>
  <si>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</si>
  <si>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</si>
  <si>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</si>
  <si>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</si>
  <si>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</si>
  <si>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SINDEAC/MG</t>
  </si>
  <si>
    <t>Informar o sindicato utilizado pela Licitante.</t>
  </si>
  <si>
    <t>Número de registro da CCT - Código MTE</t>
  </si>
  <si>
    <t>MG000001/2023</t>
  </si>
  <si>
    <t>Informar o número de registro da Convenção Coletiva de Tralbalho utilizada no processo licitatório, junto ao Ministério do Trabalho e Emprego.</t>
  </si>
  <si>
    <t>Vigência da CCT utilizada</t>
  </si>
  <si>
    <t>01/01/2023 à 31/12/2023</t>
  </si>
  <si>
    <t>Informar a vigência da Convenção Coletiva de Trabalho utilizada no processo licitatório.</t>
  </si>
  <si>
    <t>Data base da categoria</t>
  </si>
  <si>
    <t>01º de Janeiro</t>
  </si>
  <si>
    <t>Informar a data base da Convenção Coletiva de Trabalho utilizada no processo licitatório.</t>
  </si>
  <si>
    <t>ENCARGOS SOCIAIS E TRABALHISTAS</t>
  </si>
  <si>
    <t xml:space="preserve"> -</t>
  </si>
  <si>
    <t>Percentual de Encargos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</si>
  <si>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</si>
  <si>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</si>
  <si>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</si>
  <si>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</si>
  <si>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</si>
  <si>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BENEFÍCIOS</t>
  </si>
  <si>
    <t>Seguro de Vida em Grupo</t>
  </si>
  <si>
    <t>Inserir valor unitário mensal.</t>
  </si>
  <si>
    <t>Programa de Assistência Familiar (PAF)</t>
  </si>
  <si>
    <t>Vale Alimentação</t>
  </si>
  <si>
    <t>Valor Unitário do Ticket</t>
  </si>
  <si>
    <t>Inserir valor unitário do Ticket.</t>
  </si>
  <si>
    <t>Número de dias para fornecimento</t>
  </si>
  <si>
    <t>Número de dias fixo - Conforme item 11.4 do Termo de Referência.</t>
  </si>
  <si>
    <t>Custeio do trabalhador (participação legal)</t>
  </si>
  <si>
    <t>Inserir percentual de participação do trabalhador.</t>
  </si>
  <si>
    <t>Transporte</t>
  </si>
  <si>
    <t>Nº de Tarifas por dia (tarifa 1)</t>
  </si>
  <si>
    <t>Inserir a quantidade de tarifas diárias.</t>
  </si>
  <si>
    <t>Valor da tarifa 1</t>
  </si>
  <si>
    <t>Inserir o valor unitário da tarifa 1.</t>
  </si>
  <si>
    <t>Nº de Tarifas por dia (tarifa 2)</t>
  </si>
  <si>
    <t>Valor da tarifa 2</t>
  </si>
  <si>
    <t>Inserir o valor unitário da tarifa 2.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</si>
  <si>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</si>
  <si>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</si>
  <si>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</si>
  <si>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</si>
  <si>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</si>
  <si>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</si>
  <si>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</si>
  <si>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</si>
  <si>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</si>
  <si>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LUCRO REAL</t>
  </si>
  <si>
    <t>COFINS</t>
  </si>
  <si>
    <t>PIS/PASEP</t>
  </si>
  <si>
    <t>ISSQN</t>
  </si>
  <si>
    <t>Soma dos tributos</t>
  </si>
  <si>
    <t>PREVISÃO DE REAJUSTE IPCA - 12 (DOZE) MESES DE CONTRATO - INFORMATIVO PARA SER UTILIZADO DURANTE A GESTÃO CONTRATUAL</t>
  </si>
  <si>
    <t>UNIFORME</t>
  </si>
  <si>
    <t>SEGURO DE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</si>
  <si>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</si>
  <si>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</si>
  <si>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</si>
  <si>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</si>
  <si>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</si>
  <si>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</si>
  <si>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NÃO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</si>
  <si>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</si>
  <si>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</si>
  <si>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</si>
  <si>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</si>
  <si>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</si>
  <si>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</si>
  <si>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</si>
  <si>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SEGURO DE VIDA</t>
  </si>
  <si>
    <t>VALOR INICIAL DO CONTRATO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</si>
  <si>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</si>
  <si>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</si>
  <si>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</si>
  <si>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</si>
  <si>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</si>
  <si>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"G35")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</si>
  <si>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</si>
  <si>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</si>
  <si>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</si>
  <si>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</si>
  <si>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</si>
  <si>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</si>
  <si>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</si>
  <si>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</si>
  <si>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Nº T.A / APOSTILAMENTO / ALTERAÇÃO CONTRAT.</t>
  </si>
  <si>
    <t>Obs: Descrever alerações. EX: Como é realizado no Extrato.</t>
  </si>
  <si>
    <t>Planilha de Encargos Sociais e Trabalhistas</t>
  </si>
  <si>
    <t>ITEM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</si>
  <si>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</si>
  <si>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</si>
  <si>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</si>
  <si>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</si>
  <si>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</si>
  <si>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</si>
  <si>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</si>
  <si>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</si>
  <si>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</si>
  <si>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</si>
  <si>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Seguro Acidentes Trabalho - RAT</t>
  </si>
  <si>
    <t>SEBRAE</t>
  </si>
  <si>
    <t>Total Grupo A - Encargos previdenciários, FGTS e Outras Contribuições</t>
  </si>
  <si>
    <t>Grupo B</t>
  </si>
  <si>
    <t>Grupo B.1</t>
  </si>
  <si>
    <t>13º Salário e Adicional de Férias</t>
  </si>
  <si>
    <t>13º Salário</t>
  </si>
  <si>
    <t>Adicional de Férias</t>
  </si>
  <si>
    <t>Subtotal</t>
  </si>
  <si>
    <t>Incidência do Submódulo 4.1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</si>
  <si>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</si>
  <si>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</si>
  <si>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</si>
  <si>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</si>
  <si>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submódulo 4.1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</si>
  <si>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</si>
  <si>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</si>
  <si>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</si>
  <si>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</si>
  <si>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</si>
  <si>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</si>
  <si>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</si>
  <si>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submódulo 4.1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</si>
  <si>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</si>
  <si>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</si>
  <si>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</si>
  <si>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</si>
  <si>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</si>
  <si>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</si>
  <si>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</si>
  <si>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</si>
  <si>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</si>
  <si>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Incidência do submódulo 4.1 sobre custo de reposição</t>
  </si>
  <si>
    <t>PERCENTUAIS PARA CONTINGENCIAMENTO DE ENCARGOS TRABALHISTAS A SEREM APLICADOS SOBRE A NOTA FISCAL (UTILIZAÇÃO DURANTE A VIGÊNCIA CONTRATUAL)</t>
  </si>
  <si>
    <t>Total Grupo B.4 - Custo de reposição do profissional ausente</t>
  </si>
  <si>
    <t>Grupo C</t>
  </si>
  <si>
    <t>Outros (especificar)</t>
  </si>
  <si>
    <t>Título</t>
  </si>
  <si>
    <t>VARIAÇÃO RAT AJUSTADO 0,50% A 6%</t>
  </si>
  <si>
    <t>Indenização Adicional</t>
  </si>
  <si>
    <t>EMPRESAS</t>
  </si>
  <si>
    <t>Total Grupo C - Indenização Adicional</t>
  </si>
  <si>
    <t xml:space="preserve">Grupo </t>
  </si>
  <si>
    <t>Mínimo</t>
  </si>
  <si>
    <t>Máximo</t>
  </si>
  <si>
    <t>LICITANTE</t>
  </si>
  <si>
    <t>Quadro Resumo - Encargos Sociais e Trabalhistas</t>
  </si>
  <si>
    <t>SUBMÓDULO E.1 - da IN 02/2008 MPOG:</t>
  </si>
  <si>
    <t>SAT (RATxFAP):</t>
  </si>
  <si>
    <t>13º Salário + Adicional de Férias</t>
  </si>
  <si>
    <t>13º salário</t>
  </si>
  <si>
    <t>Férias</t>
  </si>
  <si>
    <t>Custo de Rescisão</t>
  </si>
  <si>
    <t>1/3 constitucional</t>
  </si>
  <si>
    <t>Custo de Reposição do profissional Ausente</t>
  </si>
  <si>
    <t>Incidência do Grupo A (*)</t>
  </si>
  <si>
    <t>Total dos Encargos Sociais Trabalhistas</t>
  </si>
  <si>
    <t>Multa do FGTS</t>
  </si>
  <si>
    <t>OBSERVAÇÃO:</t>
  </si>
  <si>
    <t>Encargos a contingenciar</t>
  </si>
  <si>
    <t>Não deverá haver alteração nos itens 9(9,09%), 10(3,03%), 13(3,49%) e 16(9,09%) dos percentuais acima, considerando que a Justiça Federal segue as diretrizes da IN 1/2016, de 20 de janeiro de 2016, do CJF.</t>
  </si>
  <si>
    <t>Taxa da conta-corrente vinculada (inciso II art. 2º IN 001/2013</t>
  </si>
  <si>
    <t>-</t>
  </si>
  <si>
    <t>Total a contingenciar</t>
  </si>
  <si>
    <r>
      <rPr>
        <b/>
        <sz val="10"/>
        <rFont val="Times New Roman"/>
        <family val="1"/>
        <charset val="1"/>
      </rPr>
      <t xml:space="preserve">VALORES UNITÁRIOS DO CONTRATO, CORRIGIDOS PELO REAJUSTE DE IPCA.
</t>
    </r>
    <r>
      <rPr>
        <b/>
        <sz val="10"/>
        <color rgb="FFFF0000"/>
        <rFont val="Times New Roman"/>
        <family val="1"/>
        <charset val="1"/>
      </rPr>
      <t>(SUBSTITUIR/IGUALAR MANUALMENTE OS PREÇOS UNITÁRIOS DA COLUNA "R" NA PLANILHA DE MATERIAIS - QUANDO HOUVER PLANIHA INICIAL DO CONTRATO)</t>
    </r>
  </si>
  <si>
    <t>CUSTO ESTIMATIVO DE PREÇO DOS UNIFORMES</t>
  </si>
  <si>
    <t>As especificações dos uniformes constam no Anexo IV - Uniformes</t>
  </si>
  <si>
    <t>VALOR INICIAL DO CONTRATO
(Informar após o término da licitação)</t>
  </si>
  <si>
    <t>Fórmula SE, para inclusão após o término do processo licitatório. (INSERIR NA CÉLULA "E7" em diante)</t>
  </si>
  <si>
    <t>CATEGORIA</t>
  </si>
  <si>
    <t>QUANT.</t>
  </si>
  <si>
    <t>TOTAL DO QUANTITATIVO</t>
  </si>
  <si>
    <t>MÉDIA DE PREÇO</t>
  </si>
  <si>
    <t>PREÇO UNITÁRIO</t>
  </si>
  <si>
    <t>Calça</t>
  </si>
  <si>
    <t>Blazer</t>
  </si>
  <si>
    <t>Camisa</t>
  </si>
  <si>
    <t>Calçado</t>
  </si>
  <si>
    <t>Cinto</t>
  </si>
  <si>
    <t>Gravata</t>
  </si>
  <si>
    <t>Soma</t>
  </si>
  <si>
    <t>CÁLCULO VALOR DO REPASSE MENSAL ASCENSORISTA</t>
  </si>
  <si>
    <t>CÁLCULO VALOR DO REPASSE MENSAL ATENDENTE</t>
  </si>
  <si>
    <t>Jaqueta</t>
  </si>
  <si>
    <t>CÁLCULO VALOR DO REPASSE MENSAL AUXILIAR DE ALMOXARIFADO</t>
  </si>
  <si>
    <t>Auxiliar Administrativo - Classes I,II, III e IV</t>
  </si>
  <si>
    <t xml:space="preserve">CÁLCULO VALOR DO REPASSE MENSAL AUXILIARES ADMINISTRATIVO CLASSE I a IV </t>
  </si>
  <si>
    <t>Assistente de Apoio Financeiro</t>
  </si>
  <si>
    <t>CÁLCULO VALOR DO REPASSE MENSAL ASSISTENTE  DE APOIO FINANCEIRO</t>
  </si>
  <si>
    <t>CÁLCULO VALOR DO REPASSE MENSAL ENCARREGADO GERAL</t>
  </si>
  <si>
    <t>Operador, Editor de Áudio e Vídeo</t>
  </si>
  <si>
    <t>CÁLCULO VALOR DO REPASSE MENSAL OPERADOR E EDITOR DE ÁUDIO E VÍDEO</t>
  </si>
  <si>
    <t>Recepcionista</t>
  </si>
  <si>
    <t>CÁLCULO VALOR DO REPASSE MENSAL RECEPCIONISTA</t>
  </si>
  <si>
    <t>Planilha de Custo e Formação de Preço Mensal Estimativo Por Categoria</t>
  </si>
  <si>
    <t>ANEXO IX</t>
  </si>
  <si>
    <t>CUSTO UNITÁRIO DA CATEGORIA</t>
  </si>
  <si>
    <t>VALOR VALE ALIMENTAÇÃO</t>
  </si>
  <si>
    <t>VALOR MATERIAL</t>
  </si>
  <si>
    <t>VALOR VALE- TRANSPORTE</t>
  </si>
  <si>
    <t>33390.37.01 - Apoio Administrativo, Técnico e Operacional</t>
  </si>
  <si>
    <t>Item</t>
  </si>
  <si>
    <t>Função</t>
  </si>
  <si>
    <t>Carga Horária Mensal</t>
  </si>
  <si>
    <t xml:space="preserve"> Salário Base</t>
  </si>
  <si>
    <t>Valor Unitário</t>
  </si>
  <si>
    <t>TOTAL DA REMUNERAÇÃO</t>
  </si>
  <si>
    <t xml:space="preserve">Encargos sociais e trabalhistas                         </t>
  </si>
  <si>
    <t>Total do Montante "A" ( Mão-de-Obra)</t>
  </si>
  <si>
    <t>MONTANTE "B" - INSUMOS</t>
  </si>
  <si>
    <t>Itens</t>
  </si>
  <si>
    <t>Quant.</t>
  </si>
  <si>
    <t>Valor Unitario</t>
  </si>
  <si>
    <t>Uniforme</t>
  </si>
  <si>
    <t xml:space="preserve">Seguro de vida  </t>
  </si>
  <si>
    <t>Programa de Assistência Familiar</t>
  </si>
  <si>
    <t>Vale-Alimentação</t>
  </si>
  <si>
    <t>Vale-Transporte</t>
  </si>
  <si>
    <t>Total do Montante "B" (Insumos)</t>
  </si>
  <si>
    <t>Montante "A" + Montante "B"</t>
  </si>
  <si>
    <t>MONTANTE "C" - DEMAIS COMPONENTES</t>
  </si>
  <si>
    <t>ITENS</t>
  </si>
  <si>
    <t>Percentual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</si>
  <si>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</si>
  <si>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</si>
  <si>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</si>
  <si>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</si>
  <si>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</si>
  <si>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</si>
  <si>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FATOR K</t>
  </si>
  <si>
    <t>Vale Transporte</t>
  </si>
  <si>
    <t>Seção de Gestão e Suporte a Contratos de Terceirização</t>
  </si>
  <si>
    <t xml:space="preserve">ANEXO IX - PLANILHA DE CUSTO E FORMAÇÃO DE PREÇO MENSAL ESTIMATIVO DO PROFISSIONAL SUBSTITUTO DO TITULAR EM FÉRIAS </t>
  </si>
  <si>
    <t xml:space="preserve">DESCRIÇÃO </t>
  </si>
  <si>
    <t>4.5</t>
  </si>
  <si>
    <t>Valor em R$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</si>
  <si>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</si>
  <si>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</si>
  <si>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</si>
  <si>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</si>
  <si>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</si>
  <si>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</si>
  <si>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B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</si>
  <si>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</si>
  <si>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</si>
  <si>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</si>
  <si>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</si>
  <si>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</si>
  <si>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</si>
  <si>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</si>
  <si>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</si>
  <si>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</si>
  <si>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</si>
  <si>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</si>
  <si>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</si>
  <si>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</si>
  <si>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</si>
  <si>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</si>
  <si>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</si>
  <si>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</si>
  <si>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</si>
  <si>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</si>
  <si>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</si>
  <si>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</si>
  <si>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</si>
  <si>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</si>
  <si>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</si>
  <si>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</si>
  <si>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</si>
  <si>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</si>
  <si>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</si>
  <si>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</si>
  <si>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</si>
  <si>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</si>
  <si>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</si>
  <si>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</si>
  <si>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</si>
  <si>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</si>
  <si>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</si>
  <si>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</si>
  <si>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</si>
  <si>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</si>
  <si>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</si>
  <si>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</si>
  <si>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</si>
  <si>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</si>
  <si>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</si>
  <si>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</si>
  <si>
    <t xml:space="preserve"> - Informar o fator correspdente ao FAP, conforme extraído do relatório FapWeb. (Célula "G32").</t>
  </si>
  <si>
    <t>Os salários apresentados nas propostas não poderão ser inferiores aos apresentados na estimativa, ressalvada disposição mais favorável ao empregado, conforme CCT vinculante 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</si>
</sst>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R$&quot;* #,##0.00_);_(&quot;R$&quot;* \(#,##0.00\);_(&quot;R$&quot;* \-??_);_(@_)"/>
    <numFmt numFmtId="165" formatCode="_(&quot;R$ &quot;* #,##0.00_);_(&quot;R$ &quot;* \(#,##0.00\);_(&quot;R$ &quot;* \-??_);_(@_)"/>
    <numFmt numFmtId="166" formatCode="_(&quot;Cr$&quot;* #,##0.00_);_(&quot;Cr$&quot;* \(#,##0.00\);_(&quot;Cr$&quot;* \-??_);_(@_)"/>
    <numFmt numFmtId="167" formatCode="_-&quot;R$ &quot;* #,##0.00_-;&quot;-R$ &quot;* #,##0.00_-;_-&quot;R$ &quot;* \-??_-;_-@_-"/>
    <numFmt numFmtId="168" formatCode="_(* #,##0.00_);_(* \(#,##0.00\);_(* \-??_);_(@_)"/>
    <numFmt numFmtId="169" formatCode="_-* #,##0.00_-;\-* #,##0.00_-;_-* \-??_-;_-@_-"/>
    <numFmt numFmtId="170" formatCode="#,##0.00_ ;\-#,##0.00\ "/>
    <numFmt numFmtId="171" formatCode="0.0000"/>
    <numFmt numFmtId="172" formatCode="* #,##0.00\ ;* \(#,##0.00\);* \-#\ ;@\ "/>
    <numFmt numFmtId="173" formatCode="d/m/yyyy"/>
    <numFmt numFmtId="174" formatCode="* #,##0\ ;* \(#,##0\);* \-#\ ;@\ "/>
  </numFmts>
  <fonts count="77" x14ac:knownFonts="1">
    <font>
      <sz val="10"/>
      <name val="Times New Roman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5"/>
      <color rgb="FF3366FF"/>
      <name val="Calibri"/>
      <family val="2"/>
      <charset val="1"/>
    </font>
    <font>
      <b/>
      <sz val="15"/>
      <color rgb="FF10243E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"/>
    </font>
    <font>
      <b/>
      <sz val="18"/>
      <name val="Calibri"/>
      <family val="2"/>
      <charset val="1"/>
    </font>
    <font>
      <sz val="12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/>
      <i/>
      <u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name val="Calibri"/>
      <family val="2"/>
      <charset val="1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b/>
      <u/>
      <sz val="11"/>
      <name val="Calibri"/>
      <family val="2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color rgb="FFCC0000"/>
      <name val="Calibri"/>
      <family val="2"/>
      <charset val="1"/>
    </font>
    <font>
      <b/>
      <sz val="11"/>
      <color rgb="FFCC0000"/>
      <name val="Times New Roman"/>
      <family val="1"/>
      <charset val="1"/>
    </font>
    <font>
      <b/>
      <sz val="10"/>
      <color rgb="FFCC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1"/>
      <name val="Arial"/>
      <family val="2"/>
      <charset val="1"/>
    </font>
    <font>
      <sz val="10"/>
      <color rgb="FF000000"/>
      <name val="Calibri"/>
      <family val="2"/>
      <charset val="1"/>
    </font>
    <font>
      <b/>
      <i/>
      <sz val="14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2.5"/>
      <name val="Calibri"/>
      <family val="2"/>
      <charset val="1"/>
    </font>
    <font>
      <b/>
      <sz val="8"/>
      <name val="Calibri"/>
      <family val="2"/>
      <charset val="1"/>
    </font>
    <font>
      <sz val="8"/>
      <name val="Calibri"/>
      <family val="2"/>
      <charset val="1"/>
    </font>
    <font>
      <b/>
      <sz val="9"/>
      <name val="Calibri"/>
      <family val="2"/>
      <charset val="1"/>
    </font>
    <font>
      <b/>
      <sz val="12"/>
      <name val="Calibri"/>
      <family val="2"/>
      <charset val="1"/>
    </font>
    <font>
      <sz val="11"/>
      <color rgb="FF0066CC"/>
      <name val="Calibri"/>
      <family val="2"/>
      <charset val="1"/>
    </font>
    <font>
      <sz val="10"/>
      <color rgb="FF0066CC"/>
      <name val="Arial"/>
      <family val="2"/>
      <charset val="1"/>
    </font>
    <font>
      <sz val="10"/>
      <color rgb="FF0066CC"/>
      <name val="Calibri"/>
      <family val="2"/>
      <charset val="1"/>
    </font>
    <font>
      <b/>
      <sz val="10"/>
      <color rgb="FF0066CC"/>
      <name val="Calibri"/>
      <family val="2"/>
      <charset val="1"/>
    </font>
    <font>
      <sz val="11"/>
      <color rgb="FF0066CC"/>
      <name val="Arial"/>
      <family val="2"/>
      <charset val="1"/>
    </font>
    <font>
      <b/>
      <sz val="11"/>
      <color rgb="FF0066CC"/>
      <name val="Arial"/>
      <family val="2"/>
      <charset val="1"/>
    </font>
    <font>
      <sz val="9"/>
      <color rgb="FF000000"/>
      <name val="Calibri"/>
      <family val="2"/>
      <charset val="1"/>
    </font>
    <font>
      <sz val="9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9"/>
      <name val="Times New Roman"/>
      <family val="1"/>
      <charset val="1"/>
    </font>
    <font>
      <b/>
      <sz val="18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b/>
      <sz val="10"/>
      <color rgb="FFCC0000"/>
      <name val="Calibri"/>
      <family val="2"/>
      <charset val="1"/>
    </font>
    <font>
      <sz val="10"/>
      <color rgb="FFCC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9"/>
      <color rgb="FFCC0000"/>
      <name val="Calibri"/>
      <family val="2"/>
      <charset val="1"/>
    </font>
    <font>
      <b/>
      <sz val="10"/>
      <color rgb="FFFF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3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Times New Roman"/>
      <family val="1"/>
      <charset val="1"/>
    </font>
    <font>
      <b/>
      <sz val="9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1"/>
      <name val="Arial Narrow"/>
      <family val="2"/>
      <charset val="1"/>
    </font>
    <font>
      <b/>
      <sz val="8"/>
      <color rgb="FFFF0000"/>
      <name val="Arial"/>
      <family val="2"/>
      <charset val="1"/>
    </font>
    <font>
      <sz val="10"/>
      <name val="Times New Roman"/>
      <charset val="1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2DCDB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AE3F3"/>
      </patternFill>
    </fill>
    <fill>
      <patternFill patternType="solid">
        <fgColor rgb="FFF2DCDB"/>
        <bgColor rgb="FFDDDDDD"/>
      </patternFill>
    </fill>
    <fill>
      <patternFill patternType="solid">
        <fgColor rgb="FF606060"/>
        <bgColor rgb="FF808080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F2F2F2"/>
      </patternFill>
    </fill>
    <fill>
      <patternFill patternType="solid">
        <fgColor rgb="FFA9F9F5"/>
        <bgColor rgb="FFDCE6F2"/>
      </patternFill>
    </fill>
    <fill>
      <patternFill patternType="solid">
        <fgColor rgb="FFF2F2F2"/>
        <bgColor rgb="FFEEEEEE"/>
      </patternFill>
    </fill>
    <fill>
      <patternFill patternType="solid">
        <fgColor rgb="FFB4C7E7"/>
        <bgColor rgb="FFC0C0C0"/>
      </patternFill>
    </fill>
    <fill>
      <patternFill patternType="solid">
        <fgColor rgb="FF10243E"/>
        <bgColor rgb="FF333333"/>
      </patternFill>
    </fill>
    <fill>
      <patternFill patternType="solid">
        <fgColor rgb="FFDAE3F3"/>
        <bgColor rgb="FFDCE6F2"/>
      </patternFill>
    </fill>
    <fill>
      <patternFill patternType="solid">
        <fgColor rgb="FFC0C0C0"/>
        <bgColor rgb="FFB4C7E7"/>
      </patternFill>
    </fill>
    <fill>
      <patternFill patternType="solid">
        <fgColor rgb="FF808080"/>
        <bgColor rgb="FF606060"/>
      </patternFill>
    </fill>
    <fill>
      <patternFill patternType="solid">
        <fgColor rgb="FF95B3D7"/>
        <bgColor rgb="FFB4C7E7"/>
      </patternFill>
    </fill>
    <fill>
      <patternFill patternType="solid">
        <fgColor rgb="FF1F497D"/>
        <bgColor rgb="FF333333"/>
      </patternFill>
    </fill>
    <fill>
      <patternFill patternType="solid">
        <fgColor rgb="FF00B0F0"/>
        <bgColor rgb="FF3366FF"/>
      </patternFill>
    </fill>
  </fills>
  <borders count="81">
    <border>
      <left/>
      <right/>
      <top/>
      <bottom/>
      <diagonal/>
    </border>
    <border>
      <left/>
      <right/>
      <top/>
      <bottom style="thick">
        <color rgb="FF1F497D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3">
    <xf numFmtId="0" fontId="0" fillId="0" borderId="0"/>
    <xf numFmtId="0" fontId="1" fillId="0" borderId="0" applyBorder="0" applyProtection="0"/>
    <xf numFmtId="167" fontId="2" fillId="0" borderId="0" applyBorder="0" applyProtection="0"/>
    <xf numFmtId="9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5" fontId="1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1" fillId="0" borderId="0" applyBorder="0" applyProtection="0"/>
    <xf numFmtId="165" fontId="2" fillId="0" borderId="0" applyBorder="0" applyProtection="0"/>
    <xf numFmtId="164" fontId="1" fillId="0" borderId="0" applyBorder="0" applyProtection="0"/>
    <xf numFmtId="166" fontId="2" fillId="0" borderId="0" applyBorder="0" applyProtection="0"/>
    <xf numFmtId="166" fontId="2" fillId="0" borderId="0" applyBorder="0" applyProtection="0"/>
    <xf numFmtId="167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6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2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2" fillId="0" borderId="0" applyBorder="0" applyProtection="0"/>
    <xf numFmtId="9" fontId="2" fillId="0" borderId="0" applyBorder="0" applyProtection="0"/>
    <xf numFmtId="168" fontId="2" fillId="0" borderId="0" applyBorder="0" applyProtection="0"/>
    <xf numFmtId="168" fontId="2" fillId="0" borderId="0" applyBorder="0" applyProtection="0"/>
    <xf numFmtId="168" fontId="2" fillId="0" borderId="0" applyBorder="0" applyProtection="0"/>
    <xf numFmtId="168" fontId="1" fillId="0" borderId="0" applyBorder="0" applyProtection="0"/>
    <xf numFmtId="168" fontId="2" fillId="0" borderId="0" applyBorder="0" applyProtection="0"/>
    <xf numFmtId="168" fontId="2" fillId="0" borderId="0" applyBorder="0" applyProtection="0"/>
    <xf numFmtId="169" fontId="1" fillId="0" borderId="0" applyBorder="0" applyProtection="0"/>
    <xf numFmtId="168" fontId="2" fillId="0" borderId="0" applyBorder="0" applyProtection="0"/>
    <xf numFmtId="169" fontId="2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2" fillId="0" borderId="0" applyBorder="0" applyProtection="0"/>
    <xf numFmtId="168" fontId="1" fillId="0" borderId="0" applyBorder="0" applyProtection="0"/>
    <xf numFmtId="169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2" fillId="0" borderId="0" applyBorder="0" applyProtection="0"/>
    <xf numFmtId="168" fontId="2" fillId="0" borderId="0" applyBorder="0" applyProtection="0"/>
    <xf numFmtId="168" fontId="2" fillId="0" borderId="0" applyBorder="0" applyProtection="0"/>
    <xf numFmtId="169" fontId="3" fillId="0" borderId="0" applyBorder="0" applyProtection="0"/>
    <xf numFmtId="169" fontId="4" fillId="0" borderId="0" applyBorder="0" applyProtection="0"/>
    <xf numFmtId="168" fontId="2" fillId="0" borderId="0" applyBorder="0" applyProtection="0"/>
    <xf numFmtId="0" fontId="5" fillId="0" borderId="1" applyProtection="0"/>
    <xf numFmtId="0" fontId="6" fillId="0" borderId="1" applyProtection="0"/>
    <xf numFmtId="169" fontId="3" fillId="0" borderId="0" applyBorder="0" applyProtection="0"/>
    <xf numFmtId="168" fontId="2" fillId="0" borderId="0" applyBorder="0" applyProtection="0"/>
    <xf numFmtId="169" fontId="4" fillId="0" borderId="0" applyBorder="0" applyProtection="0"/>
    <xf numFmtId="169" fontId="7" fillId="0" borderId="0" applyBorder="0" applyProtection="0"/>
    <xf numFmtId="168" fontId="2" fillId="0" borderId="0" applyBorder="0" applyProtection="0"/>
    <xf numFmtId="168" fontId="1" fillId="0" borderId="0" applyBorder="0" applyProtection="0"/>
    <xf numFmtId="172" fontId="1" fillId="0" borderId="0" applyBorder="0" applyProtection="0"/>
  </cellStyleXfs>
  <cellXfs count="803">
    <xf numFmtId="0" fontId="0" fillId="0" borderId="0" xfId="0"/>
    <xf numFmtId="0" fontId="8" fillId="0" borderId="0" xfId="16" applyFont="1"/>
    <xf numFmtId="0" fontId="8" fillId="0" borderId="0" xfId="16" applyFont="1" applyAlignment="1">
      <alignment horizontal="center"/>
    </xf>
    <xf numFmtId="0" fontId="8" fillId="0" borderId="0" xfId="16" applyFont="1" applyAlignment="1">
      <alignment horizontal="center" vertical="center"/>
    </xf>
    <xf numFmtId="0" fontId="8" fillId="0" borderId="2" xfId="16" applyFont="1" applyBorder="1"/>
    <xf numFmtId="0" fontId="9" fillId="0" borderId="3" xfId="0" applyFont="1" applyBorder="1" applyAlignment="1">
      <alignment horizontal="left"/>
    </xf>
    <xf numFmtId="0" fontId="10" fillId="0" borderId="4" xfId="15" applyFont="1" applyBorder="1"/>
    <xf numFmtId="0" fontId="8" fillId="0" borderId="4" xfId="16" applyFont="1" applyBorder="1"/>
    <xf numFmtId="0" fontId="8" fillId="0" borderId="5" xfId="16" applyFont="1" applyBorder="1"/>
    <xf numFmtId="0" fontId="9" fillId="0" borderId="0" xfId="0" applyFont="1" applyAlignment="1">
      <alignment horizontal="left"/>
    </xf>
    <xf numFmtId="0" fontId="10" fillId="0" borderId="0" xfId="15" applyFont="1"/>
    <xf numFmtId="0" fontId="12" fillId="0" borderId="0" xfId="16" applyFont="1" applyAlignment="1">
      <alignment horizontal="center" vertical="center"/>
    </xf>
    <xf numFmtId="0" fontId="12" fillId="0" borderId="0" xfId="16" applyFont="1" applyAlignment="1">
      <alignment vertical="center"/>
    </xf>
    <xf numFmtId="0" fontId="11" fillId="0" borderId="0" xfId="16" applyFont="1" applyAlignment="1">
      <alignment horizontal="center" vertical="center" wrapText="1"/>
    </xf>
    <xf numFmtId="0" fontId="12" fillId="0" borderId="0" xfId="16" applyFont="1" applyAlignment="1">
      <alignment vertical="center" wrapText="1"/>
    </xf>
    <xf numFmtId="0" fontId="14" fillId="2" borderId="6" xfId="16" applyFont="1" applyFill="1" applyBorder="1" applyAlignment="1">
      <alignment horizontal="center" vertical="center" wrapText="1"/>
    </xf>
    <xf numFmtId="0" fontId="8" fillId="0" borderId="0" xfId="16" applyFont="1" applyAlignment="1">
      <alignment horizontal="left" vertical="center"/>
    </xf>
    <xf numFmtId="0" fontId="8" fillId="0" borderId="6" xfId="16" applyFont="1" applyBorder="1" applyAlignment="1">
      <alignment horizontal="center" vertical="center" wrapText="1"/>
    </xf>
    <xf numFmtId="0" fontId="16" fillId="5" borderId="12" xfId="73" applyNumberFormat="1" applyFont="1" applyFill="1" applyBorder="1" applyAlignment="1" applyProtection="1">
      <alignment horizontal="center" vertical="center" wrapText="1"/>
    </xf>
    <xf numFmtId="0" fontId="16" fillId="5" borderId="6" xfId="73" applyNumberFormat="1" applyFont="1" applyFill="1" applyBorder="1" applyAlignment="1" applyProtection="1">
      <alignment horizontal="center" vertical="center" wrapText="1"/>
    </xf>
    <xf numFmtId="0" fontId="16" fillId="5" borderId="13" xfId="73" applyNumberFormat="1" applyFont="1" applyFill="1" applyBorder="1" applyAlignment="1" applyProtection="1">
      <alignment horizontal="center" vertical="center" wrapText="1"/>
    </xf>
    <xf numFmtId="0" fontId="16" fillId="5" borderId="7" xfId="73" applyNumberFormat="1" applyFont="1" applyFill="1" applyBorder="1" applyAlignment="1" applyProtection="1">
      <alignment horizontal="center" vertical="center" wrapText="1"/>
    </xf>
    <xf numFmtId="0" fontId="16" fillId="5" borderId="14" xfId="73" applyNumberFormat="1" applyFont="1" applyFill="1" applyBorder="1" applyAlignment="1" applyProtection="1">
      <alignment horizontal="center" vertical="center" wrapText="1"/>
    </xf>
    <xf numFmtId="0" fontId="16" fillId="5" borderId="8" xfId="73" applyNumberFormat="1" applyFont="1" applyFill="1" applyBorder="1" applyAlignment="1" applyProtection="1">
      <alignment horizontal="center" vertical="center" wrapText="1"/>
    </xf>
    <xf numFmtId="1" fontId="10" fillId="0" borderId="12" xfId="16" applyNumberFormat="1" applyFont="1" applyBorder="1" applyAlignment="1">
      <alignment horizontal="center" vertical="center"/>
    </xf>
    <xf numFmtId="0" fontId="10" fillId="0" borderId="6" xfId="16" applyFont="1" applyBorder="1" applyAlignment="1">
      <alignment vertical="center" wrapText="1"/>
    </xf>
    <xf numFmtId="1" fontId="10" fillId="0" borderId="6" xfId="16" applyNumberFormat="1" applyFont="1" applyBorder="1" applyAlignment="1">
      <alignment horizontal="center" vertical="center"/>
    </xf>
    <xf numFmtId="0" fontId="17" fillId="6" borderId="6" xfId="73" applyNumberFormat="1" applyFont="1" applyFill="1" applyBorder="1" applyAlignment="1" applyProtection="1">
      <alignment horizontal="center" vertical="center"/>
    </xf>
    <xf numFmtId="2" fontId="17" fillId="6" borderId="6" xfId="73" applyNumberFormat="1" applyFont="1" applyFill="1" applyBorder="1" applyAlignment="1" applyProtection="1">
      <alignment horizontal="center" vertical="center"/>
    </xf>
    <xf numFmtId="2" fontId="10" fillId="0" borderId="6" xfId="73" applyNumberFormat="1" applyFont="1" applyBorder="1" applyAlignment="1" applyProtection="1">
      <alignment horizontal="center" vertical="center"/>
    </xf>
    <xf numFmtId="169" fontId="18" fillId="7" borderId="6" xfId="16" applyNumberFormat="1" applyFont="1" applyFill="1" applyBorder="1" applyAlignment="1">
      <alignment horizontal="center" vertical="center"/>
    </xf>
    <xf numFmtId="167" fontId="10" fillId="0" borderId="6" xfId="14" applyFont="1" applyBorder="1" applyAlignment="1" applyProtection="1">
      <alignment horizontal="center" vertical="center"/>
    </xf>
    <xf numFmtId="167" fontId="10" fillId="0" borderId="15" xfId="14" applyFont="1" applyBorder="1" applyAlignment="1" applyProtection="1">
      <alignment horizontal="center" vertical="center"/>
    </xf>
    <xf numFmtId="0" fontId="10" fillId="0" borderId="12" xfId="16" applyFont="1" applyBorder="1" applyAlignment="1">
      <alignment horizontal="center" vertical="center"/>
    </xf>
    <xf numFmtId="167" fontId="16" fillId="5" borderId="16" xfId="14" applyFont="1" applyFill="1" applyBorder="1" applyAlignment="1" applyProtection="1">
      <alignment horizontal="center" vertical="center" wrapText="1"/>
    </xf>
    <xf numFmtId="167" fontId="16" fillId="5" borderId="17" xfId="14" applyFont="1" applyFill="1" applyBorder="1" applyAlignment="1" applyProtection="1">
      <alignment horizontal="center" vertical="center" wrapText="1"/>
    </xf>
    <xf numFmtId="167" fontId="16" fillId="5" borderId="18" xfId="14" applyFont="1" applyFill="1" applyBorder="1" applyAlignment="1" applyProtection="1">
      <alignment horizontal="center" vertical="center" wrapText="1"/>
    </xf>
    <xf numFmtId="167" fontId="12" fillId="0" borderId="0" xfId="16" applyNumberFormat="1" applyFont="1" applyAlignment="1">
      <alignment vertical="center"/>
    </xf>
    <xf numFmtId="0" fontId="16" fillId="5" borderId="17" xfId="73" applyNumberFormat="1" applyFont="1" applyFill="1" applyBorder="1" applyAlignment="1" applyProtection="1">
      <alignment horizontal="center" vertical="center" wrapText="1"/>
    </xf>
    <xf numFmtId="167" fontId="16" fillId="5" borderId="19" xfId="14" applyFont="1" applyFill="1" applyBorder="1" applyAlignment="1" applyProtection="1">
      <alignment vertical="center" wrapText="1"/>
    </xf>
    <xf numFmtId="167" fontId="16" fillId="5" borderId="19" xfId="14" applyFont="1" applyFill="1" applyBorder="1" applyAlignment="1" applyProtection="1">
      <alignment horizontal="center" vertical="center" wrapText="1"/>
    </xf>
    <xf numFmtId="167" fontId="16" fillId="5" borderId="16" xfId="14" applyFont="1" applyFill="1" applyBorder="1" applyAlignment="1" applyProtection="1">
      <alignment vertical="center" wrapText="1"/>
    </xf>
    <xf numFmtId="0" fontId="10" fillId="0" borderId="0" xfId="16" applyFont="1" applyAlignment="1">
      <alignment vertical="center"/>
    </xf>
    <xf numFmtId="0" fontId="19" fillId="0" borderId="0" xfId="16" applyFont="1" applyAlignment="1">
      <alignment horizontal="left" vertical="center"/>
    </xf>
    <xf numFmtId="0" fontId="8" fillId="0" borderId="0" xfId="16" applyFont="1" applyAlignment="1">
      <alignment horizontal="left" vertical="center" wrapText="1"/>
    </xf>
    <xf numFmtId="0" fontId="10" fillId="0" borderId="0" xfId="16" applyFont="1" applyAlignment="1">
      <alignment horizontal="left" vertical="center"/>
    </xf>
    <xf numFmtId="0" fontId="20" fillId="0" borderId="0" xfId="16" applyFont="1" applyAlignment="1">
      <alignment horizontal="left" vertical="center" wrapText="1"/>
    </xf>
    <xf numFmtId="0" fontId="10" fillId="0" borderId="0" xfId="16" applyFont="1" applyAlignment="1">
      <alignment horizontal="center" vertical="center"/>
    </xf>
    <xf numFmtId="0" fontId="10" fillId="2" borderId="6" xfId="16" applyFont="1" applyFill="1" applyBorder="1" applyAlignment="1">
      <alignment horizontal="center" vertical="center"/>
    </xf>
    <xf numFmtId="2" fontId="10" fillId="2" borderId="6" xfId="16" applyNumberFormat="1" applyFont="1" applyFill="1" applyBorder="1" applyAlignment="1">
      <alignment horizontal="center" vertical="center"/>
    </xf>
    <xf numFmtId="2" fontId="10" fillId="0" borderId="0" xfId="16" applyNumberFormat="1" applyFont="1" applyAlignment="1">
      <alignment horizontal="center" vertical="center"/>
    </xf>
    <xf numFmtId="0" fontId="10" fillId="0" borderId="0" xfId="16" applyFont="1" applyAlignment="1">
      <alignment horizontal="left" vertical="center" wrapText="1"/>
    </xf>
    <xf numFmtId="0" fontId="8" fillId="0" borderId="6" xfId="16" applyFont="1" applyBorder="1"/>
    <xf numFmtId="3" fontId="8" fillId="0" borderId="6" xfId="16" applyNumberFormat="1" applyFont="1" applyBorder="1" applyAlignment="1">
      <alignment horizontal="center" vertical="center"/>
    </xf>
    <xf numFmtId="0" fontId="8" fillId="0" borderId="6" xfId="16" applyFont="1" applyBorder="1" applyAlignment="1">
      <alignment horizontal="center" vertical="center"/>
    </xf>
    <xf numFmtId="0" fontId="8" fillId="0" borderId="6" xfId="16" applyFont="1" applyBorder="1" applyAlignment="1">
      <alignment wrapText="1"/>
    </xf>
    <xf numFmtId="0" fontId="10" fillId="0" borderId="6" xfId="16" applyFont="1" applyBorder="1" applyAlignment="1">
      <alignment wrapText="1"/>
    </xf>
    <xf numFmtId="0" fontId="8" fillId="0" borderId="6" xfId="16" applyFont="1" applyBorder="1" applyAlignment="1">
      <alignment horizontal="left"/>
    </xf>
    <xf numFmtId="0" fontId="1" fillId="0" borderId="0" xfId="36"/>
    <xf numFmtId="0" fontId="22" fillId="0" borderId="0" xfId="36" applyFont="1"/>
    <xf numFmtId="0" fontId="8" fillId="8" borderId="0" xfId="36" applyFont="1" applyFill="1"/>
    <xf numFmtId="0" fontId="23" fillId="0" borderId="0" xfId="36" applyFont="1"/>
    <xf numFmtId="0" fontId="24" fillId="8" borderId="0" xfId="36" applyFont="1" applyFill="1"/>
    <xf numFmtId="0" fontId="8" fillId="2" borderId="6" xfId="36" applyFont="1" applyFill="1" applyBorder="1"/>
    <xf numFmtId="0" fontId="8" fillId="8" borderId="0" xfId="36" applyFont="1" applyFill="1" applyAlignment="1">
      <alignment vertical="center"/>
    </xf>
    <xf numFmtId="0" fontId="23" fillId="0" borderId="0" xfId="36" applyFont="1" applyAlignment="1">
      <alignment vertical="center"/>
    </xf>
    <xf numFmtId="0" fontId="1" fillId="0" borderId="0" xfId="36" applyAlignment="1">
      <alignment vertical="center"/>
    </xf>
    <xf numFmtId="0" fontId="14" fillId="8" borderId="0" xfId="36" applyFont="1" applyFill="1" applyAlignment="1">
      <alignment vertical="center"/>
    </xf>
    <xf numFmtId="0" fontId="14" fillId="2" borderId="0" xfId="36" applyFont="1" applyFill="1" applyAlignment="1">
      <alignment vertical="center"/>
    </xf>
    <xf numFmtId="0" fontId="25" fillId="0" borderId="0" xfId="36" applyFont="1" applyAlignment="1">
      <alignment vertical="center"/>
    </xf>
    <xf numFmtId="0" fontId="26" fillId="0" borderId="0" xfId="36" applyFont="1" applyAlignment="1">
      <alignment vertical="center"/>
    </xf>
    <xf numFmtId="0" fontId="14" fillId="8" borderId="0" xfId="36" applyFont="1" applyFill="1"/>
    <xf numFmtId="0" fontId="8" fillId="2" borderId="0" xfId="36" applyFont="1" applyFill="1"/>
    <xf numFmtId="0" fontId="25" fillId="0" borderId="0" xfId="36" applyFont="1"/>
    <xf numFmtId="0" fontId="26" fillId="0" borderId="0" xfId="36" applyFont="1"/>
    <xf numFmtId="0" fontId="8" fillId="8" borderId="0" xfId="36" applyFont="1" applyFill="1" applyAlignment="1">
      <alignment vertical="top"/>
    </xf>
    <xf numFmtId="0" fontId="27" fillId="8" borderId="0" xfId="36" applyFont="1" applyFill="1" applyAlignment="1">
      <alignment vertical="center"/>
    </xf>
    <xf numFmtId="0" fontId="28" fillId="0" borderId="0" xfId="36" applyFont="1" applyAlignment="1">
      <alignment vertical="center"/>
    </xf>
    <xf numFmtId="0" fontId="29" fillId="0" borderId="0" xfId="36" applyFont="1" applyAlignment="1">
      <alignment vertical="center"/>
    </xf>
    <xf numFmtId="0" fontId="14" fillId="9" borderId="0" xfId="36" applyFont="1" applyFill="1"/>
    <xf numFmtId="0" fontId="10" fillId="8" borderId="0" xfId="36" applyFont="1" applyFill="1"/>
    <xf numFmtId="0" fontId="10" fillId="0" borderId="0" xfId="36" applyFont="1"/>
    <xf numFmtId="0" fontId="31" fillId="0" borderId="0" xfId="0" applyFont="1"/>
    <xf numFmtId="0" fontId="32" fillId="0" borderId="21" xfId="0" applyFont="1" applyBorder="1"/>
    <xf numFmtId="0" fontId="10" fillId="0" borderId="3" xfId="0" applyFont="1" applyBorder="1"/>
    <xf numFmtId="0" fontId="8" fillId="0" borderId="3" xfId="0" applyFont="1" applyBorder="1"/>
    <xf numFmtId="0" fontId="8" fillId="0" borderId="22" xfId="0" applyFont="1" applyBorder="1"/>
    <xf numFmtId="0" fontId="8" fillId="0" borderId="0" xfId="0" applyFont="1"/>
    <xf numFmtId="0" fontId="32" fillId="0" borderId="23" xfId="0" applyFont="1" applyBorder="1"/>
    <xf numFmtId="0" fontId="10" fillId="0" borderId="0" xfId="0" applyFont="1"/>
    <xf numFmtId="0" fontId="8" fillId="0" borderId="24" xfId="0" applyFont="1" applyBorder="1"/>
    <xf numFmtId="0" fontId="32" fillId="0" borderId="25" xfId="0" applyFont="1" applyBorder="1"/>
    <xf numFmtId="0" fontId="9" fillId="0" borderId="26" xfId="0" applyFont="1" applyBorder="1" applyAlignment="1">
      <alignment horizontal="left"/>
    </xf>
    <xf numFmtId="0" fontId="10" fillId="0" borderId="26" xfId="0" applyFont="1" applyBorder="1"/>
    <xf numFmtId="0" fontId="8" fillId="0" borderId="26" xfId="0" applyFont="1" applyBorder="1"/>
    <xf numFmtId="0" fontId="8" fillId="0" borderId="27" xfId="0" applyFont="1" applyBorder="1"/>
    <xf numFmtId="0" fontId="12" fillId="0" borderId="0" xfId="0" applyFont="1" applyAlignment="1">
      <alignment vertical="center"/>
    </xf>
    <xf numFmtId="0" fontId="34" fillId="9" borderId="30" xfId="0" applyFont="1" applyFill="1" applyBorder="1" applyAlignment="1">
      <alignment vertical="center"/>
    </xf>
    <xf numFmtId="0" fontId="12" fillId="9" borderId="31" xfId="0" applyFont="1" applyFill="1" applyBorder="1" applyAlignment="1">
      <alignment vertical="center"/>
    </xf>
    <xf numFmtId="0" fontId="21" fillId="9" borderId="31" xfId="0" applyFont="1" applyFill="1" applyBorder="1" applyAlignment="1">
      <alignment vertical="center"/>
    </xf>
    <xf numFmtId="0" fontId="21" fillId="9" borderId="32" xfId="0" applyFont="1" applyFill="1" applyBorder="1" applyAlignment="1">
      <alignment vertical="center"/>
    </xf>
    <xf numFmtId="0" fontId="35" fillId="9" borderId="32" xfId="0" applyFont="1" applyFill="1" applyBorder="1" applyAlignment="1">
      <alignment vertical="center" wrapText="1"/>
    </xf>
    <xf numFmtId="0" fontId="10" fillId="9" borderId="29" xfId="0" applyFont="1" applyFill="1" applyBorder="1" applyAlignment="1">
      <alignment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37" fillId="9" borderId="17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10" fillId="9" borderId="39" xfId="16" applyFont="1" applyFill="1" applyBorder="1" applyAlignment="1">
      <alignment horizontal="center" vertical="center" wrapText="1"/>
    </xf>
    <xf numFmtId="0" fontId="10" fillId="9" borderId="41" xfId="16" applyFont="1" applyFill="1" applyBorder="1" applyAlignment="1">
      <alignment horizontal="center" vertical="center" wrapText="1"/>
    </xf>
    <xf numFmtId="0" fontId="9" fillId="9" borderId="40" xfId="16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 wrapText="1"/>
    </xf>
    <xf numFmtId="4" fontId="10" fillId="0" borderId="36" xfId="0" applyNumberFormat="1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 wrapText="1"/>
    </xf>
    <xf numFmtId="1" fontId="37" fillId="0" borderId="43" xfId="0" applyNumberFormat="1" applyFont="1" applyBorder="1" applyAlignment="1">
      <alignment horizontal="center" vertical="center" wrapText="1"/>
    </xf>
    <xf numFmtId="4" fontId="16" fillId="0" borderId="44" xfId="0" applyNumberFormat="1" applyFont="1" applyBorder="1" applyAlignment="1">
      <alignment horizontal="center" vertical="center" wrapText="1"/>
    </xf>
    <xf numFmtId="4" fontId="10" fillId="0" borderId="45" xfId="0" applyNumberFormat="1" applyFont="1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vertical="center" wrapText="1"/>
    </xf>
    <xf numFmtId="4" fontId="16" fillId="0" borderId="36" xfId="0" applyNumberFormat="1" applyFont="1" applyBorder="1" applyAlignment="1">
      <alignment horizontal="center" vertical="center" wrapText="1"/>
    </xf>
    <xf numFmtId="4" fontId="10" fillId="0" borderId="42" xfId="0" applyNumberFormat="1" applyFont="1" applyBorder="1" applyAlignment="1">
      <alignment horizontal="right" vertical="center" wrapText="1"/>
    </xf>
    <xf numFmtId="0" fontId="10" fillId="0" borderId="43" xfId="0" applyFont="1" applyBorder="1" applyAlignment="1">
      <alignment horizontal="center" vertical="center" wrapText="1"/>
    </xf>
    <xf numFmtId="4" fontId="38" fillId="0" borderId="36" xfId="0" applyNumberFormat="1" applyFont="1" applyBorder="1" applyAlignment="1">
      <alignment horizontal="center" vertical="center" wrapText="1"/>
    </xf>
    <xf numFmtId="4" fontId="38" fillId="0" borderId="7" xfId="0" applyNumberFormat="1" applyFont="1" applyBorder="1" applyAlignment="1">
      <alignment horizontal="center" vertical="center" wrapText="1"/>
    </xf>
    <xf numFmtId="4" fontId="38" fillId="0" borderId="8" xfId="0" applyNumberFormat="1" applyFont="1" applyBorder="1" applyAlignment="1">
      <alignment horizontal="center" vertical="center" wrapText="1"/>
    </xf>
    <xf numFmtId="4" fontId="38" fillId="0" borderId="14" xfId="0" applyNumberFormat="1" applyFont="1" applyBorder="1" applyAlignment="1">
      <alignment horizontal="center" vertical="center" wrapText="1"/>
    </xf>
    <xf numFmtId="4" fontId="16" fillId="0" borderId="46" xfId="0" applyNumberFormat="1" applyFont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4" fontId="38" fillId="0" borderId="12" xfId="0" applyNumberFormat="1" applyFont="1" applyBorder="1" applyAlignment="1">
      <alignment horizontal="center" vertical="center" wrapText="1"/>
    </xf>
    <xf numFmtId="4" fontId="38" fillId="0" borderId="6" xfId="0" applyNumberFormat="1" applyFont="1" applyBorder="1" applyAlignment="1">
      <alignment horizontal="center" vertical="center" wrapText="1"/>
    </xf>
    <xf numFmtId="4" fontId="38" fillId="0" borderId="15" xfId="0" applyNumberFormat="1" applyFont="1" applyBorder="1" applyAlignment="1">
      <alignment horizontal="center" vertical="center" wrapText="1"/>
    </xf>
    <xf numFmtId="4" fontId="14" fillId="8" borderId="47" xfId="0" applyNumberFormat="1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4" fontId="16" fillId="0" borderId="47" xfId="0" applyNumberFormat="1" applyFont="1" applyBorder="1" applyAlignment="1">
      <alignment horizontal="center" vertical="center" wrapText="1"/>
    </xf>
    <xf numFmtId="4" fontId="8" fillId="8" borderId="36" xfId="0" applyNumberFormat="1" applyFont="1" applyFill="1" applyBorder="1" applyAlignment="1">
      <alignment horizontal="center" vertical="center"/>
    </xf>
    <xf numFmtId="4" fontId="8" fillId="8" borderId="44" xfId="0" applyNumberFormat="1" applyFont="1" applyFill="1" applyBorder="1" applyAlignment="1">
      <alignment horizontal="center" vertical="center"/>
    </xf>
    <xf numFmtId="4" fontId="8" fillId="8" borderId="37" xfId="0" applyNumberFormat="1" applyFont="1" applyFill="1" applyBorder="1" applyAlignment="1">
      <alignment horizontal="center" vertical="center"/>
    </xf>
    <xf numFmtId="4" fontId="8" fillId="8" borderId="42" xfId="0" applyNumberFormat="1" applyFont="1" applyFill="1" applyBorder="1" applyAlignment="1">
      <alignment horizontal="center" vertical="center"/>
    </xf>
    <xf numFmtId="4" fontId="8" fillId="8" borderId="42" xfId="0" applyNumberFormat="1" applyFont="1" applyFill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center" vertical="center"/>
    </xf>
    <xf numFmtId="4" fontId="8" fillId="8" borderId="12" xfId="0" applyNumberFormat="1" applyFont="1" applyFill="1" applyBorder="1" applyAlignment="1">
      <alignment horizontal="center" vertical="center"/>
    </xf>
    <xf numFmtId="4" fontId="8" fillId="8" borderId="12" xfId="0" applyNumberFormat="1" applyFont="1" applyFill="1" applyBorder="1" applyAlignment="1">
      <alignment horizontal="right" vertical="center"/>
    </xf>
    <xf numFmtId="4" fontId="8" fillId="0" borderId="0" xfId="0" applyNumberFormat="1" applyFont="1"/>
    <xf numFmtId="4" fontId="8" fillId="8" borderId="6" xfId="0" applyNumberFormat="1" applyFont="1" applyFill="1" applyBorder="1" applyAlignment="1">
      <alignment horizontal="center" vertical="center"/>
    </xf>
    <xf numFmtId="0" fontId="8" fillId="8" borderId="0" xfId="0" applyFont="1" applyFill="1"/>
    <xf numFmtId="0" fontId="31" fillId="8" borderId="0" xfId="0" applyFont="1" applyFill="1"/>
    <xf numFmtId="0" fontId="8" fillId="0" borderId="16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4" fontId="8" fillId="8" borderId="41" xfId="0" applyNumberFormat="1" applyFont="1" applyFill="1" applyBorder="1" applyAlignment="1">
      <alignment horizontal="center" vertical="center"/>
    </xf>
    <xf numFmtId="4" fontId="8" fillId="8" borderId="40" xfId="0" applyNumberFormat="1" applyFont="1" applyFill="1" applyBorder="1" applyAlignment="1">
      <alignment horizontal="center" vertical="center"/>
    </xf>
    <xf numFmtId="4" fontId="8" fillId="8" borderId="39" xfId="0" applyNumberFormat="1" applyFont="1" applyFill="1" applyBorder="1" applyAlignment="1">
      <alignment horizontal="center" vertical="center"/>
    </xf>
    <xf numFmtId="4" fontId="8" fillId="8" borderId="39" xfId="0" applyNumberFormat="1" applyFont="1" applyFill="1" applyBorder="1" applyAlignment="1">
      <alignment horizontal="right" vertical="center"/>
    </xf>
    <xf numFmtId="4" fontId="38" fillId="0" borderId="16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8" xfId="0" applyNumberFormat="1" applyFont="1" applyBorder="1" applyAlignment="1">
      <alignment horizontal="center" vertical="center" wrapText="1"/>
    </xf>
    <xf numFmtId="4" fontId="14" fillId="8" borderId="50" xfId="0" applyNumberFormat="1" applyFont="1" applyFill="1" applyBorder="1" applyAlignment="1">
      <alignment horizontal="center" vertical="center"/>
    </xf>
    <xf numFmtId="0" fontId="39" fillId="8" borderId="10" xfId="0" applyFont="1" applyFill="1" applyBorder="1" applyAlignment="1">
      <alignment horizontal="center" vertical="center"/>
    </xf>
    <xf numFmtId="4" fontId="39" fillId="9" borderId="51" xfId="0" applyNumberFormat="1" applyFont="1" applyFill="1" applyBorder="1" applyAlignment="1">
      <alignment horizontal="center" vertical="center"/>
    </xf>
    <xf numFmtId="4" fontId="39" fillId="8" borderId="52" xfId="0" applyNumberFormat="1" applyFont="1" applyFill="1" applyBorder="1" applyAlignment="1">
      <alignment horizontal="center" vertical="center"/>
    </xf>
    <xf numFmtId="4" fontId="12" fillId="9" borderId="10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horizontal="center" vertical="center"/>
    </xf>
    <xf numFmtId="4" fontId="39" fillId="8" borderId="11" xfId="0" applyNumberFormat="1" applyFont="1" applyFill="1" applyBorder="1" applyAlignment="1">
      <alignment horizontal="center" vertical="center"/>
    </xf>
    <xf numFmtId="4" fontId="39" fillId="9" borderId="53" xfId="0" applyNumberFormat="1" applyFont="1" applyFill="1" applyBorder="1" applyAlignment="1">
      <alignment horizontal="center" vertical="center"/>
    </xf>
    <xf numFmtId="4" fontId="39" fillId="10" borderId="11" xfId="0" applyNumberFormat="1" applyFont="1" applyFill="1" applyBorder="1" applyAlignment="1">
      <alignment horizontal="center" vertical="center"/>
    </xf>
    <xf numFmtId="4" fontId="39" fillId="10" borderId="0" xfId="0" applyNumberFormat="1" applyFont="1" applyFill="1" applyAlignment="1">
      <alignment horizontal="center" vertical="center"/>
    </xf>
    <xf numFmtId="4" fontId="39" fillId="10" borderId="54" xfId="0" applyNumberFormat="1" applyFont="1" applyFill="1" applyBorder="1" applyAlignment="1">
      <alignment horizontal="center" vertical="center"/>
    </xf>
    <xf numFmtId="4" fontId="39" fillId="10" borderId="55" xfId="0" applyNumberFormat="1" applyFont="1" applyFill="1" applyBorder="1" applyAlignment="1">
      <alignment horizontal="center" vertical="center"/>
    </xf>
    <xf numFmtId="4" fontId="39" fillId="10" borderId="3" xfId="0" applyNumberFormat="1" applyFont="1" applyFill="1" applyBorder="1" applyAlignment="1">
      <alignment horizontal="center" vertical="center"/>
    </xf>
    <xf numFmtId="4" fontId="39" fillId="12" borderId="28" xfId="0" applyNumberFormat="1" applyFont="1" applyFill="1" applyBorder="1" applyAlignment="1">
      <alignment horizontal="center" vertical="center"/>
    </xf>
    <xf numFmtId="4" fontId="39" fillId="13" borderId="2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0" fontId="40" fillId="8" borderId="0" xfId="3" applyNumberFormat="1" applyFont="1" applyFill="1" applyBorder="1" applyAlignment="1" applyProtection="1">
      <alignment horizontal="center"/>
    </xf>
    <xf numFmtId="167" fontId="41" fillId="8" borderId="0" xfId="2" applyFont="1" applyFill="1" applyBorder="1" applyAlignment="1" applyProtection="1">
      <alignment vertical="center"/>
    </xf>
    <xf numFmtId="167" fontId="42" fillId="8" borderId="0" xfId="0" applyNumberFormat="1" applyFont="1" applyFill="1" applyAlignment="1">
      <alignment vertical="center"/>
    </xf>
    <xf numFmtId="167" fontId="43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4" fontId="39" fillId="8" borderId="29" xfId="0" applyNumberFormat="1" applyFont="1" applyFill="1" applyBorder="1" applyAlignment="1">
      <alignment horizontal="right" vertical="center"/>
    </xf>
    <xf numFmtId="4" fontId="39" fillId="13" borderId="29" xfId="0" applyNumberFormat="1" applyFont="1" applyFill="1" applyBorder="1" applyAlignment="1">
      <alignment vertical="center"/>
    </xf>
    <xf numFmtId="0" fontId="40" fillId="8" borderId="0" xfId="0" applyFont="1" applyFill="1"/>
    <xf numFmtId="0" fontId="44" fillId="8" borderId="0" xfId="0" applyFont="1" applyFill="1"/>
    <xf numFmtId="0" fontId="45" fillId="8" borderId="0" xfId="0" applyFont="1" applyFill="1"/>
    <xf numFmtId="0" fontId="46" fillId="0" borderId="21" xfId="0" applyFont="1" applyBorder="1"/>
    <xf numFmtId="0" fontId="47" fillId="0" borderId="0" xfId="0" applyFont="1" applyAlignment="1">
      <alignment vertical="center"/>
    </xf>
    <xf numFmtId="0" fontId="9" fillId="0" borderId="3" xfId="0" applyFont="1" applyBorder="1"/>
    <xf numFmtId="0" fontId="46" fillId="0" borderId="23" xfId="0" applyFont="1" applyBorder="1"/>
    <xf numFmtId="0" fontId="9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9" borderId="30" xfId="0" applyFont="1" applyFill="1" applyBorder="1" applyAlignment="1">
      <alignment horizontal="center" vertical="center" textRotation="90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horizontal="center" vertical="center" wrapText="1"/>
    </xf>
    <xf numFmtId="171" fontId="8" fillId="0" borderId="0" xfId="0" applyNumberFormat="1" applyFont="1" applyAlignment="1">
      <alignment vertical="center"/>
    </xf>
    <xf numFmtId="0" fontId="8" fillId="0" borderId="46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4" fontId="8" fillId="2" borderId="4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3" xfId="0" applyNumberFormat="1" applyFont="1" applyBorder="1" applyAlignment="1">
      <alignment horizontal="right" vertical="center" wrapText="1"/>
    </xf>
    <xf numFmtId="4" fontId="8" fillId="0" borderId="44" xfId="0" applyNumberFormat="1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Border="1" applyAlignment="1">
      <alignment horizontal="left" vertical="center"/>
    </xf>
    <xf numFmtId="1" fontId="8" fillId="0" borderId="43" xfId="0" applyNumberFormat="1" applyFont="1" applyBorder="1" applyAlignment="1">
      <alignment horizontal="center" vertical="center"/>
    </xf>
    <xf numFmtId="4" fontId="8" fillId="2" borderId="43" xfId="0" applyNumberFormat="1" applyFont="1" applyFill="1" applyBorder="1" applyAlignment="1" applyProtection="1">
      <alignment vertical="center"/>
      <protection locked="0"/>
    </xf>
    <xf numFmtId="4" fontId="8" fillId="0" borderId="43" xfId="0" applyNumberFormat="1" applyFont="1" applyBorder="1" applyAlignment="1">
      <alignment vertical="center"/>
    </xf>
    <xf numFmtId="4" fontId="8" fillId="8" borderId="15" xfId="0" applyNumberFormat="1" applyFont="1" applyFill="1" applyBorder="1" applyAlignment="1">
      <alignment vertical="center"/>
    </xf>
    <xf numFmtId="1" fontId="8" fillId="0" borderId="6" xfId="0" applyNumberFormat="1" applyFont="1" applyBorder="1" applyAlignment="1">
      <alignment horizontal="center" vertical="center"/>
    </xf>
    <xf numFmtId="4" fontId="8" fillId="2" borderId="6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0" fontId="8" fillId="0" borderId="58" xfId="0" applyFont="1" applyBorder="1" applyAlignment="1">
      <alignment horizontal="left" vertical="center" wrapText="1"/>
    </xf>
    <xf numFmtId="1" fontId="8" fillId="8" borderId="6" xfId="0" applyNumberFormat="1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left" vertical="center" wrapText="1"/>
    </xf>
    <xf numFmtId="4" fontId="8" fillId="0" borderId="15" xfId="0" applyNumberFormat="1" applyFont="1" applyBorder="1" applyAlignment="1">
      <alignment vertical="center"/>
    </xf>
    <xf numFmtId="0" fontId="8" fillId="8" borderId="59" xfId="0" applyFont="1" applyFill="1" applyBorder="1" applyAlignment="1">
      <alignment horizontal="left" vertical="center"/>
    </xf>
    <xf numFmtId="1" fontId="8" fillId="8" borderId="41" xfId="0" applyNumberFormat="1" applyFont="1" applyFill="1" applyBorder="1" applyAlignment="1">
      <alignment horizontal="center" vertical="center"/>
    </xf>
    <xf numFmtId="0" fontId="8" fillId="0" borderId="60" xfId="0" applyFont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4" fontId="8" fillId="2" borderId="17" xfId="0" applyNumberFormat="1" applyFont="1" applyFill="1" applyBorder="1" applyAlignment="1" applyProtection="1">
      <alignment vertical="center"/>
      <protection locked="0"/>
    </xf>
    <xf numFmtId="4" fontId="8" fillId="0" borderId="17" xfId="0" applyNumberFormat="1" applyFont="1" applyBorder="1" applyAlignment="1">
      <alignment vertical="center"/>
    </xf>
    <xf numFmtId="169" fontId="18" fillId="7" borderId="17" xfId="16" applyNumberFormat="1" applyFont="1" applyFill="1" applyBorder="1" applyAlignment="1">
      <alignment horizontal="center" vertical="center"/>
    </xf>
    <xf numFmtId="4" fontId="8" fillId="0" borderId="61" xfId="0" applyNumberFormat="1" applyFont="1" applyBorder="1" applyAlignment="1">
      <alignment horizontal="right" vertical="center" wrapText="1"/>
    </xf>
    <xf numFmtId="4" fontId="8" fillId="8" borderId="18" xfId="0" applyNumberFormat="1" applyFont="1" applyFill="1" applyBorder="1" applyAlignment="1">
      <alignment vertical="center"/>
    </xf>
    <xf numFmtId="0" fontId="14" fillId="0" borderId="0" xfId="16" applyFont="1" applyAlignment="1">
      <alignment vertical="center"/>
    </xf>
    <xf numFmtId="0" fontId="8" fillId="0" borderId="6" xfId="16" applyFont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10" fontId="8" fillId="0" borderId="6" xfId="0" applyNumberFormat="1" applyFont="1" applyBorder="1" applyAlignment="1">
      <alignment vertical="center"/>
    </xf>
    <xf numFmtId="0" fontId="8" fillId="0" borderId="13" xfId="16" applyFont="1" applyBorder="1" applyAlignment="1">
      <alignment vertical="center"/>
    </xf>
    <xf numFmtId="10" fontId="14" fillId="0" borderId="6" xfId="40" applyNumberFormat="1" applyFont="1" applyBorder="1" applyAlignment="1" applyProtection="1">
      <alignment horizontal="center" vertical="center"/>
    </xf>
    <xf numFmtId="10" fontId="8" fillId="2" borderId="6" xfId="40" applyNumberFormat="1" applyFont="1" applyFill="1" applyBorder="1" applyAlignment="1" applyProtection="1">
      <alignment horizontal="center" vertical="center"/>
      <protection locked="0"/>
    </xf>
    <xf numFmtId="0" fontId="8" fillId="0" borderId="0" xfId="16" applyFont="1" applyAlignment="1">
      <alignment vertical="center"/>
    </xf>
    <xf numFmtId="0" fontId="8" fillId="2" borderId="6" xfId="16" applyFont="1" applyFill="1" applyBorder="1" applyAlignment="1" applyProtection="1">
      <alignment horizontal="center" vertical="center"/>
      <protection locked="0"/>
    </xf>
    <xf numFmtId="172" fontId="8" fillId="0" borderId="0" xfId="0" applyNumberFormat="1" applyFont="1"/>
    <xf numFmtId="10" fontId="8" fillId="0" borderId="0" xfId="0" applyNumberFormat="1" applyFont="1"/>
    <xf numFmtId="0" fontId="8" fillId="0" borderId="6" xfId="0" applyFont="1" applyBorder="1" applyAlignment="1">
      <alignment vertical="center"/>
    </xf>
    <xf numFmtId="4" fontId="8" fillId="2" borderId="6" xfId="0" applyNumberFormat="1" applyFont="1" applyFill="1" applyBorder="1" applyAlignment="1" applyProtection="1">
      <alignment horizontal="center" vertical="center"/>
      <protection locked="0"/>
    </xf>
    <xf numFmtId="167" fontId="8" fillId="0" borderId="0" xfId="2" applyFont="1" applyBorder="1" applyProtection="1"/>
    <xf numFmtId="4" fontId="48" fillId="0" borderId="6" xfId="0" applyNumberFormat="1" applyFont="1" applyBorder="1" applyAlignment="1">
      <alignment horizontal="center" vertical="center"/>
    </xf>
    <xf numFmtId="10" fontId="14" fillId="2" borderId="6" xfId="3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16" applyFont="1" applyBorder="1" applyAlignment="1">
      <alignment horizontal="right" vertical="center"/>
    </xf>
    <xf numFmtId="168" fontId="8" fillId="2" borderId="6" xfId="77" applyFont="1" applyFill="1" applyBorder="1" applyAlignment="1" applyProtection="1">
      <alignment horizontal="left" vertical="center"/>
      <protection locked="0"/>
    </xf>
    <xf numFmtId="0" fontId="31" fillId="0" borderId="0" xfId="16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10" fontId="8" fillId="2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0" fontId="8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/>
    </xf>
    <xf numFmtId="10" fontId="8" fillId="2" borderId="6" xfId="0" applyNumberFormat="1" applyFont="1" applyFill="1" applyBorder="1" applyAlignment="1" applyProtection="1">
      <alignment vertical="center"/>
      <protection locked="0"/>
    </xf>
    <xf numFmtId="0" fontId="49" fillId="9" borderId="6" xfId="16" applyFont="1" applyFill="1" applyBorder="1" applyAlignment="1" applyProtection="1">
      <alignment horizontal="center" vertical="center" wrapText="1"/>
      <protection locked="0"/>
    </xf>
    <xf numFmtId="0" fontId="49" fillId="9" borderId="6" xfId="16" applyFont="1" applyFill="1" applyBorder="1" applyAlignment="1" applyProtection="1">
      <alignment horizontal="center" vertical="center"/>
      <protection locked="0"/>
    </xf>
    <xf numFmtId="0" fontId="31" fillId="0" borderId="6" xfId="16" applyFont="1" applyBorder="1" applyAlignment="1" applyProtection="1">
      <alignment vertical="center"/>
      <protection locked="0"/>
    </xf>
    <xf numFmtId="10" fontId="50" fillId="0" borderId="6" xfId="16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/>
    <xf numFmtId="0" fontId="50" fillId="0" borderId="6" xfId="16" applyFont="1" applyBorder="1" applyAlignment="1" applyProtection="1">
      <alignment horizontal="center" vertical="center"/>
      <protection locked="0"/>
    </xf>
    <xf numFmtId="0" fontId="31" fillId="0" borderId="0" xfId="16" applyFont="1" applyProtection="1">
      <protection locked="0"/>
    </xf>
    <xf numFmtId="0" fontId="31" fillId="0" borderId="0" xfId="16" applyFont="1" applyAlignment="1" applyProtection="1">
      <alignment horizontal="left"/>
      <protection locked="0"/>
    </xf>
    <xf numFmtId="0" fontId="31" fillId="0" borderId="0" xfId="16" applyFont="1" applyAlignment="1" applyProtection="1">
      <alignment horizontal="center"/>
      <protection locked="0"/>
    </xf>
    <xf numFmtId="0" fontId="14" fillId="9" borderId="6" xfId="73" applyNumberFormat="1" applyFont="1" applyFill="1" applyBorder="1" applyAlignment="1" applyProtection="1">
      <alignment horizontal="center" vertical="center" wrapText="1"/>
    </xf>
    <xf numFmtId="0" fontId="51" fillId="9" borderId="6" xfId="73" applyNumberFormat="1" applyFont="1" applyFill="1" applyBorder="1" applyAlignment="1" applyProtection="1">
      <alignment horizontal="center" vertical="center" wrapText="1"/>
    </xf>
    <xf numFmtId="167" fontId="50" fillId="0" borderId="6" xfId="14" applyFont="1" applyBorder="1" applyAlignment="1" applyProtection="1">
      <alignment horizontal="center" vertical="center"/>
    </xf>
    <xf numFmtId="167" fontId="31" fillId="0" borderId="6" xfId="14" applyFont="1" applyBorder="1" applyAlignment="1" applyProtection="1">
      <alignment horizontal="center" vertical="center"/>
    </xf>
    <xf numFmtId="0" fontId="31" fillId="0" borderId="63" xfId="16" applyFont="1" applyBorder="1" applyProtection="1">
      <protection locked="0"/>
    </xf>
    <xf numFmtId="0" fontId="31" fillId="0" borderId="64" xfId="16" applyFont="1" applyBorder="1" applyProtection="1">
      <protection locked="0"/>
    </xf>
    <xf numFmtId="0" fontId="31" fillId="0" borderId="14" xfId="16" applyFont="1" applyBorder="1" applyProtection="1">
      <protection locked="0"/>
    </xf>
    <xf numFmtId="0" fontId="31" fillId="0" borderId="44" xfId="16" applyFont="1" applyBorder="1" applyProtection="1">
      <protection locked="0"/>
    </xf>
    <xf numFmtId="0" fontId="31" fillId="0" borderId="65" xfId="16" applyFont="1" applyBorder="1" applyAlignment="1" applyProtection="1">
      <alignment vertical="center"/>
      <protection locked="0"/>
    </xf>
    <xf numFmtId="0" fontId="52" fillId="0" borderId="21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52" fillId="0" borderId="22" xfId="0" applyFont="1" applyBorder="1" applyAlignment="1">
      <alignment horizontal="center" vertical="center"/>
    </xf>
    <xf numFmtId="0" fontId="52" fillId="0" borderId="2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2" fillId="0" borderId="24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9" borderId="1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vertical="center"/>
    </xf>
    <xf numFmtId="10" fontId="10" fillId="2" borderId="15" xfId="0" applyNumberFormat="1" applyFont="1" applyFill="1" applyBorder="1" applyAlignment="1" applyProtection="1">
      <alignment horizontal="center" vertical="center"/>
      <protection locked="0"/>
    </xf>
    <xf numFmtId="10" fontId="10" fillId="8" borderId="15" xfId="0" applyNumberFormat="1" applyFont="1" applyFill="1" applyBorder="1" applyAlignment="1">
      <alignment horizontal="center" vertical="center"/>
    </xf>
    <xf numFmtId="9" fontId="10" fillId="0" borderId="0" xfId="0" applyNumberFormat="1" applyFont="1"/>
    <xf numFmtId="10" fontId="1" fillId="0" borderId="0" xfId="3" applyNumberFormat="1" applyBorder="1" applyProtection="1"/>
    <xf numFmtId="10" fontId="54" fillId="8" borderId="15" xfId="0" applyNumberFormat="1" applyFont="1" applyFill="1" applyBorder="1" applyAlignment="1">
      <alignment horizontal="center" vertical="center"/>
    </xf>
    <xf numFmtId="0" fontId="54" fillId="9" borderId="6" xfId="0" applyFont="1" applyFill="1" applyBorder="1" applyAlignment="1">
      <alignment vertical="center"/>
    </xf>
    <xf numFmtId="0" fontId="54" fillId="9" borderId="4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6" fillId="0" borderId="44" xfId="0" applyNumberFormat="1" applyFont="1" applyBorder="1" applyAlignment="1">
      <alignment horizontal="center" vertical="center"/>
    </xf>
    <xf numFmtId="10" fontId="16" fillId="0" borderId="15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0" fontId="32" fillId="0" borderId="44" xfId="0" applyNumberFormat="1" applyFont="1" applyBorder="1" applyAlignment="1">
      <alignment horizontal="center" vertical="center"/>
    </xf>
    <xf numFmtId="10" fontId="54" fillId="0" borderId="15" xfId="0" applyNumberFormat="1" applyFont="1" applyBorder="1" applyAlignment="1">
      <alignment horizontal="center" vertical="center"/>
    </xf>
    <xf numFmtId="10" fontId="10" fillId="13" borderId="15" xfId="0" applyNumberFormat="1" applyFont="1" applyFill="1" applyBorder="1" applyAlignment="1">
      <alignment horizontal="center" vertical="center"/>
    </xf>
    <xf numFmtId="10" fontId="10" fillId="0" borderId="0" xfId="0" applyNumberFormat="1" applyFont="1"/>
    <xf numFmtId="0" fontId="17" fillId="0" borderId="0" xfId="0" applyFont="1" applyAlignment="1">
      <alignment vertical="center"/>
    </xf>
    <xf numFmtId="0" fontId="16" fillId="14" borderId="6" xfId="15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0" fillId="14" borderId="6" xfId="15" applyFont="1" applyFill="1" applyBorder="1" applyAlignment="1">
      <alignment horizontal="center" vertical="center" wrapText="1"/>
    </xf>
    <xf numFmtId="0" fontId="55" fillId="14" borderId="6" xfId="15" applyFont="1" applyFill="1" applyBorder="1" applyAlignment="1">
      <alignment horizontal="center" vertical="center" wrapText="1"/>
    </xf>
    <xf numFmtId="10" fontId="10" fillId="14" borderId="6" xfId="15" applyNumberFormat="1" applyFont="1" applyFill="1" applyBorder="1" applyAlignment="1">
      <alignment horizontal="center" vertical="center" wrapText="1"/>
    </xf>
    <xf numFmtId="10" fontId="56" fillId="14" borderId="6" xfId="15" applyNumberFormat="1" applyFont="1" applyFill="1" applyBorder="1" applyAlignment="1">
      <alignment horizontal="center" vertical="center" wrapText="1"/>
    </xf>
    <xf numFmtId="10" fontId="32" fillId="0" borderId="15" xfId="0" applyNumberFormat="1" applyFont="1" applyBorder="1" applyAlignment="1">
      <alignment horizontal="center" vertical="center"/>
    </xf>
    <xf numFmtId="0" fontId="9" fillId="0" borderId="6" xfId="15" applyFont="1" applyBorder="1" applyAlignment="1">
      <alignment horizontal="center" vertical="center" wrapText="1"/>
    </xf>
    <xf numFmtId="10" fontId="9" fillId="0" borderId="6" xfId="15" applyNumberFormat="1" applyFont="1" applyBorder="1" applyAlignment="1">
      <alignment horizontal="center" vertical="center" wrapText="1"/>
    </xf>
    <xf numFmtId="0" fontId="38" fillId="14" borderId="6" xfId="15" applyFont="1" applyFill="1" applyBorder="1" applyAlignment="1">
      <alignment horizontal="center" vertical="center" wrapText="1"/>
    </xf>
    <xf numFmtId="10" fontId="38" fillId="14" borderId="6" xfId="15" applyNumberFormat="1" applyFont="1" applyFill="1" applyBorder="1" applyAlignment="1">
      <alignment horizontal="center" vertical="center" wrapText="1"/>
    </xf>
    <xf numFmtId="10" fontId="54" fillId="9" borderId="18" xfId="0" applyNumberFormat="1" applyFont="1" applyFill="1" applyBorder="1" applyAlignment="1">
      <alignment horizontal="center" vertical="center"/>
    </xf>
    <xf numFmtId="0" fontId="57" fillId="15" borderId="23" xfId="0" applyFont="1" applyFill="1" applyBorder="1"/>
    <xf numFmtId="0" fontId="57" fillId="15" borderId="0" xfId="0" applyFont="1" applyFill="1"/>
    <xf numFmtId="0" fontId="57" fillId="15" borderId="24" xfId="0" applyFont="1" applyFill="1" applyBorder="1"/>
    <xf numFmtId="0" fontId="38" fillId="0" borderId="6" xfId="15" applyFont="1" applyBorder="1" applyAlignment="1">
      <alignment horizontal="center" vertical="center" wrapText="1"/>
    </xf>
    <xf numFmtId="10" fontId="38" fillId="0" borderId="6" xfId="15" applyNumberFormat="1" applyFont="1" applyBorder="1" applyAlignment="1">
      <alignment horizontal="center" vertical="center" wrapText="1"/>
    </xf>
    <xf numFmtId="10" fontId="58" fillId="0" borderId="6" xfId="15" applyNumberFormat="1" applyFont="1" applyBorder="1" applyAlignment="1">
      <alignment horizontal="center" vertical="center" wrapText="1"/>
    </xf>
    <xf numFmtId="10" fontId="58" fillId="14" borderId="6" xfId="15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 applyAlignment="1">
      <alignment horizontal="center"/>
    </xf>
    <xf numFmtId="0" fontId="8" fillId="0" borderId="2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24" xfId="0" applyNumberFormat="1" applyFont="1" applyBorder="1" applyAlignment="1">
      <alignment horizontal="center"/>
    </xf>
    <xf numFmtId="0" fontId="23" fillId="0" borderId="0" xfId="25" applyFont="1"/>
    <xf numFmtId="0" fontId="8" fillId="0" borderId="26" xfId="0" applyFont="1" applyBorder="1" applyAlignment="1">
      <alignment horizontal="left"/>
    </xf>
    <xf numFmtId="0" fontId="14" fillId="17" borderId="39" xfId="0" applyFont="1" applyFill="1" applyBorder="1" applyAlignment="1">
      <alignment horizontal="center" vertical="center"/>
    </xf>
    <xf numFmtId="0" fontId="14" fillId="17" borderId="41" xfId="0" applyFont="1" applyFill="1" applyBorder="1" applyAlignment="1">
      <alignment horizontal="center" vertical="center"/>
    </xf>
    <xf numFmtId="0" fontId="14" fillId="17" borderId="41" xfId="0" applyFont="1" applyFill="1" applyBorder="1" applyAlignment="1">
      <alignment horizontal="center" vertical="center" wrapText="1"/>
    </xf>
    <xf numFmtId="4" fontId="14" fillId="17" borderId="67" xfId="0" applyNumberFormat="1" applyFont="1" applyFill="1" applyBorder="1" applyAlignment="1">
      <alignment horizontal="center" vertical="center" wrapText="1"/>
    </xf>
    <xf numFmtId="4" fontId="14" fillId="17" borderId="40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center" vertical="center"/>
    </xf>
    <xf numFmtId="174" fontId="8" fillId="8" borderId="6" xfId="0" applyNumberFormat="1" applyFont="1" applyFill="1" applyBorder="1" applyAlignment="1">
      <alignment horizontal="center" vertical="center"/>
    </xf>
    <xf numFmtId="4" fontId="8" fillId="2" borderId="6" xfId="1" applyNumberFormat="1" applyFont="1" applyFill="1" applyBorder="1" applyAlignment="1" applyProtection="1">
      <alignment vertical="center"/>
      <protection locked="0"/>
    </xf>
    <xf numFmtId="4" fontId="8" fillId="0" borderId="15" xfId="1" applyNumberFormat="1" applyFont="1" applyBorder="1" applyAlignment="1" applyProtection="1">
      <alignment vertical="center"/>
    </xf>
    <xf numFmtId="4" fontId="10" fillId="2" borderId="6" xfId="1" applyNumberFormat="1" applyFont="1" applyFill="1" applyBorder="1" applyAlignment="1" applyProtection="1">
      <alignment vertical="center"/>
      <protection locked="0"/>
    </xf>
    <xf numFmtId="167" fontId="2" fillId="0" borderId="6" xfId="14" applyBorder="1" applyAlignment="1" applyProtection="1">
      <alignment vertical="center"/>
    </xf>
    <xf numFmtId="167" fontId="2" fillId="0" borderId="0" xfId="2" applyBorder="1" applyProtection="1">
      <protection locked="0"/>
    </xf>
    <xf numFmtId="0" fontId="8" fillId="8" borderId="49" xfId="0" applyFont="1" applyFill="1" applyBorder="1" applyAlignment="1">
      <alignment vertical="center" wrapText="1"/>
    </xf>
    <xf numFmtId="0" fontId="14" fillId="8" borderId="49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vertical="center"/>
    </xf>
    <xf numFmtId="4" fontId="14" fillId="8" borderId="26" xfId="0" applyNumberFormat="1" applyFont="1" applyFill="1" applyBorder="1" applyAlignment="1">
      <alignment horizontal="center" vertical="center"/>
    </xf>
    <xf numFmtId="4" fontId="8" fillId="0" borderId="48" xfId="1" applyNumberFormat="1" applyFont="1" applyBorder="1" applyAlignment="1" applyProtection="1">
      <alignment vertical="center"/>
    </xf>
    <xf numFmtId="4" fontId="14" fillId="18" borderId="55" xfId="1" applyNumberFormat="1" applyFont="1" applyFill="1" applyBorder="1" applyAlignment="1" applyProtection="1">
      <alignment vertical="center"/>
    </xf>
    <xf numFmtId="0" fontId="8" fillId="8" borderId="23" xfId="0" applyFont="1" applyFill="1" applyBorder="1" applyAlignment="1">
      <alignment vertical="center" wrapText="1"/>
    </xf>
    <xf numFmtId="0" fontId="14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4" fontId="8" fillId="0" borderId="6" xfId="1" applyNumberFormat="1" applyFont="1" applyBorder="1" applyAlignment="1" applyProtection="1">
      <alignment vertical="center"/>
    </xf>
    <xf numFmtId="4" fontId="14" fillId="18" borderId="15" xfId="1" applyNumberFormat="1" applyFont="1" applyFill="1" applyBorder="1" applyAlignment="1" applyProtection="1">
      <alignment vertical="center"/>
    </xf>
    <xf numFmtId="174" fontId="8" fillId="8" borderId="6" xfId="0" applyNumberFormat="1" applyFont="1" applyFill="1" applyBorder="1" applyAlignment="1">
      <alignment horizontal="right" vertical="center"/>
    </xf>
    <xf numFmtId="0" fontId="14" fillId="8" borderId="23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vertical="center"/>
    </xf>
    <xf numFmtId="4" fontId="14" fillId="8" borderId="41" xfId="0" applyNumberFormat="1" applyFont="1" applyFill="1" applyBorder="1" applyAlignment="1">
      <alignment horizontal="center" vertical="center"/>
    </xf>
    <xf numFmtId="4" fontId="8" fillId="0" borderId="40" xfId="1" applyNumberFormat="1" applyFont="1" applyBorder="1" applyAlignment="1" applyProtection="1">
      <alignment vertical="center"/>
    </xf>
    <xf numFmtId="0" fontId="8" fillId="8" borderId="64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center" vertical="center"/>
    </xf>
    <xf numFmtId="174" fontId="8" fillId="8" borderId="9" xfId="0" applyNumberFormat="1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 applyProtection="1">
      <alignment vertical="center"/>
      <protection locked="0"/>
    </xf>
    <xf numFmtId="4" fontId="8" fillId="0" borderId="14" xfId="1" applyNumberFormat="1" applyFont="1" applyBorder="1" applyAlignment="1" applyProtection="1">
      <alignment vertical="center"/>
    </xf>
    <xf numFmtId="0" fontId="8" fillId="8" borderId="58" xfId="0" applyFont="1" applyFill="1" applyBorder="1" applyAlignment="1">
      <alignment horizontal="left" vertical="center"/>
    </xf>
    <xf numFmtId="174" fontId="8" fillId="8" borderId="1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8" fillId="8" borderId="70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74" fontId="8" fillId="8" borderId="8" xfId="0" applyNumberFormat="1" applyFont="1" applyFill="1" applyBorder="1" applyAlignment="1">
      <alignment horizontal="center" vertical="center"/>
    </xf>
    <xf numFmtId="4" fontId="8" fillId="0" borderId="18" xfId="1" applyNumberFormat="1" applyFont="1" applyBorder="1" applyAlignment="1" applyProtection="1">
      <alignment vertical="center"/>
    </xf>
    <xf numFmtId="0" fontId="30" fillId="8" borderId="23" xfId="0" applyFont="1" applyFill="1" applyBorder="1" applyAlignment="1">
      <alignment horizontal="left" vertical="center"/>
    </xf>
    <xf numFmtId="0" fontId="30" fillId="8" borderId="0" xfId="0" applyFont="1" applyFill="1" applyAlignment="1">
      <alignment horizontal="left" vertical="center"/>
    </xf>
    <xf numFmtId="0" fontId="30" fillId="8" borderId="24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4" fontId="8" fillId="0" borderId="6" xfId="0" applyNumberFormat="1" applyFont="1" applyBorder="1" applyAlignment="1">
      <alignment horizontal="center" vertical="center"/>
    </xf>
    <xf numFmtId="0" fontId="8" fillId="8" borderId="25" xfId="0" applyFont="1" applyFill="1" applyBorder="1" applyAlignment="1">
      <alignment vertical="center"/>
    </xf>
    <xf numFmtId="4" fontId="8" fillId="0" borderId="17" xfId="1" applyNumberFormat="1" applyFont="1" applyBorder="1" applyAlignment="1" applyProtection="1">
      <alignment vertical="center"/>
    </xf>
    <xf numFmtId="4" fontId="0" fillId="0" borderId="0" xfId="0" applyNumberFormat="1"/>
    <xf numFmtId="0" fontId="32" fillId="0" borderId="21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0" fontId="10" fillId="0" borderId="22" xfId="0" applyFont="1" applyBorder="1"/>
    <xf numFmtId="0" fontId="32" fillId="0" borderId="23" xfId="0" applyFont="1" applyBorder="1" applyAlignment="1">
      <alignment vertic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vertical="center"/>
    </xf>
    <xf numFmtId="0" fontId="10" fillId="0" borderId="24" xfId="0" applyFont="1" applyBorder="1"/>
    <xf numFmtId="0" fontId="9" fillId="0" borderId="23" xfId="0" applyFont="1" applyBorder="1"/>
    <xf numFmtId="0" fontId="16" fillId="8" borderId="74" xfId="0" applyFont="1" applyFill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/>
    </xf>
    <xf numFmtId="3" fontId="10" fillId="0" borderId="6" xfId="0" applyNumberFormat="1" applyFont="1" applyBorder="1" applyAlignment="1" applyProtection="1">
      <alignment vertical="center"/>
      <protection locked="0"/>
    </xf>
    <xf numFmtId="4" fontId="10" fillId="0" borderId="13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58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6" xfId="3" applyNumberFormat="1" applyFont="1" applyBorder="1" applyAlignment="1" applyProtection="1">
      <alignment vertical="center"/>
      <protection locked="0"/>
    </xf>
    <xf numFmtId="4" fontId="10" fillId="8" borderId="13" xfId="1" applyNumberFormat="1" applyFont="1" applyFill="1" applyBorder="1" applyAlignment="1" applyProtection="1">
      <alignment vertical="center"/>
      <protection locked="0"/>
    </xf>
    <xf numFmtId="4" fontId="16" fillId="9" borderId="42" xfId="0" applyNumberFormat="1" applyFont="1" applyFill="1" applyBorder="1" applyAlignment="1">
      <alignment vertical="center"/>
    </xf>
    <xf numFmtId="4" fontId="16" fillId="9" borderId="45" xfId="0" applyNumberFormat="1" applyFont="1" applyFill="1" applyBorder="1" applyAlignment="1">
      <alignment vertical="center"/>
    </xf>
    <xf numFmtId="4" fontId="16" fillId="9" borderId="43" xfId="0" applyNumberFormat="1" applyFont="1" applyFill="1" applyBorder="1" applyAlignment="1">
      <alignment vertical="center"/>
    </xf>
    <xf numFmtId="4" fontId="16" fillId="9" borderId="44" xfId="0" applyNumberFormat="1" applyFont="1" applyFill="1" applyBorder="1" applyAlignment="1">
      <alignment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4" fontId="16" fillId="9" borderId="12" xfId="0" applyNumberFormat="1" applyFont="1" applyFill="1" applyBorder="1" applyAlignment="1">
      <alignment vertical="center"/>
    </xf>
    <xf numFmtId="4" fontId="16" fillId="9" borderId="58" xfId="0" applyNumberFormat="1" applyFont="1" applyFill="1" applyBorder="1" applyAlignment="1">
      <alignment vertical="center"/>
    </xf>
    <xf numFmtId="4" fontId="16" fillId="9" borderId="6" xfId="0" applyNumberFormat="1" applyFont="1" applyFill="1" applyBorder="1" applyAlignment="1">
      <alignment vertical="center"/>
    </xf>
    <xf numFmtId="4" fontId="16" fillId="9" borderId="15" xfId="0" applyNumberFormat="1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10" fontId="10" fillId="0" borderId="6" xfId="0" applyNumberFormat="1" applyFont="1" applyBorder="1" applyAlignment="1">
      <alignment vertical="center"/>
    </xf>
    <xf numFmtId="10" fontId="10" fillId="0" borderId="13" xfId="0" applyNumberFormat="1" applyFont="1" applyBorder="1" applyAlignment="1">
      <alignment vertical="center"/>
    </xf>
    <xf numFmtId="9" fontId="10" fillId="0" borderId="13" xfId="0" applyNumberFormat="1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4" fontId="10" fillId="0" borderId="57" xfId="0" applyNumberFormat="1" applyFont="1" applyBorder="1" applyAlignment="1">
      <alignment vertical="center"/>
    </xf>
    <xf numFmtId="0" fontId="16" fillId="9" borderId="75" xfId="0" applyFont="1" applyFill="1" applyBorder="1" applyAlignment="1">
      <alignment vertical="center"/>
    </xf>
    <xf numFmtId="0" fontId="16" fillId="9" borderId="57" xfId="0" applyFont="1" applyFill="1" applyBorder="1" applyAlignment="1">
      <alignment vertical="center"/>
    </xf>
    <xf numFmtId="10" fontId="16" fillId="9" borderId="6" xfId="0" applyNumberFormat="1" applyFont="1" applyFill="1" applyBorder="1" applyAlignment="1">
      <alignment vertical="center"/>
    </xf>
    <xf numFmtId="4" fontId="16" fillId="9" borderId="57" xfId="0" applyNumberFormat="1" applyFont="1" applyFill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6" fillId="9" borderId="58" xfId="0" applyFont="1" applyFill="1" applyBorder="1" applyAlignment="1">
      <alignment vertical="center"/>
    </xf>
    <xf numFmtId="4" fontId="16" fillId="9" borderId="13" xfId="0" applyNumberFormat="1" applyFont="1" applyFill="1" applyBorder="1" applyAlignment="1">
      <alignment vertical="center"/>
    </xf>
    <xf numFmtId="4" fontId="16" fillId="9" borderId="47" xfId="0" applyNumberFormat="1" applyFont="1" applyFill="1" applyBorder="1" applyAlignment="1">
      <alignment vertical="center"/>
    </xf>
    <xf numFmtId="4" fontId="16" fillId="9" borderId="39" xfId="0" applyNumberFormat="1" applyFont="1" applyFill="1" applyBorder="1" applyAlignment="1">
      <alignment vertical="center"/>
    </xf>
    <xf numFmtId="4" fontId="16" fillId="9" borderId="59" xfId="0" applyNumberFormat="1" applyFont="1" applyFill="1" applyBorder="1" applyAlignment="1">
      <alignment vertical="center"/>
    </xf>
    <xf numFmtId="4" fontId="16" fillId="9" borderId="41" xfId="0" applyNumberFormat="1" applyFont="1" applyFill="1" applyBorder="1" applyAlignment="1">
      <alignment vertical="center"/>
    </xf>
    <xf numFmtId="4" fontId="16" fillId="9" borderId="40" xfId="0" applyNumberFormat="1" applyFont="1" applyFill="1" applyBorder="1" applyAlignment="1">
      <alignment vertical="center"/>
    </xf>
    <xf numFmtId="4" fontId="39" fillId="9" borderId="10" xfId="0" applyNumberFormat="1" applyFont="1" applyFill="1" applyBorder="1" applyAlignment="1">
      <alignment vertical="center"/>
    </xf>
    <xf numFmtId="4" fontId="39" fillId="9" borderId="53" xfId="0" applyNumberFormat="1" applyFont="1" applyFill="1" applyBorder="1" applyAlignment="1">
      <alignment vertical="center"/>
    </xf>
    <xf numFmtId="4" fontId="39" fillId="9" borderId="51" xfId="0" applyNumberFormat="1" applyFont="1" applyFill="1" applyBorder="1" applyAlignment="1">
      <alignment vertical="center"/>
    </xf>
    <xf numFmtId="4" fontId="39" fillId="9" borderId="11" xfId="0" applyNumberFormat="1" applyFont="1" applyFill="1" applyBorder="1" applyAlignment="1">
      <alignment vertical="center"/>
    </xf>
    <xf numFmtId="10" fontId="10" fillId="9" borderId="35" xfId="0" applyNumberFormat="1" applyFont="1" applyFill="1" applyBorder="1" applyAlignment="1">
      <alignment vertical="center"/>
    </xf>
    <xf numFmtId="10" fontId="10" fillId="9" borderId="31" xfId="0" applyNumberFormat="1" applyFont="1" applyFill="1" applyBorder="1" applyAlignment="1">
      <alignment vertical="center"/>
    </xf>
    <xf numFmtId="10" fontId="10" fillId="9" borderId="78" xfId="0" applyNumberFormat="1" applyFont="1" applyFill="1" applyBorder="1" applyAlignment="1">
      <alignment vertical="center"/>
    </xf>
    <xf numFmtId="10" fontId="10" fillId="9" borderId="55" xfId="0" applyNumberFormat="1" applyFont="1" applyFill="1" applyBorder="1" applyAlignment="1">
      <alignment vertical="center"/>
    </xf>
    <xf numFmtId="4" fontId="10" fillId="0" borderId="0" xfId="0" applyNumberFormat="1" applyFont="1"/>
    <xf numFmtId="1" fontId="10" fillId="0" borderId="6" xfId="0" applyNumberFormat="1" applyFont="1" applyBorder="1" applyAlignment="1" applyProtection="1">
      <alignment vertical="center"/>
      <protection locked="0"/>
    </xf>
    <xf numFmtId="9" fontId="10" fillId="0" borderId="6" xfId="3" applyFont="1" applyBorder="1" applyAlignment="1" applyProtection="1">
      <alignment vertical="center"/>
      <protection locked="0"/>
    </xf>
    <xf numFmtId="10" fontId="10" fillId="0" borderId="6" xfId="0" applyNumberFormat="1" applyFont="1" applyBorder="1" applyAlignment="1" applyProtection="1">
      <alignment vertical="center"/>
      <protection locked="0"/>
    </xf>
    <xf numFmtId="4" fontId="39" fillId="9" borderId="56" xfId="0" applyNumberFormat="1" applyFont="1" applyFill="1" applyBorder="1" applyAlignment="1">
      <alignment vertical="center"/>
    </xf>
    <xf numFmtId="4" fontId="39" fillId="9" borderId="55" xfId="0" applyNumberFormat="1" applyFont="1" applyFill="1" applyBorder="1" applyAlignment="1">
      <alignment vertical="center"/>
    </xf>
    <xf numFmtId="10" fontId="10" fillId="9" borderId="61" xfId="0" applyNumberFormat="1" applyFont="1" applyFill="1" applyBorder="1" applyAlignment="1">
      <alignment vertical="center"/>
    </xf>
    <xf numFmtId="10" fontId="10" fillId="9" borderId="68" xfId="0" applyNumberFormat="1" applyFont="1" applyFill="1" applyBorder="1" applyAlignment="1">
      <alignment vertical="center"/>
    </xf>
    <xf numFmtId="10" fontId="10" fillId="9" borderId="48" xfId="0" applyNumberFormat="1" applyFont="1" applyFill="1" applyBorder="1" applyAlignment="1">
      <alignment vertical="center"/>
    </xf>
    <xf numFmtId="4" fontId="10" fillId="0" borderId="79" xfId="0" applyNumberFormat="1" applyFont="1" applyBorder="1" applyAlignment="1">
      <alignment vertical="center"/>
    </xf>
    <xf numFmtId="4" fontId="39" fillId="9" borderId="35" xfId="0" applyNumberFormat="1" applyFont="1" applyFill="1" applyBorder="1" applyAlignment="1">
      <alignment vertical="center"/>
    </xf>
    <xf numFmtId="4" fontId="39" fillId="9" borderId="80" xfId="0" applyNumberFormat="1" applyFont="1" applyFill="1" applyBorder="1" applyAlignment="1">
      <alignment vertical="center"/>
    </xf>
    <xf numFmtId="10" fontId="10" fillId="9" borderId="70" xfId="0" applyNumberFormat="1" applyFont="1" applyFill="1" applyBorder="1" applyAlignment="1">
      <alignment vertical="center"/>
    </xf>
    <xf numFmtId="10" fontId="10" fillId="9" borderId="26" xfId="0" applyNumberFormat="1" applyFont="1" applyFill="1" applyBorder="1" applyAlignment="1">
      <alignment vertical="center"/>
    </xf>
    <xf numFmtId="4" fontId="10" fillId="0" borderId="59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12" xfId="0" applyNumberFormat="1" applyFont="1" applyBorder="1" applyAlignment="1" applyProtection="1">
      <alignment vertical="center"/>
      <protection locked="0"/>
    </xf>
    <xf numFmtId="4" fontId="10" fillId="0" borderId="58" xfId="0" applyNumberFormat="1" applyFont="1" applyBorder="1" applyAlignment="1" applyProtection="1">
      <alignment vertical="center"/>
      <protection locked="0"/>
    </xf>
    <xf numFmtId="0" fontId="63" fillId="0" borderId="2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22" xfId="0" applyBorder="1"/>
    <xf numFmtId="0" fontId="63" fillId="0" borderId="23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24" xfId="0" applyBorder="1"/>
    <xf numFmtId="0" fontId="64" fillId="0" borderId="23" xfId="0" applyFont="1" applyBorder="1"/>
    <xf numFmtId="0" fontId="66" fillId="8" borderId="74" xfId="0" applyFont="1" applyFill="1" applyBorder="1" applyAlignment="1">
      <alignment horizontal="center" vertical="center" wrapText="1"/>
    </xf>
    <xf numFmtId="0" fontId="68" fillId="0" borderId="42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 wrapText="1"/>
    </xf>
    <xf numFmtId="0" fontId="68" fillId="0" borderId="36" xfId="0" applyFont="1" applyBorder="1" applyAlignment="1">
      <alignment horizontal="center" vertical="center"/>
    </xf>
    <xf numFmtId="1" fontId="2" fillId="0" borderId="6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>
      <alignment vertical="center"/>
    </xf>
    <xf numFmtId="4" fontId="2" fillId="0" borderId="7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9" fontId="2" fillId="0" borderId="6" xfId="3" applyFont="1" applyBorder="1" applyAlignment="1" applyProtection="1">
      <alignment vertical="center"/>
      <protection locked="0"/>
    </xf>
    <xf numFmtId="4" fontId="2" fillId="8" borderId="13" xfId="1" applyNumberFormat="1" applyFont="1" applyFill="1" applyBorder="1" applyAlignment="1" applyProtection="1">
      <alignment vertical="center"/>
      <protection locked="0"/>
    </xf>
    <xf numFmtId="4" fontId="66" fillId="9" borderId="12" xfId="0" applyNumberFormat="1" applyFont="1" applyFill="1" applyBorder="1" applyAlignment="1">
      <alignment vertical="center"/>
    </xf>
    <xf numFmtId="4" fontId="66" fillId="9" borderId="45" xfId="0" applyNumberFormat="1" applyFont="1" applyFill="1" applyBorder="1" applyAlignment="1">
      <alignment vertical="center"/>
    </xf>
    <xf numFmtId="4" fontId="66" fillId="9" borderId="43" xfId="0" applyNumberFormat="1" applyFont="1" applyFill="1" applyBorder="1" applyAlignment="1">
      <alignment vertical="center"/>
    </xf>
    <xf numFmtId="4" fontId="66" fillId="9" borderId="44" xfId="0" applyNumberFormat="1" applyFont="1" applyFill="1" applyBorder="1" applyAlignment="1">
      <alignment vertical="center"/>
    </xf>
    <xf numFmtId="10" fontId="2" fillId="0" borderId="13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>
      <alignment vertical="center"/>
    </xf>
    <xf numFmtId="4" fontId="2" fillId="0" borderId="58" xfId="0" applyNumberFormat="1" applyFont="1" applyBorder="1" applyAlignment="1">
      <alignment vertical="center"/>
    </xf>
    <xf numFmtId="4" fontId="66" fillId="9" borderId="58" xfId="0" applyNumberFormat="1" applyFont="1" applyFill="1" applyBorder="1" applyAlignment="1">
      <alignment vertical="center"/>
    </xf>
    <xf numFmtId="4" fontId="66" fillId="9" borderId="6" xfId="0" applyNumberFormat="1" applyFont="1" applyFill="1" applyBorder="1" applyAlignment="1">
      <alignment vertical="center"/>
    </xf>
    <xf numFmtId="4" fontId="66" fillId="9" borderId="15" xfId="0" applyNumberFormat="1" applyFont="1" applyFill="1" applyBorder="1" applyAlignment="1">
      <alignment vertical="center"/>
    </xf>
    <xf numFmtId="0" fontId="6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0" fontId="2" fillId="0" borderId="6" xfId="0" applyNumberFormat="1" applyFont="1" applyBorder="1" applyAlignment="1">
      <alignment vertical="center"/>
    </xf>
    <xf numFmtId="10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9" fontId="2" fillId="0" borderId="13" xfId="0" applyNumberFormat="1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66" fillId="9" borderId="75" xfId="0" applyFont="1" applyFill="1" applyBorder="1" applyAlignment="1">
      <alignment vertical="center"/>
    </xf>
    <xf numFmtId="0" fontId="66" fillId="9" borderId="57" xfId="0" applyFont="1" applyFill="1" applyBorder="1" applyAlignment="1">
      <alignment vertical="center"/>
    </xf>
    <xf numFmtId="10" fontId="66" fillId="9" borderId="6" xfId="0" applyNumberFormat="1" applyFont="1" applyFill="1" applyBorder="1" applyAlignment="1">
      <alignment vertical="center"/>
    </xf>
    <xf numFmtId="4" fontId="66" fillId="9" borderId="57" xfId="0" applyNumberFormat="1" applyFont="1" applyFill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66" fillId="9" borderId="58" xfId="0" applyFont="1" applyFill="1" applyBorder="1" applyAlignment="1">
      <alignment vertical="center"/>
    </xf>
    <xf numFmtId="4" fontId="66" fillId="9" borderId="13" xfId="0" applyNumberFormat="1" applyFont="1" applyFill="1" applyBorder="1" applyAlignment="1">
      <alignment vertical="center"/>
    </xf>
    <xf numFmtId="4" fontId="66" fillId="9" borderId="47" xfId="0" applyNumberFormat="1" applyFont="1" applyFill="1" applyBorder="1" applyAlignment="1">
      <alignment vertical="center"/>
    </xf>
    <xf numFmtId="4" fontId="66" fillId="9" borderId="39" xfId="0" applyNumberFormat="1" applyFont="1" applyFill="1" applyBorder="1" applyAlignment="1">
      <alignment vertical="center"/>
    </xf>
    <xf numFmtId="4" fontId="66" fillId="9" borderId="59" xfId="0" applyNumberFormat="1" applyFont="1" applyFill="1" applyBorder="1" applyAlignment="1">
      <alignment vertical="center"/>
    </xf>
    <xf numFmtId="4" fontId="66" fillId="9" borderId="41" xfId="0" applyNumberFormat="1" applyFont="1" applyFill="1" applyBorder="1" applyAlignment="1">
      <alignment vertical="center"/>
    </xf>
    <xf numFmtId="4" fontId="66" fillId="9" borderId="40" xfId="0" applyNumberFormat="1" applyFont="1" applyFill="1" applyBorder="1" applyAlignment="1">
      <alignment vertical="center"/>
    </xf>
    <xf numFmtId="4" fontId="70" fillId="9" borderId="35" xfId="0" applyNumberFormat="1" applyFont="1" applyFill="1" applyBorder="1" applyAlignment="1">
      <alignment vertical="center"/>
    </xf>
    <xf numFmtId="4" fontId="70" fillId="9" borderId="80" xfId="0" applyNumberFormat="1" applyFont="1" applyFill="1" applyBorder="1" applyAlignment="1">
      <alignment vertical="center"/>
    </xf>
    <xf numFmtId="4" fontId="70" fillId="9" borderId="56" xfId="0" applyNumberFormat="1" applyFont="1" applyFill="1" applyBorder="1" applyAlignment="1">
      <alignment vertical="center"/>
    </xf>
    <xf numFmtId="4" fontId="70" fillId="9" borderId="55" xfId="0" applyNumberFormat="1" applyFont="1" applyFill="1" applyBorder="1" applyAlignment="1">
      <alignment vertical="center"/>
    </xf>
    <xf numFmtId="10" fontId="2" fillId="9" borderId="70" xfId="0" applyNumberFormat="1" applyFont="1" applyFill="1" applyBorder="1" applyAlignment="1">
      <alignment vertical="center"/>
    </xf>
    <xf numFmtId="10" fontId="2" fillId="9" borderId="26" xfId="0" applyNumberFormat="1" applyFont="1" applyFill="1" applyBorder="1" applyAlignment="1">
      <alignment vertical="center"/>
    </xf>
    <xf numFmtId="10" fontId="2" fillId="9" borderId="68" xfId="0" applyNumberFormat="1" applyFont="1" applyFill="1" applyBorder="1" applyAlignment="1">
      <alignment vertical="center"/>
    </xf>
    <xf numFmtId="10" fontId="2" fillId="9" borderId="48" xfId="0" applyNumberFormat="1" applyFont="1" applyFill="1" applyBorder="1" applyAlignment="1">
      <alignment vertical="center"/>
    </xf>
    <xf numFmtId="0" fontId="37" fillId="0" borderId="21" xfId="36" applyFont="1" applyBorder="1"/>
    <xf numFmtId="0" fontId="37" fillId="0" borderId="23" xfId="36" applyFont="1" applyBorder="1"/>
    <xf numFmtId="0" fontId="60" fillId="0" borderId="0" xfId="36" applyFont="1" applyAlignment="1">
      <alignment vertical="center" wrapText="1"/>
    </xf>
    <xf numFmtId="0" fontId="71" fillId="8" borderId="80" xfId="36" applyFont="1" applyFill="1" applyBorder="1" applyAlignment="1" applyProtection="1">
      <alignment horizontal="center" vertical="center"/>
      <protection locked="0"/>
    </xf>
    <xf numFmtId="0" fontId="38" fillId="0" borderId="56" xfId="36" applyFont="1" applyBorder="1" applyAlignment="1">
      <alignment vertical="center"/>
    </xf>
    <xf numFmtId="0" fontId="38" fillId="0" borderId="55" xfId="36" applyFont="1" applyBorder="1" applyAlignment="1">
      <alignment vertical="center"/>
    </xf>
    <xf numFmtId="0" fontId="38" fillId="0" borderId="0" xfId="36" applyFont="1" applyAlignment="1">
      <alignment vertical="center"/>
    </xf>
    <xf numFmtId="0" fontId="54" fillId="8" borderId="23" xfId="36" applyFont="1" applyFill="1" applyBorder="1" applyAlignment="1">
      <alignment horizontal="center" vertical="center"/>
    </xf>
    <xf numFmtId="0" fontId="16" fillId="0" borderId="0" xfId="36" applyFont="1"/>
    <xf numFmtId="0" fontId="61" fillId="18" borderId="35" xfId="36" applyFont="1" applyFill="1" applyBorder="1" applyAlignment="1">
      <alignment horizontal="center" vertical="center"/>
    </xf>
    <xf numFmtId="4" fontId="61" fillId="18" borderId="56" xfId="36" applyNumberFormat="1" applyFont="1" applyFill="1" applyBorder="1" applyAlignment="1">
      <alignment vertical="center"/>
    </xf>
    <xf numFmtId="4" fontId="61" fillId="18" borderId="55" xfId="36" applyNumberFormat="1" applyFont="1" applyFill="1" applyBorder="1" applyAlignment="1">
      <alignment vertical="center"/>
    </xf>
    <xf numFmtId="0" fontId="10" fillId="0" borderId="42" xfId="36" applyFont="1" applyBorder="1" applyAlignment="1">
      <alignment horizontal="center" vertical="center"/>
    </xf>
    <xf numFmtId="10" fontId="10" fillId="0" borderId="43" xfId="36" applyNumberFormat="1" applyFont="1" applyBorder="1" applyAlignment="1">
      <alignment horizontal="center" vertical="center"/>
    </xf>
    <xf numFmtId="4" fontId="10" fillId="8" borderId="43" xfId="82" applyNumberFormat="1" applyFont="1" applyFill="1" applyBorder="1" applyAlignment="1" applyProtection="1">
      <alignment vertical="center"/>
    </xf>
    <xf numFmtId="4" fontId="10" fillId="8" borderId="44" xfId="82" applyNumberFormat="1" applyFont="1" applyFill="1" applyBorder="1" applyAlignment="1" applyProtection="1">
      <alignment vertical="center"/>
    </xf>
    <xf numFmtId="0" fontId="10" fillId="0" borderId="12" xfId="36" applyFont="1" applyBorder="1" applyAlignment="1">
      <alignment horizontal="center" vertical="center"/>
    </xf>
    <xf numFmtId="10" fontId="32" fillId="0" borderId="6" xfId="36" applyNumberFormat="1" applyFont="1" applyBorder="1" applyAlignment="1">
      <alignment horizontal="center" vertical="center"/>
    </xf>
    <xf numFmtId="4" fontId="10" fillId="8" borderId="6" xfId="82" applyNumberFormat="1" applyFont="1" applyFill="1" applyBorder="1" applyAlignment="1" applyProtection="1">
      <alignment vertical="center"/>
    </xf>
    <xf numFmtId="4" fontId="10" fillId="8" borderId="15" xfId="82" applyNumberFormat="1" applyFont="1" applyFill="1" applyBorder="1" applyAlignment="1" applyProtection="1">
      <alignment vertical="center"/>
    </xf>
    <xf numFmtId="10" fontId="54" fillId="0" borderId="6" xfId="36" applyNumberFormat="1" applyFont="1" applyBorder="1" applyAlignment="1">
      <alignment horizontal="center" vertical="center"/>
    </xf>
    <xf numFmtId="4" fontId="16" fillId="8" borderId="6" xfId="82" applyNumberFormat="1" applyFont="1" applyFill="1" applyBorder="1" applyAlignment="1" applyProtection="1">
      <alignment horizontal="right" vertical="center"/>
    </xf>
    <xf numFmtId="4" fontId="16" fillId="8" borderId="15" xfId="82" applyNumberFormat="1" applyFont="1" applyFill="1" applyBorder="1" applyAlignment="1" applyProtection="1">
      <alignment horizontal="right" vertical="center"/>
    </xf>
    <xf numFmtId="0" fontId="54" fillId="9" borderId="12" xfId="36" applyFont="1" applyFill="1" applyBorder="1" applyAlignment="1" applyProtection="1">
      <alignment horizontal="center" vertical="center"/>
      <protection locked="0"/>
    </xf>
    <xf numFmtId="0" fontId="54" fillId="9" borderId="6" xfId="36" applyFont="1" applyFill="1" applyBorder="1" applyAlignment="1" applyProtection="1">
      <alignment vertical="center"/>
      <protection locked="0"/>
    </xf>
    <xf numFmtId="0" fontId="10" fillId="0" borderId="12" xfId="36" applyFont="1" applyBorder="1" applyAlignment="1" applyProtection="1">
      <alignment horizontal="center" vertical="center"/>
      <protection locked="0"/>
    </xf>
    <xf numFmtId="0" fontId="10" fillId="0" borderId="6" xfId="36" applyFont="1" applyBorder="1" applyAlignment="1" applyProtection="1">
      <alignment vertical="center"/>
      <protection locked="0"/>
    </xf>
    <xf numFmtId="4" fontId="10" fillId="0" borderId="6" xfId="36" applyNumberFormat="1" applyFont="1" applyBorder="1" applyAlignment="1" applyProtection="1">
      <alignment vertical="center"/>
      <protection locked="0"/>
    </xf>
    <xf numFmtId="4" fontId="10" fillId="0" borderId="6" xfId="36" applyNumberFormat="1" applyFont="1" applyBorder="1"/>
    <xf numFmtId="4" fontId="10" fillId="0" borderId="15" xfId="36" applyNumberFormat="1" applyFont="1" applyBorder="1"/>
    <xf numFmtId="4" fontId="10" fillId="0" borderId="15" xfId="36" applyNumberFormat="1" applyFont="1" applyBorder="1" applyAlignment="1" applyProtection="1">
      <alignment vertical="center"/>
      <protection locked="0"/>
    </xf>
    <xf numFmtId="4" fontId="54" fillId="0" borderId="6" xfId="36" applyNumberFormat="1" applyFont="1" applyBorder="1" applyAlignment="1" applyProtection="1">
      <alignment vertical="center"/>
      <protection locked="0"/>
    </xf>
    <xf numFmtId="4" fontId="54" fillId="0" borderId="15" xfId="36" applyNumberFormat="1" applyFont="1" applyBorder="1" applyAlignment="1" applyProtection="1">
      <alignment vertical="center"/>
      <protection locked="0"/>
    </xf>
    <xf numFmtId="10" fontId="54" fillId="9" borderId="6" xfId="36" applyNumberFormat="1" applyFont="1" applyFill="1" applyBorder="1" applyAlignment="1">
      <alignment horizontal="center" vertical="center"/>
    </xf>
    <xf numFmtId="10" fontId="10" fillId="0" borderId="6" xfId="36" applyNumberFormat="1" applyFont="1" applyBorder="1" applyAlignment="1" applyProtection="1">
      <alignment vertical="center" wrapText="1"/>
      <protection locked="0"/>
    </xf>
    <xf numFmtId="4" fontId="10" fillId="8" borderId="6" xfId="36" applyNumberFormat="1" applyFont="1" applyFill="1" applyBorder="1" applyAlignment="1">
      <alignment horizontal="right" vertical="center"/>
    </xf>
    <xf numFmtId="4" fontId="10" fillId="8" borderId="15" xfId="36" applyNumberFormat="1" applyFont="1" applyFill="1" applyBorder="1" applyAlignment="1">
      <alignment horizontal="right" vertical="center"/>
    </xf>
    <xf numFmtId="0" fontId="54" fillId="0" borderId="12" xfId="36" applyFont="1" applyBorder="1" applyAlignment="1" applyProtection="1">
      <alignment horizontal="center" vertical="center"/>
      <protection locked="0"/>
    </xf>
    <xf numFmtId="10" fontId="54" fillId="0" borderId="6" xfId="36" applyNumberFormat="1" applyFont="1" applyBorder="1" applyAlignment="1" applyProtection="1">
      <alignment vertical="center" wrapText="1"/>
      <protection locked="0"/>
    </xf>
    <xf numFmtId="4" fontId="54" fillId="8" borderId="6" xfId="36" applyNumberFormat="1" applyFont="1" applyFill="1" applyBorder="1" applyAlignment="1" applyProtection="1">
      <alignment horizontal="right" vertical="center"/>
      <protection locked="0"/>
    </xf>
    <xf numFmtId="4" fontId="54" fillId="8" borderId="15" xfId="36" applyNumberFormat="1" applyFont="1" applyFill="1" applyBorder="1" applyAlignment="1" applyProtection="1">
      <alignment horizontal="right" vertical="center"/>
      <protection locked="0"/>
    </xf>
    <xf numFmtId="0" fontId="10" fillId="8" borderId="12" xfId="36" applyFont="1" applyFill="1" applyBorder="1" applyAlignment="1" applyProtection="1">
      <alignment horizontal="center" vertical="center"/>
      <protection locked="0"/>
    </xf>
    <xf numFmtId="0" fontId="54" fillId="0" borderId="39" xfId="36" applyFont="1" applyBorder="1" applyAlignment="1" applyProtection="1">
      <alignment vertical="center"/>
      <protection locked="0"/>
    </xf>
    <xf numFmtId="0" fontId="10" fillId="0" borderId="41" xfId="36" applyFont="1" applyBorder="1" applyAlignment="1" applyProtection="1">
      <alignment vertical="center" wrapText="1"/>
      <protection locked="0"/>
    </xf>
    <xf numFmtId="4" fontId="54" fillId="0" borderId="41" xfId="36" applyNumberFormat="1" applyFont="1" applyBorder="1" applyAlignment="1" applyProtection="1">
      <alignment horizontal="right" vertical="center"/>
      <protection locked="0"/>
    </xf>
    <xf numFmtId="4" fontId="54" fillId="0" borderId="40" xfId="36" applyNumberFormat="1" applyFont="1" applyBorder="1" applyAlignment="1" applyProtection="1">
      <alignment horizontal="right" vertical="center"/>
      <protection locked="0"/>
    </xf>
    <xf numFmtId="0" fontId="54" fillId="9" borderId="42" xfId="36" applyFont="1" applyFill="1" applyBorder="1" applyAlignment="1">
      <alignment vertical="center"/>
    </xf>
    <xf numFmtId="0" fontId="54" fillId="9" borderId="43" xfId="36" applyFont="1" applyFill="1" applyBorder="1" applyAlignment="1">
      <alignment vertical="center"/>
    </xf>
    <xf numFmtId="0" fontId="10" fillId="0" borderId="6" xfId="36" applyFont="1" applyBorder="1" applyAlignment="1">
      <alignment vertical="center"/>
    </xf>
    <xf numFmtId="4" fontId="32" fillId="8" borderId="6" xfId="36" applyNumberFormat="1" applyFont="1" applyFill="1" applyBorder="1" applyAlignment="1">
      <alignment vertical="center"/>
    </xf>
    <xf numFmtId="4" fontId="32" fillId="8" borderId="15" xfId="36" applyNumberFormat="1" applyFont="1" applyFill="1" applyBorder="1" applyAlignment="1">
      <alignment vertical="center"/>
    </xf>
    <xf numFmtId="0" fontId="54" fillId="0" borderId="6" xfId="36" applyFont="1" applyBorder="1" applyAlignment="1">
      <alignment vertical="center"/>
    </xf>
    <xf numFmtId="4" fontId="54" fillId="8" borderId="6" xfId="36" applyNumberFormat="1" applyFont="1" applyFill="1" applyBorder="1" applyAlignment="1">
      <alignment vertical="center"/>
    </xf>
    <xf numFmtId="4" fontId="54" fillId="8" borderId="15" xfId="36" applyNumberFormat="1" applyFont="1" applyFill="1" applyBorder="1" applyAlignment="1">
      <alignment vertical="center"/>
    </xf>
    <xf numFmtId="0" fontId="10" fillId="0" borderId="39" xfId="36" applyFont="1" applyBorder="1" applyAlignment="1">
      <alignment horizontal="center" vertical="center"/>
    </xf>
    <xf numFmtId="0" fontId="10" fillId="0" borderId="41" xfId="36" applyFont="1" applyBorder="1" applyAlignment="1">
      <alignment vertical="center"/>
    </xf>
    <xf numFmtId="4" fontId="32" fillId="8" borderId="41" xfId="36" applyNumberFormat="1" applyFont="1" applyFill="1" applyBorder="1" applyAlignment="1">
      <alignment vertical="center"/>
    </xf>
    <xf numFmtId="4" fontId="32" fillId="8" borderId="40" xfId="36" applyNumberFormat="1" applyFont="1" applyFill="1" applyBorder="1" applyAlignment="1">
      <alignment vertical="center"/>
    </xf>
    <xf numFmtId="0" fontId="54" fillId="9" borderId="35" xfId="36" applyFont="1" applyFill="1" applyBorder="1" applyAlignment="1">
      <alignment vertical="center"/>
    </xf>
    <xf numFmtId="0" fontId="54" fillId="9" borderId="56" xfId="36" applyFont="1" applyFill="1" applyBorder="1" applyAlignment="1">
      <alignment vertical="center"/>
    </xf>
    <xf numFmtId="4" fontId="54" fillId="9" borderId="56" xfId="36" applyNumberFormat="1" applyFont="1" applyFill="1" applyBorder="1" applyAlignment="1">
      <alignment vertical="center"/>
    </xf>
    <xf numFmtId="4" fontId="54" fillId="9" borderId="55" xfId="36" applyNumberFormat="1" applyFont="1" applyFill="1" applyBorder="1" applyAlignment="1">
      <alignment vertical="center"/>
    </xf>
    <xf numFmtId="0" fontId="2" fillId="0" borderId="0" xfId="15"/>
    <xf numFmtId="0" fontId="68" fillId="0" borderId="13" xfId="15" applyFont="1" applyBorder="1" applyAlignment="1">
      <alignment horizontal="right" vertical="center"/>
    </xf>
    <xf numFmtId="0" fontId="66" fillId="17" borderId="6" xfId="15" applyFont="1" applyFill="1" applyBorder="1" applyAlignment="1">
      <alignment horizontal="center" vertical="center" wrapText="1"/>
    </xf>
    <xf numFmtId="0" fontId="72" fillId="17" borderId="6" xfId="15" applyFont="1" applyFill="1" applyBorder="1" applyAlignment="1">
      <alignment horizontal="center" vertical="center"/>
    </xf>
    <xf numFmtId="0" fontId="49" fillId="17" borderId="6" xfId="15" applyFont="1" applyFill="1" applyBorder="1" applyAlignment="1">
      <alignment horizontal="center" vertical="center"/>
    </xf>
    <xf numFmtId="0" fontId="73" fillId="0" borderId="6" xfId="15" applyFont="1" applyBorder="1" applyAlignment="1">
      <alignment horizontal="center" vertical="center"/>
    </xf>
    <xf numFmtId="10" fontId="72" fillId="0" borderId="6" xfId="15" applyNumberFormat="1" applyFont="1" applyBorder="1" applyAlignment="1">
      <alignment horizontal="center" vertical="center"/>
    </xf>
    <xf numFmtId="0" fontId="72" fillId="0" borderId="6" xfId="15" applyFont="1" applyBorder="1" applyAlignment="1">
      <alignment horizontal="center" vertical="center"/>
    </xf>
    <xf numFmtId="4" fontId="74" fillId="0" borderId="6" xfId="15" applyNumberFormat="1" applyFont="1" applyBorder="1" applyAlignment="1">
      <alignment horizontal="center"/>
    </xf>
    <xf numFmtId="0" fontId="73" fillId="0" borderId="43" xfId="15" applyFont="1" applyBorder="1" applyAlignment="1">
      <alignment horizontal="center" vertical="center"/>
    </xf>
    <xf numFmtId="10" fontId="72" fillId="0" borderId="43" xfId="15" applyNumberFormat="1" applyFont="1" applyBorder="1" applyAlignment="1">
      <alignment horizontal="center" vertical="center"/>
    </xf>
    <xf numFmtId="0" fontId="72" fillId="0" borderId="43" xfId="15" applyFont="1" applyBorder="1" applyAlignment="1">
      <alignment horizontal="center" vertical="center"/>
    </xf>
    <xf numFmtId="10" fontId="75" fillId="0" borderId="6" xfId="39" applyNumberFormat="1" applyFont="1" applyBorder="1" applyAlignment="1" applyProtection="1">
      <alignment horizontal="center" vertical="center"/>
    </xf>
    <xf numFmtId="0" fontId="30" fillId="21" borderId="0" xfId="36" applyFont="1" applyFill="1"/>
    <xf numFmtId="0" fontId="16" fillId="5" borderId="6" xfId="73" applyNumberFormat="1" applyFont="1" applyFill="1" applyBorder="1" applyAlignment="1" applyProtection="1">
      <alignment horizontal="center" vertical="center" wrapText="1"/>
    </xf>
    <xf numFmtId="0" fontId="10" fillId="0" borderId="20" xfId="16" applyFont="1" applyBorder="1" applyAlignment="1">
      <alignment horizontal="left" vertical="center" wrapText="1"/>
    </xf>
    <xf numFmtId="0" fontId="8" fillId="0" borderId="6" xfId="16" applyFont="1" applyBorder="1" applyAlignment="1">
      <alignment horizontal="center"/>
    </xf>
    <xf numFmtId="0" fontId="10" fillId="3" borderId="9" xfId="73" applyNumberFormat="1" applyFont="1" applyFill="1" applyBorder="1" applyAlignment="1" applyProtection="1">
      <alignment horizontal="center" vertical="center" wrapText="1"/>
    </xf>
    <xf numFmtId="0" fontId="10" fillId="3" borderId="10" xfId="73" applyNumberFormat="1" applyFont="1" applyFill="1" applyBorder="1" applyAlignment="1" applyProtection="1">
      <alignment horizontal="center" vertical="center" wrapText="1"/>
    </xf>
    <xf numFmtId="0" fontId="10" fillId="3" borderId="8" xfId="73" applyNumberFormat="1" applyFont="1" applyFill="1" applyBorder="1" applyAlignment="1" applyProtection="1">
      <alignment horizontal="center" vertical="center" wrapText="1"/>
    </xf>
    <xf numFmtId="0" fontId="14" fillId="4" borderId="11" xfId="73" applyNumberFormat="1" applyFont="1" applyFill="1" applyBorder="1" applyAlignment="1" applyProtection="1">
      <alignment horizontal="center" vertical="center" wrapText="1"/>
    </xf>
    <xf numFmtId="0" fontId="16" fillId="5" borderId="16" xfId="73" applyNumberFormat="1" applyFont="1" applyFill="1" applyBorder="1" applyAlignment="1" applyProtection="1">
      <alignment horizontal="center" vertical="center" wrapText="1"/>
    </xf>
    <xf numFmtId="167" fontId="16" fillId="5" borderId="17" xfId="14" applyFont="1" applyFill="1" applyBorder="1" applyAlignment="1" applyProtection="1">
      <alignment horizontal="center" vertical="center" wrapText="1"/>
    </xf>
    <xf numFmtId="0" fontId="15" fillId="3" borderId="7" xfId="73" applyNumberFormat="1" applyFont="1" applyFill="1" applyBorder="1" applyAlignment="1" applyProtection="1">
      <alignment horizontal="center" vertical="center" wrapText="1"/>
    </xf>
    <xf numFmtId="0" fontId="11" fillId="0" borderId="0" xfId="16" applyFont="1" applyAlignment="1">
      <alignment horizontal="center" vertical="center" wrapText="1"/>
    </xf>
    <xf numFmtId="0" fontId="13" fillId="2" borderId="6" xfId="16" applyFont="1" applyFill="1" applyBorder="1" applyAlignment="1">
      <alignment horizontal="center" vertical="center" wrapText="1"/>
    </xf>
    <xf numFmtId="0" fontId="14" fillId="2" borderId="6" xfId="16" applyFont="1" applyFill="1" applyBorder="1" applyAlignment="1">
      <alignment horizontal="center" vertical="center" wrapText="1"/>
    </xf>
    <xf numFmtId="0" fontId="21" fillId="8" borderId="0" xfId="36" applyFont="1" applyFill="1" applyAlignment="1">
      <alignment horizontal="center"/>
    </xf>
    <xf numFmtId="0" fontId="14" fillId="8" borderId="0" xfId="36" applyFont="1" applyFill="1" applyAlignment="1">
      <alignment horizontal="left" wrapText="1"/>
    </xf>
    <xf numFmtId="170" fontId="14" fillId="11" borderId="32" xfId="0" applyNumberFormat="1" applyFont="1" applyFill="1" applyBorder="1" applyAlignment="1">
      <alignment horizontal="center" vertical="center" wrapText="1"/>
    </xf>
    <xf numFmtId="0" fontId="39" fillId="9" borderId="33" xfId="0" applyFont="1" applyFill="1" applyBorder="1" applyAlignment="1">
      <alignment horizontal="center" vertical="center" wrapText="1"/>
    </xf>
    <xf numFmtId="0" fontId="39" fillId="9" borderId="29" xfId="0" applyFont="1" applyFill="1" applyBorder="1" applyAlignment="1">
      <alignment horizontal="left" vertical="center" wrapText="1" indent="15"/>
    </xf>
    <xf numFmtId="0" fontId="8" fillId="9" borderId="37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10" fillId="9" borderId="34" xfId="16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textRotation="90"/>
    </xf>
    <xf numFmtId="0" fontId="11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35" fillId="9" borderId="3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textRotation="90"/>
    </xf>
    <xf numFmtId="0" fontId="12" fillId="9" borderId="21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 wrapText="1"/>
    </xf>
    <xf numFmtId="0" fontId="36" fillId="9" borderId="22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8" fillId="9" borderId="33" xfId="16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 wrapText="1"/>
    </xf>
    <xf numFmtId="0" fontId="37" fillId="9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171" fontId="8" fillId="0" borderId="23" xfId="0" applyNumberFormat="1" applyFont="1" applyBorder="1" applyAlignment="1">
      <alignment horizontal="left" vertical="center" wrapText="1"/>
    </xf>
    <xf numFmtId="171" fontId="8" fillId="0" borderId="0" xfId="0" applyNumberFormat="1" applyFont="1" applyAlignment="1">
      <alignment horizontal="left" vertical="center" wrapText="1"/>
    </xf>
    <xf numFmtId="0" fontId="49" fillId="0" borderId="7" xfId="16" applyFont="1" applyBorder="1" applyAlignment="1" applyProtection="1">
      <alignment horizontal="left" vertical="center"/>
      <protection locked="0"/>
    </xf>
    <xf numFmtId="0" fontId="31" fillId="0" borderId="50" xfId="16" applyFont="1" applyBorder="1" applyAlignment="1" applyProtection="1">
      <alignment horizontal="left" vertical="center" wrapText="1"/>
      <protection locked="0"/>
    </xf>
    <xf numFmtId="0" fontId="31" fillId="0" borderId="66" xfId="16" applyFont="1" applyBorder="1" applyAlignment="1" applyProtection="1">
      <alignment horizontal="left" vertical="center" wrapText="1"/>
      <protection locked="0"/>
    </xf>
    <xf numFmtId="0" fontId="49" fillId="8" borderId="29" xfId="16" applyFont="1" applyFill="1" applyBorder="1" applyAlignment="1" applyProtection="1">
      <alignment horizontal="center" vertical="center" wrapText="1"/>
      <protection locked="0"/>
    </xf>
    <xf numFmtId="0" fontId="49" fillId="9" borderId="6" xfId="16" applyFont="1" applyFill="1" applyBorder="1" applyAlignment="1" applyProtection="1">
      <alignment horizontal="center" vertical="center" wrapText="1"/>
      <protection locked="0"/>
    </xf>
    <xf numFmtId="0" fontId="14" fillId="9" borderId="6" xfId="73" applyNumberFormat="1" applyFont="1" applyFill="1" applyBorder="1" applyAlignment="1" applyProtection="1">
      <alignment horizontal="center" vertical="center" wrapText="1"/>
    </xf>
    <xf numFmtId="0" fontId="50" fillId="0" borderId="6" xfId="16" applyFont="1" applyBorder="1" applyAlignment="1" applyProtection="1">
      <alignment horizontal="center" vertical="center"/>
      <protection locked="0"/>
    </xf>
    <xf numFmtId="0" fontId="31" fillId="0" borderId="6" xfId="16" applyFont="1" applyBorder="1" applyAlignment="1" applyProtection="1">
      <alignment horizontal="left" vertical="center"/>
      <protection locked="0"/>
    </xf>
    <xf numFmtId="2" fontId="31" fillId="13" borderId="6" xfId="16" applyNumberFormat="1" applyFont="1" applyFill="1" applyBorder="1" applyAlignment="1" applyProtection="1">
      <alignment horizontal="center" vertical="center"/>
      <protection locked="0"/>
    </xf>
    <xf numFmtId="173" fontId="31" fillId="0" borderId="6" xfId="16" applyNumberFormat="1" applyFont="1" applyBorder="1" applyAlignment="1" applyProtection="1">
      <alignment horizontal="center" vertical="center"/>
      <protection locked="0"/>
    </xf>
    <xf numFmtId="2" fontId="31" fillId="0" borderId="6" xfId="16" applyNumberFormat="1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left" vertical="center"/>
    </xf>
    <xf numFmtId="0" fontId="8" fillId="0" borderId="6" xfId="16" applyFont="1" applyBorder="1" applyAlignment="1">
      <alignment horizontal="left" vertical="center"/>
    </xf>
    <xf numFmtId="0" fontId="14" fillId="2" borderId="6" xfId="16" applyFont="1" applyFill="1" applyBorder="1" applyAlignment="1" applyProtection="1">
      <alignment horizontal="center" vertical="center"/>
      <protection locked="0"/>
    </xf>
    <xf numFmtId="0" fontId="14" fillId="9" borderId="6" xfId="0" applyFont="1" applyFill="1" applyBorder="1" applyAlignment="1">
      <alignment horizontal="center" vertical="center"/>
    </xf>
    <xf numFmtId="0" fontId="14" fillId="9" borderId="6" xfId="16" applyFont="1" applyFill="1" applyBorder="1" applyAlignment="1">
      <alignment horizontal="center" vertical="center" wrapText="1"/>
    </xf>
    <xf numFmtId="0" fontId="8" fillId="2" borderId="6" xfId="16" applyFont="1" applyFill="1" applyBorder="1" applyAlignment="1" applyProtection="1">
      <alignment horizontal="left" vertical="center"/>
      <protection locked="0"/>
    </xf>
    <xf numFmtId="0" fontId="8" fillId="0" borderId="62" xfId="16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14" fillId="9" borderId="6" xfId="16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8" fillId="0" borderId="47" xfId="16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textRotation="90"/>
    </xf>
    <xf numFmtId="0" fontId="10" fillId="0" borderId="12" xfId="0" applyFont="1" applyBorder="1" applyAlignment="1">
      <alignment horizontal="left" vertical="center"/>
    </xf>
    <xf numFmtId="0" fontId="54" fillId="9" borderId="16" xfId="0" applyFont="1" applyFill="1" applyBorder="1" applyAlignment="1">
      <alignment horizontal="left" vertical="center"/>
    </xf>
    <xf numFmtId="0" fontId="57" fillId="15" borderId="28" xfId="0" applyFont="1" applyFill="1" applyBorder="1" applyAlignment="1">
      <alignment horizontal="center" vertical="center" wrapText="1"/>
    </xf>
    <xf numFmtId="0" fontId="36" fillId="0" borderId="6" xfId="15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54" fillId="9" borderId="47" xfId="0" applyFont="1" applyFill="1" applyBorder="1" applyAlignment="1">
      <alignment horizontal="left" vertical="center"/>
    </xf>
    <xf numFmtId="0" fontId="54" fillId="9" borderId="15" xfId="0" applyFont="1" applyFill="1" applyBorder="1" applyAlignment="1">
      <alignment horizontal="left" vertical="center"/>
    </xf>
    <xf numFmtId="0" fontId="16" fillId="14" borderId="6" xfId="15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53" fillId="8" borderId="47" xfId="0" applyFont="1" applyFill="1" applyBorder="1" applyAlignment="1">
      <alignment horizontal="center" vertical="center"/>
    </xf>
    <xf numFmtId="0" fontId="54" fillId="9" borderId="38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left" vertical="center"/>
    </xf>
    <xf numFmtId="0" fontId="30" fillId="18" borderId="35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 wrapText="1"/>
    </xf>
    <xf numFmtId="4" fontId="14" fillId="8" borderId="65" xfId="0" applyNumberFormat="1" applyFont="1" applyFill="1" applyBorder="1" applyAlignment="1">
      <alignment horizontal="center" vertical="center"/>
    </xf>
    <xf numFmtId="4" fontId="14" fillId="8" borderId="19" xfId="0" applyNumberFormat="1" applyFont="1" applyFill="1" applyBorder="1" applyAlignment="1">
      <alignment horizontal="center" vertical="center"/>
    </xf>
    <xf numFmtId="0" fontId="30" fillId="18" borderId="35" xfId="0" applyFont="1" applyFill="1" applyBorder="1" applyAlignment="1">
      <alignment horizontal="center" vertical="center" wrapText="1"/>
    </xf>
    <xf numFmtId="0" fontId="15" fillId="5" borderId="6" xfId="73" applyNumberFormat="1" applyFont="1" applyFill="1" applyBorder="1" applyAlignment="1" applyProtection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4" fontId="14" fillId="8" borderId="41" xfId="0" applyNumberFormat="1" applyFont="1" applyFill="1" applyBorder="1" applyAlignment="1">
      <alignment horizontal="center" vertical="center"/>
    </xf>
    <xf numFmtId="0" fontId="30" fillId="18" borderId="12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 wrapText="1"/>
    </xf>
    <xf numFmtId="4" fontId="14" fillId="8" borderId="6" xfId="0" applyNumberFormat="1" applyFont="1" applyFill="1" applyBorder="1" applyAlignment="1">
      <alignment horizontal="center" vertical="center"/>
    </xf>
    <xf numFmtId="0" fontId="30" fillId="18" borderId="42" xfId="0" applyFont="1" applyFill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4" fontId="14" fillId="8" borderId="68" xfId="0" applyNumberFormat="1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left" vertical="center"/>
    </xf>
    <xf numFmtId="0" fontId="26" fillId="16" borderId="57" xfId="38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6" fillId="9" borderId="75" xfId="0" applyFont="1" applyFill="1" applyBorder="1" applyAlignment="1">
      <alignment horizontal="left" vertical="center"/>
    </xf>
    <xf numFmtId="0" fontId="16" fillId="8" borderId="76" xfId="0" applyFont="1" applyFill="1" applyBorder="1" applyAlignment="1">
      <alignment horizontal="left" vertical="center"/>
    </xf>
    <xf numFmtId="0" fontId="16" fillId="9" borderId="77" xfId="0" applyFont="1" applyFill="1" applyBorder="1" applyAlignment="1">
      <alignment vertical="center"/>
    </xf>
    <xf numFmtId="0" fontId="62" fillId="9" borderId="21" xfId="0" applyFont="1" applyFill="1" applyBorder="1" applyAlignment="1">
      <alignment vertical="center"/>
    </xf>
    <xf numFmtId="0" fontId="10" fillId="0" borderId="75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38" fillId="0" borderId="47" xfId="0" applyNumberFormat="1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center" wrapText="1"/>
    </xf>
    <xf numFmtId="0" fontId="16" fillId="0" borderId="7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4" fontId="38" fillId="0" borderId="38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6" fillId="9" borderId="13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0" fillId="9" borderId="71" xfId="0" applyFont="1" applyFill="1" applyBorder="1" applyAlignment="1">
      <alignment horizontal="center" vertical="center" wrapText="1"/>
    </xf>
    <xf numFmtId="0" fontId="60" fillId="9" borderId="72" xfId="0" applyFont="1" applyFill="1" applyBorder="1" applyAlignment="1">
      <alignment horizontal="left" vertical="center" wrapText="1"/>
    </xf>
    <xf numFmtId="0" fontId="60" fillId="9" borderId="73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16" fillId="8" borderId="29" xfId="0" applyFont="1" applyFill="1" applyBorder="1" applyAlignment="1">
      <alignment horizontal="center" vertical="center" wrapText="1"/>
    </xf>
    <xf numFmtId="0" fontId="16" fillId="19" borderId="29" xfId="0" applyFont="1" applyFill="1" applyBorder="1" applyAlignment="1">
      <alignment horizontal="center" vertical="center" wrapText="1"/>
    </xf>
    <xf numFmtId="0" fontId="61" fillId="20" borderId="29" xfId="0" applyFont="1" applyFill="1" applyBorder="1" applyAlignment="1">
      <alignment horizontal="center" vertical="center" wrapText="1"/>
    </xf>
    <xf numFmtId="0" fontId="16" fillId="8" borderId="65" xfId="0" applyFont="1" applyFill="1" applyBorder="1" applyAlignment="1">
      <alignment horizontal="left" vertical="center" wrapText="1"/>
    </xf>
    <xf numFmtId="0" fontId="10" fillId="9" borderId="70" xfId="0" applyFont="1" applyFill="1" applyBorder="1" applyAlignment="1">
      <alignment vertical="center"/>
    </xf>
    <xf numFmtId="0" fontId="16" fillId="9" borderId="12" xfId="0" applyFont="1" applyFill="1" applyBorder="1" applyAlignment="1">
      <alignment horizontal="left" vertical="center"/>
    </xf>
    <xf numFmtId="0" fontId="62" fillId="9" borderId="35" xfId="0" applyFont="1" applyFill="1" applyBorder="1" applyAlignment="1">
      <alignment vertical="center"/>
    </xf>
    <xf numFmtId="0" fontId="16" fillId="9" borderId="6" xfId="0" applyFont="1" applyFill="1" applyBorder="1" applyAlignment="1">
      <alignment horizontal="left" vertical="center"/>
    </xf>
    <xf numFmtId="0" fontId="10" fillId="9" borderId="25" xfId="0" applyFont="1" applyFill="1" applyBorder="1" applyAlignment="1">
      <alignment vertical="center"/>
    </xf>
    <xf numFmtId="0" fontId="62" fillId="9" borderId="30" xfId="0" applyFont="1" applyFill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4" fontId="38" fillId="0" borderId="34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2" fillId="9" borderId="2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6" fillId="9" borderId="75" xfId="0" applyFont="1" applyFill="1" applyBorder="1" applyAlignment="1">
      <alignment horizontal="left" vertical="center"/>
    </xf>
    <xf numFmtId="0" fontId="66" fillId="8" borderId="76" xfId="0" applyFont="1" applyFill="1" applyBorder="1" applyAlignment="1">
      <alignment horizontal="left" vertical="center"/>
    </xf>
    <xf numFmtId="0" fontId="66" fillId="9" borderId="77" xfId="0" applyFont="1" applyFill="1" applyBorder="1" applyAlignment="1">
      <alignment vertical="center"/>
    </xf>
    <xf numFmtId="0" fontId="69" fillId="9" borderId="30" xfId="0" applyFont="1" applyFill="1" applyBorder="1" applyAlignment="1">
      <alignment vertical="center"/>
    </xf>
    <xf numFmtId="0" fontId="2" fillId="0" borderId="75" xfId="0" applyFont="1" applyBorder="1" applyAlignment="1">
      <alignment horizontal="left" vertical="center"/>
    </xf>
    <xf numFmtId="0" fontId="66" fillId="0" borderId="12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4" fontId="68" fillId="0" borderId="47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66" fillId="0" borderId="75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/>
    </xf>
    <xf numFmtId="4" fontId="68" fillId="0" borderId="3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66" fillId="9" borderId="1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5" fillId="9" borderId="71" xfId="0" applyFont="1" applyFill="1" applyBorder="1" applyAlignment="1">
      <alignment horizontal="center" vertical="center" wrapText="1"/>
    </xf>
    <xf numFmtId="0" fontId="65" fillId="9" borderId="72" xfId="0" applyFont="1" applyFill="1" applyBorder="1" applyAlignment="1">
      <alignment horizontal="left" vertical="center" wrapText="1"/>
    </xf>
    <xf numFmtId="0" fontId="65" fillId="9" borderId="73" xfId="0" applyFont="1" applyFill="1" applyBorder="1" applyAlignment="1">
      <alignment horizontal="center" vertical="center"/>
    </xf>
    <xf numFmtId="0" fontId="66" fillId="0" borderId="34" xfId="0" applyFont="1" applyBorder="1" applyAlignment="1">
      <alignment horizontal="left" vertical="center"/>
    </xf>
    <xf numFmtId="0" fontId="26" fillId="8" borderId="29" xfId="0" applyFont="1" applyFill="1" applyBorder="1" applyAlignment="1">
      <alignment horizontal="center" vertical="center" wrapText="1"/>
    </xf>
    <xf numFmtId="0" fontId="26" fillId="19" borderId="29" xfId="0" applyFont="1" applyFill="1" applyBorder="1" applyAlignment="1">
      <alignment horizontal="center" vertical="center" wrapText="1"/>
    </xf>
    <xf numFmtId="0" fontId="67" fillId="20" borderId="29" xfId="0" applyFont="1" applyFill="1" applyBorder="1" applyAlignment="1">
      <alignment horizontal="center" vertical="center" wrapText="1"/>
    </xf>
    <xf numFmtId="0" fontId="66" fillId="8" borderId="65" xfId="0" applyFont="1" applyFill="1" applyBorder="1" applyAlignment="1">
      <alignment horizontal="left" vertical="center" wrapText="1"/>
    </xf>
    <xf numFmtId="0" fontId="54" fillId="0" borderId="12" xfId="36" applyFont="1" applyBorder="1" applyAlignment="1">
      <alignment horizontal="left" vertical="center"/>
    </xf>
    <xf numFmtId="0" fontId="10" fillId="0" borderId="6" xfId="36" applyFont="1" applyBorder="1" applyAlignment="1" applyProtection="1">
      <alignment horizontal="left" vertical="center" wrapText="1"/>
      <protection locked="0"/>
    </xf>
    <xf numFmtId="0" fontId="54" fillId="9" borderId="29" xfId="36" applyFont="1" applyFill="1" applyBorder="1" applyAlignment="1">
      <alignment horizontal="center" vertical="center"/>
    </xf>
    <xf numFmtId="0" fontId="54" fillId="8" borderId="29" xfId="36" applyFont="1" applyFill="1" applyBorder="1" applyAlignment="1">
      <alignment horizontal="center" vertical="center"/>
    </xf>
    <xf numFmtId="0" fontId="54" fillId="9" borderId="44" xfId="36" applyFont="1" applyFill="1" applyBorder="1" applyAlignment="1" applyProtection="1">
      <alignment horizontal="center" vertical="center"/>
      <protection locked="0"/>
    </xf>
    <xf numFmtId="0" fontId="16" fillId="0" borderId="6" xfId="36" applyFont="1" applyBorder="1" applyAlignment="1" applyProtection="1">
      <alignment horizontal="left" vertical="center" wrapText="1"/>
      <protection locked="0"/>
    </xf>
    <xf numFmtId="0" fontId="54" fillId="9" borderId="15" xfId="36" applyFont="1" applyFill="1" applyBorder="1" applyAlignment="1" applyProtection="1">
      <alignment horizontal="center" vertical="center"/>
      <protection locked="0"/>
    </xf>
    <xf numFmtId="0" fontId="10" fillId="0" borderId="6" xfId="36" applyFont="1" applyBorder="1" applyAlignment="1" applyProtection="1">
      <alignment horizontal="left" vertical="center"/>
      <protection locked="0"/>
    </xf>
    <xf numFmtId="0" fontId="54" fillId="0" borderId="12" xfId="36" applyFont="1" applyBorder="1" applyAlignment="1" applyProtection="1">
      <alignment horizontal="left" vertical="center"/>
      <protection locked="0"/>
    </xf>
    <xf numFmtId="0" fontId="54" fillId="9" borderId="6" xfId="36" applyFont="1" applyFill="1" applyBorder="1" applyAlignment="1" applyProtection="1">
      <alignment horizontal="left" vertical="center" wrapText="1"/>
      <protection locked="0"/>
    </xf>
    <xf numFmtId="0" fontId="61" fillId="18" borderId="56" xfId="36" applyFont="1" applyFill="1" applyBorder="1" applyAlignment="1">
      <alignment horizontal="left" vertical="center"/>
    </xf>
    <xf numFmtId="0" fontId="10" fillId="0" borderId="43" xfId="36" applyFont="1" applyBorder="1" applyAlignment="1">
      <alignment horizontal="left" vertical="center"/>
    </xf>
    <xf numFmtId="0" fontId="10" fillId="0" borderId="6" xfId="36" applyFont="1" applyBorder="1" applyAlignment="1">
      <alignment horizontal="left" vertical="center"/>
    </xf>
    <xf numFmtId="0" fontId="54" fillId="0" borderId="12" xfId="36" applyFont="1" applyBorder="1" applyAlignment="1">
      <alignment horizontal="left" vertical="center" wrapText="1"/>
    </xf>
    <xf numFmtId="0" fontId="37" fillId="0" borderId="22" xfId="36" applyFont="1" applyBorder="1" applyAlignment="1">
      <alignment horizontal="left" vertical="center"/>
    </xf>
    <xf numFmtId="0" fontId="37" fillId="0" borderId="24" xfId="36" applyFont="1" applyBorder="1" applyAlignment="1">
      <alignment horizontal="left" vertical="center"/>
    </xf>
    <xf numFmtId="0" fontId="60" fillId="9" borderId="69" xfId="36" applyFont="1" applyFill="1" applyBorder="1" applyAlignment="1">
      <alignment horizontal="center" vertical="center" wrapText="1"/>
    </xf>
    <xf numFmtId="0" fontId="38" fillId="8" borderId="29" xfId="36" applyFont="1" applyFill="1" applyBorder="1" applyAlignment="1">
      <alignment horizontal="center" vertical="center"/>
    </xf>
    <xf numFmtId="10" fontId="54" fillId="8" borderId="33" xfId="36" applyNumberFormat="1" applyFont="1" applyFill="1" applyBorder="1" applyAlignment="1">
      <alignment horizontal="center" vertical="center"/>
    </xf>
    <xf numFmtId="0" fontId="54" fillId="8" borderId="33" xfId="36" applyFont="1" applyFill="1" applyBorder="1" applyAlignment="1">
      <alignment horizontal="left" vertical="center" wrapText="1"/>
    </xf>
    <xf numFmtId="0" fontId="71" fillId="8" borderId="33" xfId="0" applyFont="1" applyFill="1" applyBorder="1" applyAlignment="1" applyProtection="1">
      <alignment horizontal="center" vertical="center"/>
      <protection locked="0"/>
    </xf>
    <xf numFmtId="0" fontId="72" fillId="17" borderId="6" xfId="15" applyFont="1" applyFill="1" applyBorder="1" applyAlignment="1">
      <alignment horizontal="center" vertical="center"/>
    </xf>
    <xf numFmtId="0" fontId="66" fillId="17" borderId="6" xfId="15" applyFont="1" applyFill="1" applyBorder="1" applyAlignment="1">
      <alignment horizontal="center" vertical="center" wrapText="1"/>
    </xf>
    <xf numFmtId="0" fontId="68" fillId="0" borderId="58" xfId="15" applyFont="1" applyBorder="1" applyAlignment="1">
      <alignment horizontal="left" vertical="center"/>
    </xf>
    <xf numFmtId="0" fontId="70" fillId="17" borderId="6" xfId="15" applyFont="1" applyFill="1" applyBorder="1" applyAlignment="1">
      <alignment horizontal="center" vertical="center" wrapText="1"/>
    </xf>
  </cellXfs>
  <cellStyles count="83">
    <cellStyle name="Excel Built-in Explanatory Text" xfId="82" xr:uid="{00000000-0005-0000-0000-000000000000}"/>
    <cellStyle name="Moeda" xfId="2" builtinId="4"/>
    <cellStyle name="Moeda 2" xfId="4" xr:uid="{00000000-0005-0000-0000-000002000000}"/>
    <cellStyle name="Moeda 2 2" xfId="5" xr:uid="{00000000-0005-0000-0000-000003000000}"/>
    <cellStyle name="Moeda 2 3" xfId="6" xr:uid="{00000000-0005-0000-0000-000004000000}"/>
    <cellStyle name="Moeda 3" xfId="7" xr:uid="{00000000-0005-0000-0000-000005000000}"/>
    <cellStyle name="Moeda 4" xfId="8" xr:uid="{00000000-0005-0000-0000-000006000000}"/>
    <cellStyle name="Moeda 4 2" xfId="9" xr:uid="{00000000-0005-0000-0000-000007000000}"/>
    <cellStyle name="Moeda 4 3" xfId="10" xr:uid="{00000000-0005-0000-0000-000008000000}"/>
    <cellStyle name="Moeda 5" xfId="11" xr:uid="{00000000-0005-0000-0000-000009000000}"/>
    <cellStyle name="Moeda 6" xfId="12" xr:uid="{00000000-0005-0000-0000-00000A000000}"/>
    <cellStyle name="Moeda 7" xfId="13" xr:uid="{00000000-0005-0000-0000-00000B000000}"/>
    <cellStyle name="Moeda 8" xfId="14" xr:uid="{00000000-0005-0000-0000-00000C000000}"/>
    <cellStyle name="Normal" xfId="0" builtinId="0"/>
    <cellStyle name="Normal 12" xfId="15" xr:uid="{00000000-0005-0000-0000-00000E000000}"/>
    <cellStyle name="Normal 2" xfId="16" xr:uid="{00000000-0005-0000-0000-00000F000000}"/>
    <cellStyle name="Normal 2 2" xfId="17" xr:uid="{00000000-0005-0000-0000-000010000000}"/>
    <cellStyle name="Normal 2 2 2" xfId="18" xr:uid="{00000000-0005-0000-0000-000011000000}"/>
    <cellStyle name="Normal 2 3" xfId="19" xr:uid="{00000000-0005-0000-0000-000012000000}"/>
    <cellStyle name="Normal 2 3 2" xfId="20" xr:uid="{00000000-0005-0000-0000-000013000000}"/>
    <cellStyle name="Normal 2 3 2 2" xfId="21" xr:uid="{00000000-0005-0000-0000-000014000000}"/>
    <cellStyle name="Normal 2 3 3" xfId="22" xr:uid="{00000000-0005-0000-0000-000015000000}"/>
    <cellStyle name="Normal 2 3 3 2" xfId="23" xr:uid="{00000000-0005-0000-0000-000016000000}"/>
    <cellStyle name="Normal 2 3 4" xfId="24" xr:uid="{00000000-0005-0000-0000-000017000000}"/>
    <cellStyle name="Normal 3" xfId="25" xr:uid="{00000000-0005-0000-0000-000018000000}"/>
    <cellStyle name="Normal 3 2" xfId="26" xr:uid="{00000000-0005-0000-0000-000019000000}"/>
    <cellStyle name="Normal 3 3" xfId="27" xr:uid="{00000000-0005-0000-0000-00001A000000}"/>
    <cellStyle name="Normal 4" xfId="28" xr:uid="{00000000-0005-0000-0000-00001B000000}"/>
    <cellStyle name="Normal 4 2" xfId="29" xr:uid="{00000000-0005-0000-0000-00001C000000}"/>
    <cellStyle name="Normal 5" xfId="30" xr:uid="{00000000-0005-0000-0000-00001D000000}"/>
    <cellStyle name="Normal 5 2" xfId="31" xr:uid="{00000000-0005-0000-0000-00001E000000}"/>
    <cellStyle name="Normal 6" xfId="32" xr:uid="{00000000-0005-0000-0000-00001F000000}"/>
    <cellStyle name="Normal 6 2" xfId="33" xr:uid="{00000000-0005-0000-0000-000020000000}"/>
    <cellStyle name="Normal 7" xfId="34" xr:uid="{00000000-0005-0000-0000-000021000000}"/>
    <cellStyle name="Normal 7 2" xfId="35" xr:uid="{00000000-0005-0000-0000-000022000000}"/>
    <cellStyle name="Normal 8" xfId="36" xr:uid="{00000000-0005-0000-0000-000023000000}"/>
    <cellStyle name="Normal 9" xfId="37" xr:uid="{00000000-0005-0000-0000-000024000000}"/>
    <cellStyle name="Normal_Plan1" xfId="38" xr:uid="{00000000-0005-0000-0000-000025000000}"/>
    <cellStyle name="Porcentagem" xfId="3" builtinId="5"/>
    <cellStyle name="Porcentagem 12" xfId="39" xr:uid="{00000000-0005-0000-0000-000027000000}"/>
    <cellStyle name="Porcentagem 2" xfId="40" xr:uid="{00000000-0005-0000-0000-000028000000}"/>
    <cellStyle name="Porcentagem 2 2" xfId="41" xr:uid="{00000000-0005-0000-0000-000029000000}"/>
    <cellStyle name="Porcentagem 3" xfId="42" xr:uid="{00000000-0005-0000-0000-00002A000000}"/>
    <cellStyle name="Porcentagem 4" xfId="43" xr:uid="{00000000-0005-0000-0000-00002B000000}"/>
    <cellStyle name="Porcentagem 4 2" xfId="44" xr:uid="{00000000-0005-0000-0000-00002C000000}"/>
    <cellStyle name="Porcentagem 4 3" xfId="45" xr:uid="{00000000-0005-0000-0000-00002D000000}"/>
    <cellStyle name="Porcentagem 4 4" xfId="46" xr:uid="{00000000-0005-0000-0000-00002E000000}"/>
    <cellStyle name="Porcentagem 5" xfId="47" xr:uid="{00000000-0005-0000-0000-00002F000000}"/>
    <cellStyle name="Porcentagem 6" xfId="48" xr:uid="{00000000-0005-0000-0000-000030000000}"/>
    <cellStyle name="Porcentagem 7" xfId="49" xr:uid="{00000000-0005-0000-0000-000031000000}"/>
    <cellStyle name="Porcentagem 8" xfId="50" xr:uid="{00000000-0005-0000-0000-000032000000}"/>
    <cellStyle name="Porcentagem 9" xfId="51" xr:uid="{00000000-0005-0000-0000-000033000000}"/>
    <cellStyle name="Separador de milhares 2" xfId="52" xr:uid="{00000000-0005-0000-0000-000035000000}"/>
    <cellStyle name="Separador de milhares 2 2" xfId="53" xr:uid="{00000000-0005-0000-0000-000036000000}"/>
    <cellStyle name="Separador de milhares 2 2 2" xfId="54" xr:uid="{00000000-0005-0000-0000-000037000000}"/>
    <cellStyle name="Separador de milhares 2 3" xfId="55" xr:uid="{00000000-0005-0000-0000-000038000000}"/>
    <cellStyle name="Separador de milhares 2 4" xfId="56" xr:uid="{00000000-0005-0000-0000-000039000000}"/>
    <cellStyle name="Separador de milhares 3" xfId="57" xr:uid="{00000000-0005-0000-0000-00003A000000}"/>
    <cellStyle name="Separador de milhares 3 2" xfId="58" xr:uid="{00000000-0005-0000-0000-00003B000000}"/>
    <cellStyle name="Separador de milhares 3 3" xfId="59" xr:uid="{00000000-0005-0000-0000-00003C000000}"/>
    <cellStyle name="Separador de milhares 4" xfId="60" xr:uid="{00000000-0005-0000-0000-00003D000000}"/>
    <cellStyle name="Separador de milhares 4 2" xfId="61" xr:uid="{00000000-0005-0000-0000-00003E000000}"/>
    <cellStyle name="Separador de milhares 4 3" xfId="62" xr:uid="{00000000-0005-0000-0000-00003F000000}"/>
    <cellStyle name="Separador de milhares 4 4" xfId="63" xr:uid="{00000000-0005-0000-0000-000040000000}"/>
    <cellStyle name="Separador de milhares 5" xfId="64" xr:uid="{00000000-0005-0000-0000-000041000000}"/>
    <cellStyle name="Separador de milhares 5 2" xfId="65" xr:uid="{00000000-0005-0000-0000-000042000000}"/>
    <cellStyle name="Separador de milhares 6" xfId="66" xr:uid="{00000000-0005-0000-0000-000043000000}"/>
    <cellStyle name="Separador de milhares 7" xfId="67" xr:uid="{00000000-0005-0000-0000-000044000000}"/>
    <cellStyle name="Separador de milhares 8" xfId="68" xr:uid="{00000000-0005-0000-0000-000045000000}"/>
    <cellStyle name="Separador de milhares 9" xfId="69" xr:uid="{00000000-0005-0000-0000-000046000000}"/>
    <cellStyle name="Separador de milhares 9 2" xfId="70" xr:uid="{00000000-0005-0000-0000-000047000000}"/>
    <cellStyle name="Texto Explicativo 2" xfId="71" xr:uid="{00000000-0005-0000-0000-000048000000}"/>
    <cellStyle name="Texto Explicativo 2 2" xfId="72" xr:uid="{00000000-0005-0000-0000-000049000000}"/>
    <cellStyle name="Texto Explicativo 4" xfId="73" xr:uid="{00000000-0005-0000-0000-00004A000000}"/>
    <cellStyle name="Título 1 1" xfId="74" xr:uid="{00000000-0005-0000-0000-00004B000000}"/>
    <cellStyle name="Título 1 1 2" xfId="75" xr:uid="{00000000-0005-0000-0000-00004C000000}"/>
    <cellStyle name="Vírgula" xfId="1" builtinId="3"/>
    <cellStyle name="Vírgula 2" xfId="76" xr:uid="{00000000-0005-0000-0000-00004D000000}"/>
    <cellStyle name="Vírgula 2 2" xfId="77" xr:uid="{00000000-0005-0000-0000-00004E000000}"/>
    <cellStyle name="Vírgula 2 3" xfId="78" xr:uid="{00000000-0005-0000-0000-00004F000000}"/>
    <cellStyle name="Vírgula 2 4" xfId="79" xr:uid="{00000000-0005-0000-0000-000050000000}"/>
    <cellStyle name="Vírgula 3" xfId="80" xr:uid="{00000000-0005-0000-0000-000051000000}"/>
    <cellStyle name="Vírgula 4" xfId="81" xr:uid="{00000000-0005-0000-0000-000052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DDDDDD"/>
      <rgbColor rgb="FF993366"/>
      <rgbColor rgb="FFFFFFCC"/>
      <rgbColor rgb="FFA9F9F5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DCE6F2"/>
      <rgbColor rgb="FFEEEEEE"/>
      <rgbColor rgb="FFFFFF99"/>
      <rgbColor rgb="FF95B3D7"/>
      <rgbColor rgb="FFF2DCDB"/>
      <rgbColor rgb="FFD9D9D9"/>
      <rgbColor rgb="FFF8CBAD"/>
      <rgbColor rgb="FF3366FF"/>
      <rgbColor rgb="FF33CCCC"/>
      <rgbColor rgb="FF92D050"/>
      <rgbColor rgb="FFFFCC00"/>
      <rgbColor rgb="FFFF9900"/>
      <rgbColor rgb="FFFF6600"/>
      <rgbColor rgb="FF606060"/>
      <rgbColor rgb="FFDAE3F3"/>
      <rgbColor rgb="FF10243E"/>
      <rgbColor rgb="FF4472C4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28440</xdr:colOff>
      <xdr:row>0</xdr:row>
      <xdr:rowOff>9360</xdr:rowOff>
    </xdr:from>
    <xdr:to>
      <xdr:col>0</xdr:col>
      <xdr:colOff>399600</xdr:colOff>
      <xdr:row>2</xdr:row>
      <xdr:rowOff>182520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440" y="9360"/>
          <a:ext cx="371160" cy="538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575640</xdr:colOff>
      <xdr:row>2</xdr:row>
      <xdr:rowOff>139680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8760" cy="4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575640</xdr:colOff>
      <xdr:row>2</xdr:row>
      <xdr:rowOff>139680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8760" cy="4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572040</xdr:colOff>
      <xdr:row>2</xdr:row>
      <xdr:rowOff>135720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5160" cy="438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572040</xdr:colOff>
      <xdr:row>2</xdr:row>
      <xdr:rowOff>135720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5160" cy="438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575640</xdr:colOff>
      <xdr:row>2</xdr:row>
      <xdr:rowOff>139680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8760" cy="4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570960</xdr:colOff>
      <xdr:row>2</xdr:row>
      <xdr:rowOff>135720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4080" cy="438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575640</xdr:colOff>
      <xdr:row>2</xdr:row>
      <xdr:rowOff>139680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8760" cy="4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399960</xdr:colOff>
      <xdr:row>2</xdr:row>
      <xdr:rowOff>28440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4560" cy="321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47520</xdr:rowOff>
    </xdr:from>
    <xdr:to>
      <xdr:col>0</xdr:col>
      <xdr:colOff>551880</xdr:colOff>
      <xdr:row>2</xdr:row>
      <xdr:rowOff>169200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47520"/>
          <a:ext cx="513720" cy="487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59400</xdr:rowOff>
    </xdr:from>
    <xdr:to>
      <xdr:col>0</xdr:col>
      <xdr:colOff>447480</xdr:colOff>
      <xdr:row>2</xdr:row>
      <xdr:rowOff>95040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9400"/>
          <a:ext cx="352080" cy="357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338760</xdr:colOff>
      <xdr:row>0</xdr:row>
      <xdr:rowOff>95400</xdr:rowOff>
    </xdr:from>
    <xdr:to>
      <xdr:col>0</xdr:col>
      <xdr:colOff>780480</xdr:colOff>
      <xdr:row>2</xdr:row>
      <xdr:rowOff>123480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38760" y="95400"/>
          <a:ext cx="441720" cy="447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372960</xdr:colOff>
      <xdr:row>0</xdr:row>
      <xdr:rowOff>45000</xdr:rowOff>
    </xdr:from>
    <xdr:to>
      <xdr:col>0</xdr:col>
      <xdr:colOff>837360</xdr:colOff>
      <xdr:row>2</xdr:row>
      <xdr:rowOff>213480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72960" y="45000"/>
          <a:ext cx="464400" cy="492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575640</xdr:colOff>
      <xdr:row>2</xdr:row>
      <xdr:rowOff>139680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8760" cy="4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575640</xdr:colOff>
      <xdr:row>2</xdr:row>
      <xdr:rowOff>139680</xdr:rowOff>
    </xdr:to>
    <xdr:pic>
      <xdr:nvPicPr>
        <xdr:cNvPr id="6" name="Picture 1_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8760" cy="4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575640</xdr:colOff>
      <xdr:row>2</xdr:row>
      <xdr:rowOff>139680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8760" cy="4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146880</xdr:colOff>
      <xdr:row>0</xdr:row>
      <xdr:rowOff>47520</xdr:rowOff>
    </xdr:from>
    <xdr:to>
      <xdr:col>0</xdr:col>
      <xdr:colOff>572040</xdr:colOff>
      <xdr:row>2</xdr:row>
      <xdr:rowOff>135720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6880" y="47520"/>
          <a:ext cx="425160" cy="438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119"/>
  <sheetViews>
    <sheetView showGridLines="0" view="pageBreakPreview" zoomScaleNormal="115" workbookViewId="0">
      <selection activeCell="I125" sqref="I125"/>
    </sheetView>
  </sheetViews>
  <sheetFormatPr defaultColWidth="9.33203125" defaultRowHeight="15" x14ac:dyDescent="0.25"/>
  <cols>
    <col min="1" max="1" width="7.33203125" style="1" customWidth="1"/>
    <col min="2" max="2" width="48.33203125" style="1" customWidth="1"/>
    <col min="3" max="3" width="9.1640625" style="1" customWidth="1"/>
    <col min="4" max="4" width="19" style="1" customWidth="1"/>
    <col min="5" max="5" width="15" style="1" customWidth="1"/>
    <col min="6" max="8" width="19" style="1" customWidth="1"/>
    <col min="9" max="9" width="15.5" style="1" customWidth="1"/>
    <col min="10" max="11" width="19" style="1" customWidth="1"/>
    <col min="12" max="14" width="16.1640625" style="2" customWidth="1"/>
    <col min="15" max="15" width="15.1640625" style="2" customWidth="1"/>
    <col min="16" max="16" width="15.83203125" style="1" customWidth="1"/>
    <col min="17" max="17" width="18.33203125" style="1" customWidth="1"/>
    <col min="18" max="18" width="16.5" style="1" customWidth="1"/>
    <col min="19" max="19" width="14" style="1" customWidth="1"/>
    <col min="20" max="20" width="15.1640625" style="3" customWidth="1"/>
    <col min="21" max="21" width="13.83203125" style="3" customWidth="1"/>
    <col min="22" max="22" width="18.6640625" style="3" customWidth="1"/>
    <col min="23" max="23" width="14.33203125" style="3" customWidth="1"/>
    <col min="24" max="25" width="12.33203125" style="3" customWidth="1"/>
    <col min="26" max="258" width="9.33203125" style="1"/>
    <col min="259" max="259" width="7.33203125" style="1" customWidth="1"/>
    <col min="260" max="260" width="48.33203125" style="1" customWidth="1"/>
    <col min="261" max="261" width="9.1640625" style="1" customWidth="1"/>
    <col min="262" max="262" width="19" style="1" customWidth="1"/>
    <col min="263" max="263" width="15" style="1" customWidth="1"/>
    <col min="264" max="265" width="19" style="1" customWidth="1"/>
    <col min="266" max="266" width="15.5" style="1" customWidth="1"/>
    <col min="267" max="268" width="19" style="1" customWidth="1"/>
    <col min="269" max="270" width="16.1640625" style="1" customWidth="1"/>
    <col min="271" max="271" width="15.1640625" style="1" customWidth="1"/>
    <col min="272" max="272" width="15.83203125" style="1" customWidth="1"/>
    <col min="273" max="273" width="15" style="1" customWidth="1"/>
    <col min="274" max="274" width="16.5" style="1" customWidth="1"/>
    <col min="275" max="275" width="14" style="1" customWidth="1"/>
    <col min="276" max="276" width="15.1640625" style="1" customWidth="1"/>
    <col min="277" max="277" width="13.83203125" style="1" customWidth="1"/>
    <col min="278" max="278" width="15.5" style="1" customWidth="1"/>
    <col min="279" max="279" width="14.33203125" style="1" customWidth="1"/>
    <col min="280" max="281" width="12.33203125" style="1" customWidth="1"/>
    <col min="282" max="514" width="9.33203125" style="1"/>
    <col min="515" max="515" width="7.33203125" style="1" customWidth="1"/>
    <col min="516" max="516" width="48.33203125" style="1" customWidth="1"/>
    <col min="517" max="517" width="9.1640625" style="1" customWidth="1"/>
    <col min="518" max="518" width="19" style="1" customWidth="1"/>
    <col min="519" max="519" width="15" style="1" customWidth="1"/>
    <col min="520" max="521" width="19" style="1" customWidth="1"/>
    <col min="522" max="522" width="15.5" style="1" customWidth="1"/>
    <col min="523" max="524" width="19" style="1" customWidth="1"/>
    <col min="525" max="526" width="16.1640625" style="1" customWidth="1"/>
    <col min="527" max="527" width="15.1640625" style="1" customWidth="1"/>
    <col min="528" max="528" width="15.83203125" style="1" customWidth="1"/>
    <col min="529" max="529" width="15" style="1" customWidth="1"/>
    <col min="530" max="530" width="16.5" style="1" customWidth="1"/>
    <col min="531" max="531" width="14" style="1" customWidth="1"/>
    <col min="532" max="532" width="15.1640625" style="1" customWidth="1"/>
    <col min="533" max="533" width="13.83203125" style="1" customWidth="1"/>
    <col min="534" max="534" width="15.5" style="1" customWidth="1"/>
    <col min="535" max="535" width="14.33203125" style="1" customWidth="1"/>
    <col min="536" max="537" width="12.33203125" style="1" customWidth="1"/>
    <col min="538" max="770" width="9.33203125" style="1"/>
    <col min="771" max="771" width="7.33203125" style="1" customWidth="1"/>
    <col min="772" max="772" width="48.33203125" style="1" customWidth="1"/>
    <col min="773" max="773" width="9.1640625" style="1" customWidth="1"/>
    <col min="774" max="774" width="19" style="1" customWidth="1"/>
    <col min="775" max="775" width="15" style="1" customWidth="1"/>
    <col min="776" max="777" width="19" style="1" customWidth="1"/>
    <col min="778" max="778" width="15.5" style="1" customWidth="1"/>
    <col min="779" max="780" width="19" style="1" customWidth="1"/>
    <col min="781" max="782" width="16.1640625" style="1" customWidth="1"/>
    <col min="783" max="783" width="15.1640625" style="1" customWidth="1"/>
    <col min="784" max="784" width="15.83203125" style="1" customWidth="1"/>
    <col min="785" max="785" width="15" style="1" customWidth="1"/>
    <col min="786" max="786" width="16.5" style="1" customWidth="1"/>
    <col min="787" max="787" width="14" style="1" customWidth="1"/>
    <col min="788" max="788" width="15.1640625" style="1" customWidth="1"/>
    <col min="789" max="789" width="13.83203125" style="1" customWidth="1"/>
    <col min="790" max="790" width="15.5" style="1" customWidth="1"/>
    <col min="791" max="791" width="14.33203125" style="1" customWidth="1"/>
    <col min="792" max="793" width="12.33203125" style="1" customWidth="1"/>
    <col min="794" max="1024" width="9.33203125" style="1"/>
  </cols>
  <sheetData>
    <row r="1" spans="1:25" x14ac:dyDescent="0.25">
      <c r="A1" s="4"/>
      <c r="B1" s="5" t="s">
        <v>0</v>
      </c>
      <c r="C1" s="6"/>
      <c r="D1" s="6"/>
      <c r="E1" s="6"/>
      <c r="F1" s="6"/>
      <c r="G1" s="6"/>
      <c r="H1" s="6"/>
      <c r="I1" s="7"/>
      <c r="J1" s="7"/>
      <c r="K1" s="7"/>
    </row>
    <row r="2" spans="1:25" x14ac:dyDescent="0.25">
      <c r="A2" s="8"/>
      <c r="B2" s="9" t="s">
        <v>1</v>
      </c>
      <c r="C2" s="10"/>
      <c r="D2" s="10"/>
      <c r="E2" s="10"/>
      <c r="F2" s="10"/>
      <c r="G2" s="10"/>
      <c r="H2" s="10"/>
    </row>
    <row r="3" spans="1:25" x14ac:dyDescent="0.25">
      <c r="A3" s="8"/>
      <c r="B3" s="9" t="s">
        <v>2</v>
      </c>
      <c r="C3" s="10"/>
      <c r="D3" s="10"/>
      <c r="E3" s="10"/>
      <c r="F3" s="10"/>
      <c r="G3" s="10"/>
      <c r="H3" s="10"/>
    </row>
    <row r="4" spans="1:25" s="12" customFormat="1" ht="23.25" customHeight="1" x14ac:dyDescent="0.2">
      <c r="A4" s="621" t="s">
        <v>3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11"/>
      <c r="Y4" s="11"/>
    </row>
    <row r="5" spans="1:25" s="12" customFormat="1" ht="18.75" customHeight="1" x14ac:dyDescent="0.2">
      <c r="A5" s="621" t="s">
        <v>4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11"/>
      <c r="Y5" s="11"/>
    </row>
    <row r="6" spans="1:25" s="12" customFormat="1" ht="9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T6" s="11"/>
      <c r="U6" s="11"/>
      <c r="V6" s="11"/>
      <c r="W6" s="11"/>
      <c r="X6" s="11"/>
      <c r="Y6" s="11"/>
    </row>
    <row r="7" spans="1:25" s="12" customFormat="1" ht="30.75" hidden="1" customHeight="1" x14ac:dyDescent="0.2">
      <c r="A7" s="622" t="s">
        <v>5</v>
      </c>
      <c r="B7" s="622"/>
      <c r="C7" s="622"/>
      <c r="D7" s="623" t="s">
        <v>6</v>
      </c>
      <c r="E7" s="623"/>
      <c r="F7" s="16"/>
      <c r="G7" s="16"/>
      <c r="H7" s="16"/>
      <c r="I7" s="16"/>
      <c r="J7" s="16"/>
      <c r="K7" s="13"/>
      <c r="L7" s="13"/>
      <c r="M7" s="13"/>
      <c r="N7" s="13"/>
      <c r="O7" s="13"/>
      <c r="P7" s="13"/>
      <c r="Q7" s="14"/>
      <c r="T7" s="11"/>
      <c r="U7" s="11"/>
      <c r="V7" s="11"/>
      <c r="W7" s="11"/>
      <c r="X7" s="11"/>
      <c r="Y7" s="11"/>
    </row>
    <row r="8" spans="1:25" s="12" customFormat="1" ht="30.75" hidden="1" customHeight="1" x14ac:dyDescent="0.2">
      <c r="A8" s="622" t="s">
        <v>7</v>
      </c>
      <c r="B8" s="622"/>
      <c r="C8" s="622"/>
      <c r="D8" s="15" t="s">
        <v>8</v>
      </c>
      <c r="E8" s="17">
        <f>VLOOKUP(D8,B33:C36,2,FALSE())</f>
        <v>30</v>
      </c>
      <c r="F8" s="16" t="str">
        <f>VLOOKUP(D8,B34:D36,3,FALSE())</f>
        <v>Obs: Desconto atualmente aplicado (30 dias corridos).</v>
      </c>
      <c r="G8" s="16"/>
      <c r="H8" s="16"/>
      <c r="I8" s="16"/>
      <c r="J8" s="16"/>
      <c r="K8" s="13"/>
      <c r="L8" s="13"/>
      <c r="M8" s="13"/>
      <c r="N8" s="13"/>
      <c r="O8" s="13"/>
      <c r="P8" s="13"/>
      <c r="Q8" s="14"/>
      <c r="T8" s="11"/>
      <c r="U8" s="11"/>
      <c r="V8" s="11"/>
      <c r="W8" s="11"/>
      <c r="X8" s="11"/>
      <c r="Y8" s="11"/>
    </row>
    <row r="9" spans="1:25" s="12" customFormat="1" ht="9" hidden="1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T9" s="11"/>
      <c r="U9" s="11"/>
      <c r="V9" s="11"/>
      <c r="W9" s="11"/>
      <c r="X9" s="11"/>
      <c r="Y9" s="11"/>
    </row>
    <row r="10" spans="1:25" s="12" customFormat="1" ht="45" hidden="1" customHeight="1" x14ac:dyDescent="0.2">
      <c r="A10" s="620" t="s">
        <v>9</v>
      </c>
      <c r="B10" s="620"/>
      <c r="C10" s="620"/>
      <c r="D10" s="616" t="s">
        <v>10</v>
      </c>
      <c r="E10" s="616" t="s">
        <v>11</v>
      </c>
      <c r="F10" s="616" t="s">
        <v>12</v>
      </c>
      <c r="G10" s="616" t="s">
        <v>13</v>
      </c>
      <c r="H10" s="616" t="s">
        <v>14</v>
      </c>
      <c r="I10" s="616" t="s">
        <v>15</v>
      </c>
      <c r="J10" s="616" t="s">
        <v>16</v>
      </c>
      <c r="K10" s="616" t="s">
        <v>17</v>
      </c>
      <c r="L10" s="616" t="s">
        <v>18</v>
      </c>
      <c r="M10" s="616" t="s">
        <v>19</v>
      </c>
      <c r="N10" s="616" t="s">
        <v>20</v>
      </c>
      <c r="O10" s="616" t="s">
        <v>21</v>
      </c>
      <c r="P10" s="616" t="s">
        <v>22</v>
      </c>
      <c r="Q10" s="616" t="s">
        <v>23</v>
      </c>
      <c r="R10" s="614" t="s">
        <v>24</v>
      </c>
      <c r="S10" s="615" t="s">
        <v>25</v>
      </c>
      <c r="T10" s="617" t="s">
        <v>26</v>
      </c>
      <c r="U10" s="617"/>
      <c r="V10" s="617"/>
      <c r="W10" s="617"/>
    </row>
    <row r="11" spans="1:25" s="12" customFormat="1" ht="45" hidden="1" customHeight="1" x14ac:dyDescent="0.2">
      <c r="A11" s="620"/>
      <c r="B11" s="620"/>
      <c r="C11" s="620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4"/>
      <c r="S11" s="615"/>
      <c r="T11" s="617"/>
      <c r="U11" s="617"/>
      <c r="V11" s="617"/>
      <c r="W11" s="617"/>
    </row>
    <row r="12" spans="1:25" s="12" customFormat="1" ht="47.25" hidden="1" customHeight="1" x14ac:dyDescent="0.2">
      <c r="A12" s="620"/>
      <c r="B12" s="620"/>
      <c r="C12" s="620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4"/>
      <c r="S12" s="615"/>
      <c r="T12" s="617"/>
      <c r="U12" s="617"/>
      <c r="V12" s="617"/>
      <c r="W12" s="617"/>
    </row>
    <row r="13" spans="1:25" s="12" customFormat="1" ht="69" hidden="1" customHeight="1" x14ac:dyDescent="0.2">
      <c r="A13" s="18" t="s">
        <v>27</v>
      </c>
      <c r="B13" s="19" t="s">
        <v>28</v>
      </c>
      <c r="C13" s="19" t="s">
        <v>29</v>
      </c>
      <c r="D13" s="19" t="s">
        <v>30</v>
      </c>
      <c r="E13" s="19" t="s">
        <v>31</v>
      </c>
      <c r="F13" s="19" t="s">
        <v>32</v>
      </c>
      <c r="G13" s="19" t="s">
        <v>33</v>
      </c>
      <c r="H13" s="19" t="s">
        <v>34</v>
      </c>
      <c r="I13" s="19" t="s">
        <v>35</v>
      </c>
      <c r="J13" s="19" t="s">
        <v>36</v>
      </c>
      <c r="K13" s="19" t="s">
        <v>36</v>
      </c>
      <c r="L13" s="19" t="s">
        <v>37</v>
      </c>
      <c r="M13" s="19" t="s">
        <v>38</v>
      </c>
      <c r="N13" s="19" t="s">
        <v>39</v>
      </c>
      <c r="O13" s="19" t="s">
        <v>40</v>
      </c>
      <c r="P13" s="19" t="s">
        <v>41</v>
      </c>
      <c r="Q13" s="19" t="s">
        <v>42</v>
      </c>
      <c r="R13" s="20" t="s">
        <v>43</v>
      </c>
      <c r="S13" s="21" t="s">
        <v>44</v>
      </c>
      <c r="T13" s="22" t="s">
        <v>45</v>
      </c>
      <c r="U13" s="21" t="s">
        <v>46</v>
      </c>
      <c r="V13" s="23" t="s">
        <v>47</v>
      </c>
      <c r="W13" s="22" t="s">
        <v>48</v>
      </c>
    </row>
    <row r="14" spans="1:25" s="12" customFormat="1" ht="18" hidden="1" customHeight="1" x14ac:dyDescent="0.2">
      <c r="A14" s="24">
        <f>Dados!D8</f>
        <v>2</v>
      </c>
      <c r="B14" s="25" t="str">
        <f>Resumo!B11</f>
        <v>Ascensorista</v>
      </c>
      <c r="C14" s="26">
        <f>Resumo!C11</f>
        <v>150</v>
      </c>
      <c r="D14" s="27">
        <v>0</v>
      </c>
      <c r="E14" s="26" t="s">
        <v>49</v>
      </c>
      <c r="F14" s="26">
        <f>IF(E14="NÃO",0,D14*Dados!$G$44)</f>
        <v>0</v>
      </c>
      <c r="G14" s="27">
        <v>0</v>
      </c>
      <c r="H14" s="27">
        <v>0</v>
      </c>
      <c r="I14" s="28">
        <v>0</v>
      </c>
      <c r="J14" s="27">
        <v>0</v>
      </c>
      <c r="K14" s="29">
        <f t="shared" ref="K14:K24" si="0">I14+J14</f>
        <v>0</v>
      </c>
      <c r="L14" s="27">
        <v>0</v>
      </c>
      <c r="M14" s="27">
        <v>0</v>
      </c>
      <c r="N14" s="30"/>
      <c r="O14" s="31">
        <f>Resumo!S11</f>
        <v>0</v>
      </c>
      <c r="P14" s="30"/>
      <c r="Q14" s="31">
        <f>Resumo!T11</f>
        <v>8013.74</v>
      </c>
      <c r="R14" s="30"/>
      <c r="S14" s="24">
        <v>1</v>
      </c>
      <c r="T14" s="32">
        <f>ROUND((Encargos!$H$58*Dados!H8*A14),2)</f>
        <v>940.04</v>
      </c>
      <c r="U14" s="33" t="s">
        <v>50</v>
      </c>
      <c r="V14" s="31">
        <f>SUMIF($S$14:$S$24,1,$Q$14:$Q$24)</f>
        <v>1131678.3999999999</v>
      </c>
      <c r="W14" s="32">
        <f>SUMIF($S$14:$S$24,1,$T$14:$T$24)</f>
        <v>136305.65</v>
      </c>
    </row>
    <row r="15" spans="1:25" s="12" customFormat="1" ht="18" hidden="1" customHeight="1" x14ac:dyDescent="0.2">
      <c r="A15" s="24">
        <f>Dados!D9</f>
        <v>15</v>
      </c>
      <c r="B15" s="25" t="str">
        <f>Resumo!B12</f>
        <v>Atendente</v>
      </c>
      <c r="C15" s="26">
        <f>Resumo!C12</f>
        <v>200</v>
      </c>
      <c r="D15" s="27">
        <v>0</v>
      </c>
      <c r="E15" s="26" t="s">
        <v>49</v>
      </c>
      <c r="F15" s="26">
        <f>IF(E15="NÃO",0,D15*Dados!$G$44)</f>
        <v>0</v>
      </c>
      <c r="G15" s="27">
        <v>0</v>
      </c>
      <c r="H15" s="27">
        <v>0</v>
      </c>
      <c r="I15" s="28">
        <v>0</v>
      </c>
      <c r="J15" s="27">
        <v>0</v>
      </c>
      <c r="K15" s="29">
        <f t="shared" si="0"/>
        <v>0</v>
      </c>
      <c r="L15" s="27">
        <v>0</v>
      </c>
      <c r="M15" s="27">
        <v>0</v>
      </c>
      <c r="N15" s="30"/>
      <c r="O15" s="31">
        <f>Resumo!S12</f>
        <v>0</v>
      </c>
      <c r="P15" s="30"/>
      <c r="Q15" s="31">
        <f>Resumo!T12</f>
        <v>98247.45</v>
      </c>
      <c r="R15" s="30"/>
      <c r="S15" s="24">
        <v>1</v>
      </c>
      <c r="T15" s="32">
        <f>ROUND((Encargos!$H$58*Dados!H9*A15),2)</f>
        <v>11434.19</v>
      </c>
      <c r="U15" s="33" t="s">
        <v>51</v>
      </c>
      <c r="V15" s="31">
        <f>SUMIF($S$14:$S$24,2,$Q$14:$Q$24)</f>
        <v>0</v>
      </c>
      <c r="W15" s="32">
        <f>SUMIF($S$14:$S$24,2,$T$14:$T$24)</f>
        <v>0</v>
      </c>
    </row>
    <row r="16" spans="1:25" s="12" customFormat="1" ht="18" hidden="1" customHeight="1" x14ac:dyDescent="0.2">
      <c r="A16" s="24">
        <f>Dados!D10</f>
        <v>3</v>
      </c>
      <c r="B16" s="25" t="str">
        <f>Resumo!B13</f>
        <v>Auxiliar de Almoxarifado</v>
      </c>
      <c r="C16" s="26">
        <f>Resumo!C13</f>
        <v>200</v>
      </c>
      <c r="D16" s="27">
        <v>0</v>
      </c>
      <c r="E16" s="26" t="s">
        <v>49</v>
      </c>
      <c r="F16" s="26">
        <f>IF(E16="NÃO",0,D16*Dados!$G$44)</f>
        <v>0</v>
      </c>
      <c r="G16" s="27">
        <v>0</v>
      </c>
      <c r="H16" s="27">
        <v>0</v>
      </c>
      <c r="I16" s="28">
        <v>0</v>
      </c>
      <c r="J16" s="27">
        <v>0</v>
      </c>
      <c r="K16" s="29">
        <f t="shared" si="0"/>
        <v>0</v>
      </c>
      <c r="L16" s="27">
        <v>0</v>
      </c>
      <c r="M16" s="27">
        <v>0</v>
      </c>
      <c r="N16" s="30"/>
      <c r="O16" s="31">
        <f>Resumo!S13</f>
        <v>0</v>
      </c>
      <c r="P16" s="30"/>
      <c r="Q16" s="31">
        <f>Resumo!T13</f>
        <v>18860.64</v>
      </c>
      <c r="R16" s="30"/>
      <c r="S16" s="24">
        <v>1</v>
      </c>
      <c r="T16" s="32">
        <f>ROUND((Encargos!$H$58*Dados!H10*A16),2)</f>
        <v>2187.41</v>
      </c>
      <c r="U16" s="33" t="s">
        <v>52</v>
      </c>
      <c r="V16" s="31">
        <f>SUMIF($S$14:$S$24,3,$Q$14:$Q$24)</f>
        <v>0</v>
      </c>
      <c r="W16" s="32">
        <f>SUMIF($S$14:$S$24,3,$T$14:$T$24)</f>
        <v>0</v>
      </c>
    </row>
    <row r="17" spans="1:25" s="12" customFormat="1" ht="18" hidden="1" customHeight="1" x14ac:dyDescent="0.2">
      <c r="A17" s="24">
        <f>Dados!D11</f>
        <v>27</v>
      </c>
      <c r="B17" s="25" t="str">
        <f>Resumo!B14</f>
        <v>Auxiliar Administrativo - Classe I</v>
      </c>
      <c r="C17" s="26">
        <f>Resumo!C14</f>
        <v>150</v>
      </c>
      <c r="D17" s="27">
        <v>0</v>
      </c>
      <c r="E17" s="26" t="s">
        <v>49</v>
      </c>
      <c r="F17" s="26">
        <f>IF(E17="NÃO",0,D17*Dados!$G$44)</f>
        <v>0</v>
      </c>
      <c r="G17" s="27">
        <v>0</v>
      </c>
      <c r="H17" s="27">
        <v>0</v>
      </c>
      <c r="I17" s="28">
        <v>0</v>
      </c>
      <c r="J17" s="27">
        <v>0</v>
      </c>
      <c r="K17" s="29">
        <f t="shared" si="0"/>
        <v>0</v>
      </c>
      <c r="L17" s="27">
        <v>0</v>
      </c>
      <c r="M17" s="27">
        <v>0</v>
      </c>
      <c r="N17" s="30"/>
      <c r="O17" s="31">
        <f>Resumo!S14</f>
        <v>0</v>
      </c>
      <c r="P17" s="30"/>
      <c r="Q17" s="31">
        <f>Resumo!T14</f>
        <v>126450.18</v>
      </c>
      <c r="R17" s="30"/>
      <c r="S17" s="24">
        <v>1</v>
      </c>
      <c r="T17" s="32">
        <f>ROUND((Encargos!$H$58*Dados!H11*A17),2)</f>
        <v>15436.16</v>
      </c>
      <c r="U17" s="33" t="s">
        <v>53</v>
      </c>
      <c r="V17" s="31">
        <f>SUMIF($S$14:$S$24,4,$Q$14:$Q$24)</f>
        <v>0</v>
      </c>
      <c r="W17" s="32">
        <f>SUMIF($S$14:$S$24,4,$T$14:$T$24)</f>
        <v>0</v>
      </c>
    </row>
    <row r="18" spans="1:25" s="12" customFormat="1" ht="18" hidden="1" customHeight="1" x14ac:dyDescent="0.2">
      <c r="A18" s="24">
        <f>Dados!D12</f>
        <v>71</v>
      </c>
      <c r="B18" s="25" t="str">
        <f>Resumo!B15</f>
        <v>Auxiliar Administrativo - Classe II</v>
      </c>
      <c r="C18" s="26">
        <f>Resumo!C15</f>
        <v>200</v>
      </c>
      <c r="D18" s="27">
        <v>0</v>
      </c>
      <c r="E18" s="26" t="s">
        <v>49</v>
      </c>
      <c r="F18" s="26">
        <f>IF(E18="NÃO",0,D18*Dados!$G$44)</f>
        <v>0</v>
      </c>
      <c r="G18" s="27">
        <v>0</v>
      </c>
      <c r="H18" s="27">
        <v>0</v>
      </c>
      <c r="I18" s="28">
        <v>0</v>
      </c>
      <c r="J18" s="27">
        <v>0</v>
      </c>
      <c r="K18" s="29">
        <f t="shared" si="0"/>
        <v>0</v>
      </c>
      <c r="L18" s="27">
        <v>0</v>
      </c>
      <c r="M18" s="27">
        <v>0</v>
      </c>
      <c r="N18" s="30"/>
      <c r="O18" s="31">
        <f>Resumo!S15</f>
        <v>0</v>
      </c>
      <c r="P18" s="30"/>
      <c r="Q18" s="31">
        <f>Resumo!T15</f>
        <v>465037.93</v>
      </c>
      <c r="R18" s="30"/>
      <c r="S18" s="24">
        <v>1</v>
      </c>
      <c r="T18" s="32">
        <f>ROUND((Encargos!$H$58*Dados!H12*A18),2)</f>
        <v>54121.83</v>
      </c>
      <c r="U18" s="33" t="s">
        <v>54</v>
      </c>
      <c r="V18" s="31">
        <f>SUMIF($S$14:$S$24,5,$Q$14:$Q$24)</f>
        <v>0</v>
      </c>
      <c r="W18" s="32">
        <f>SUMIF($S$14:$S$24,5,$T$14:$T$24)</f>
        <v>0</v>
      </c>
    </row>
    <row r="19" spans="1:25" s="12" customFormat="1" ht="18" hidden="1" customHeight="1" x14ac:dyDescent="0.2">
      <c r="A19" s="24">
        <f>Dados!D13</f>
        <v>3</v>
      </c>
      <c r="B19" s="25" t="str">
        <f>Resumo!B16</f>
        <v>Auxiliar Administrativo - Classe III (Nível Superior)</v>
      </c>
      <c r="C19" s="26">
        <f>Resumo!C16</f>
        <v>150</v>
      </c>
      <c r="D19" s="27">
        <v>0</v>
      </c>
      <c r="E19" s="26" t="s">
        <v>49</v>
      </c>
      <c r="F19" s="26">
        <f>IF(E19="NÃO",0,D19*Dados!$G$44)</f>
        <v>0</v>
      </c>
      <c r="G19" s="27">
        <v>0</v>
      </c>
      <c r="H19" s="27">
        <v>0</v>
      </c>
      <c r="I19" s="28">
        <v>0</v>
      </c>
      <c r="J19" s="27">
        <v>0</v>
      </c>
      <c r="K19" s="29">
        <f t="shared" si="0"/>
        <v>0</v>
      </c>
      <c r="L19" s="27">
        <v>0</v>
      </c>
      <c r="M19" s="27">
        <v>0</v>
      </c>
      <c r="N19" s="30"/>
      <c r="O19" s="31">
        <f>Resumo!S16</f>
        <v>0</v>
      </c>
      <c r="P19" s="30"/>
      <c r="Q19" s="31">
        <f>Resumo!T16</f>
        <v>17496.21</v>
      </c>
      <c r="R19" s="30"/>
      <c r="S19" s="24">
        <v>1</v>
      </c>
      <c r="T19" s="32">
        <f>ROUND((Encargos!$H$58*Dados!H13*A19),2)</f>
        <v>2229.67</v>
      </c>
      <c r="U19" s="34"/>
      <c r="V19" s="35">
        <f>SUM(V8:V18)</f>
        <v>1131678.3999999999</v>
      </c>
      <c r="W19" s="36">
        <f>SUM(W8:W18)</f>
        <v>136305.65</v>
      </c>
    </row>
    <row r="20" spans="1:25" s="12" customFormat="1" ht="18" hidden="1" customHeight="1" x14ac:dyDescent="0.2">
      <c r="A20" s="24">
        <f>Dados!D14</f>
        <v>21</v>
      </c>
      <c r="B20" s="25" t="str">
        <f>Resumo!B17</f>
        <v>Auxiliar Administrativo - Classe IV (Nível Superior)</v>
      </c>
      <c r="C20" s="26">
        <f>Resumo!C17</f>
        <v>200</v>
      </c>
      <c r="D20" s="27">
        <v>0</v>
      </c>
      <c r="E20" s="26" t="s">
        <v>49</v>
      </c>
      <c r="F20" s="26">
        <f>IF(E20="NÃO",0,D20*Dados!$G$44)</f>
        <v>0</v>
      </c>
      <c r="G20" s="27">
        <v>0</v>
      </c>
      <c r="H20" s="27">
        <v>0</v>
      </c>
      <c r="I20" s="28">
        <v>0</v>
      </c>
      <c r="J20" s="27">
        <v>0</v>
      </c>
      <c r="K20" s="29">
        <f t="shared" si="0"/>
        <v>0</v>
      </c>
      <c r="L20" s="27">
        <v>0</v>
      </c>
      <c r="M20" s="27">
        <v>0</v>
      </c>
      <c r="N20" s="30"/>
      <c r="O20" s="31">
        <f>Resumo!S17</f>
        <v>0</v>
      </c>
      <c r="P20" s="30"/>
      <c r="Q20" s="31">
        <f>Resumo!T17</f>
        <v>169710.87</v>
      </c>
      <c r="R20" s="30"/>
      <c r="S20" s="24">
        <v>1</v>
      </c>
      <c r="T20" s="32">
        <f>ROUND((Encargos!$H$58*Dados!H14*A20),2)</f>
        <v>20810.23</v>
      </c>
      <c r="V20" s="37"/>
    </row>
    <row r="21" spans="1:25" s="12" customFormat="1" ht="18" hidden="1" customHeight="1" x14ac:dyDescent="0.2">
      <c r="A21" s="24">
        <f>Dados!D15</f>
        <v>6</v>
      </c>
      <c r="B21" s="25" t="str">
        <f>Resumo!B18</f>
        <v>Assistente de Apoio Financeiro (Nível Superior)</v>
      </c>
      <c r="C21" s="26">
        <f>Resumo!C18</f>
        <v>200</v>
      </c>
      <c r="D21" s="27">
        <v>0</v>
      </c>
      <c r="E21" s="26" t="s">
        <v>49</v>
      </c>
      <c r="F21" s="26">
        <f>IF(E21="NÃO",0,D21*Dados!$G$44)</f>
        <v>0</v>
      </c>
      <c r="G21" s="27">
        <v>0</v>
      </c>
      <c r="H21" s="27">
        <v>0</v>
      </c>
      <c r="I21" s="28">
        <v>0</v>
      </c>
      <c r="J21" s="27">
        <v>0</v>
      </c>
      <c r="K21" s="29">
        <f t="shared" si="0"/>
        <v>0</v>
      </c>
      <c r="L21" s="27">
        <v>0</v>
      </c>
      <c r="M21" s="27">
        <v>0</v>
      </c>
      <c r="N21" s="30"/>
      <c r="O21" s="31">
        <f>Resumo!S18</f>
        <v>0</v>
      </c>
      <c r="P21" s="30"/>
      <c r="Q21" s="31">
        <f>Resumo!T18</f>
        <v>73606.320000000007</v>
      </c>
      <c r="R21" s="30"/>
      <c r="S21" s="24">
        <v>1</v>
      </c>
      <c r="T21" s="32">
        <f>ROUND((Encargos!$H$58*Dados!H15*A21),2)</f>
        <v>9694.2000000000007</v>
      </c>
    </row>
    <row r="22" spans="1:25" s="12" customFormat="1" ht="18" hidden="1" customHeight="1" x14ac:dyDescent="0.2">
      <c r="A22" s="24">
        <f>Dados!D16</f>
        <v>1</v>
      </c>
      <c r="B22" s="25" t="str">
        <f>Resumo!B19</f>
        <v>Encarregado Geral</v>
      </c>
      <c r="C22" s="26">
        <f>Resumo!C19</f>
        <v>220</v>
      </c>
      <c r="D22" s="27">
        <v>0</v>
      </c>
      <c r="E22" s="26" t="s">
        <v>49</v>
      </c>
      <c r="F22" s="26">
        <f>IF(E22="NÃO",0,D22*Dados!$G$44)</f>
        <v>0</v>
      </c>
      <c r="G22" s="27">
        <v>0</v>
      </c>
      <c r="H22" s="27">
        <v>0</v>
      </c>
      <c r="I22" s="28">
        <v>0</v>
      </c>
      <c r="J22" s="27">
        <v>0</v>
      </c>
      <c r="K22" s="29">
        <f t="shared" si="0"/>
        <v>0</v>
      </c>
      <c r="L22" s="27">
        <v>0</v>
      </c>
      <c r="M22" s="27">
        <v>0</v>
      </c>
      <c r="N22" s="30"/>
      <c r="O22" s="31">
        <f>Resumo!S19</f>
        <v>0</v>
      </c>
      <c r="P22" s="30"/>
      <c r="Q22" s="31">
        <f>Resumo!T19</f>
        <v>7557.43</v>
      </c>
      <c r="R22" s="30"/>
      <c r="S22" s="24">
        <v>1</v>
      </c>
      <c r="T22" s="32">
        <f>ROUND((Encargos!$H$58*Dados!H16*A22),2)</f>
        <v>912.72</v>
      </c>
    </row>
    <row r="23" spans="1:25" s="12" customFormat="1" ht="18" hidden="1" customHeight="1" x14ac:dyDescent="0.2">
      <c r="A23" s="24">
        <f>Dados!D17</f>
        <v>8</v>
      </c>
      <c r="B23" s="25" t="str">
        <f>Resumo!B20</f>
        <v>Operador e Editor de Áudio e Vídeo</v>
      </c>
      <c r="C23" s="26">
        <f>Resumo!C20</f>
        <v>150</v>
      </c>
      <c r="D23" s="27">
        <v>0</v>
      </c>
      <c r="E23" s="26" t="s">
        <v>49</v>
      </c>
      <c r="F23" s="26">
        <f>IF(E23="NÃO",0,D23*Dados!$G$44)</f>
        <v>0</v>
      </c>
      <c r="G23" s="27">
        <v>0</v>
      </c>
      <c r="H23" s="27">
        <v>0</v>
      </c>
      <c r="I23" s="28">
        <v>0</v>
      </c>
      <c r="J23" s="27">
        <v>0</v>
      </c>
      <c r="K23" s="29">
        <f t="shared" si="0"/>
        <v>0</v>
      </c>
      <c r="L23" s="27">
        <v>0</v>
      </c>
      <c r="M23" s="27">
        <v>0</v>
      </c>
      <c r="N23" s="30"/>
      <c r="O23" s="31">
        <f>Resumo!S20</f>
        <v>0</v>
      </c>
      <c r="P23" s="30"/>
      <c r="Q23" s="31">
        <f>Resumo!T20</f>
        <v>70433.2</v>
      </c>
      <c r="R23" s="30"/>
      <c r="S23" s="24">
        <v>1</v>
      </c>
      <c r="T23" s="32">
        <f>ROUND((Encargos!$H$58*Dados!H17*A23),2)</f>
        <v>9524.59</v>
      </c>
    </row>
    <row r="24" spans="1:25" s="12" customFormat="1" ht="18" hidden="1" customHeight="1" x14ac:dyDescent="0.2">
      <c r="A24" s="24">
        <f>Dados!D18</f>
        <v>11</v>
      </c>
      <c r="B24" s="25" t="str">
        <f>Resumo!B21</f>
        <v xml:space="preserve">Recepcionista </v>
      </c>
      <c r="C24" s="26">
        <f>Resumo!C21</f>
        <v>220</v>
      </c>
      <c r="D24" s="27">
        <v>0</v>
      </c>
      <c r="E24" s="26" t="s">
        <v>49</v>
      </c>
      <c r="F24" s="26">
        <f>IF(E24="NÃO",0,D24*Dados!$G$44)</f>
        <v>0</v>
      </c>
      <c r="G24" s="27">
        <v>0</v>
      </c>
      <c r="H24" s="27">
        <v>0</v>
      </c>
      <c r="I24" s="28">
        <v>0</v>
      </c>
      <c r="J24" s="27">
        <v>0</v>
      </c>
      <c r="K24" s="29">
        <f t="shared" si="0"/>
        <v>0</v>
      </c>
      <c r="L24" s="27">
        <v>0</v>
      </c>
      <c r="M24" s="27">
        <v>0</v>
      </c>
      <c r="N24" s="30"/>
      <c r="O24" s="31">
        <f>Resumo!S21</f>
        <v>0</v>
      </c>
      <c r="P24" s="30"/>
      <c r="Q24" s="31">
        <f>Resumo!T21</f>
        <v>76264.429999999993</v>
      </c>
      <c r="R24" s="30"/>
      <c r="S24" s="24">
        <v>1</v>
      </c>
      <c r="T24" s="32">
        <f>ROUND((Encargos!$H$58*Dados!H18*A24),2)</f>
        <v>9014.61</v>
      </c>
    </row>
    <row r="25" spans="1:25" s="42" customFormat="1" ht="14.45" hidden="1" customHeight="1" x14ac:dyDescent="0.2">
      <c r="A25" s="618" t="s">
        <v>55</v>
      </c>
      <c r="B25" s="618"/>
      <c r="C25" s="618"/>
      <c r="D25" s="618"/>
      <c r="E25" s="618"/>
      <c r="F25" s="618"/>
      <c r="G25" s="38"/>
      <c r="H25" s="35">
        <f>Resumo!I22</f>
        <v>0</v>
      </c>
      <c r="I25" s="619"/>
      <c r="J25" s="619"/>
      <c r="K25" s="35">
        <f>Resumo!L22</f>
        <v>0</v>
      </c>
      <c r="L25" s="35">
        <f>Resumo!O22</f>
        <v>0</v>
      </c>
      <c r="M25" s="35">
        <f>Resumo!R22</f>
        <v>0</v>
      </c>
      <c r="N25" s="35"/>
      <c r="O25" s="35">
        <f>(H25+K25+L25)</f>
        <v>0</v>
      </c>
      <c r="P25" s="39"/>
      <c r="Q25" s="35">
        <f>SUM(Q14:Q24)</f>
        <v>1131678.3999999999</v>
      </c>
      <c r="R25" s="40">
        <f>SUM(R14:R24)</f>
        <v>0</v>
      </c>
      <c r="S25" s="41"/>
      <c r="T25" s="36">
        <f>SUM(T14:T24)</f>
        <v>136305.65</v>
      </c>
    </row>
    <row r="26" spans="1:25" hidden="1" x14ac:dyDescent="0.25">
      <c r="A26" s="43" t="s">
        <v>56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25" ht="14.25" hidden="1" customHeight="1" x14ac:dyDescent="0.25">
      <c r="A27" s="45" t="s">
        <v>57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25" s="42" customFormat="1" ht="22.5" hidden="1" customHeight="1" x14ac:dyDescent="0.2">
      <c r="A28" s="611" t="s">
        <v>58</v>
      </c>
      <c r="B28" s="611"/>
      <c r="C28" s="19" t="s">
        <v>59</v>
      </c>
      <c r="D28" s="19" t="s">
        <v>60</v>
      </c>
      <c r="E28" s="19" t="s">
        <v>61</v>
      </c>
      <c r="F28" s="19" t="s">
        <v>62</v>
      </c>
      <c r="K28" s="45"/>
      <c r="L28" s="47"/>
      <c r="M28" s="47"/>
      <c r="N28" s="47"/>
      <c r="O28" s="47"/>
      <c r="T28" s="3"/>
      <c r="U28" s="47"/>
      <c r="V28" s="47"/>
      <c r="W28" s="47"/>
      <c r="X28" s="47"/>
      <c r="Y28" s="47"/>
    </row>
    <row r="29" spans="1:25" s="42" customFormat="1" ht="18" hidden="1" customHeight="1" x14ac:dyDescent="0.2">
      <c r="A29" s="611"/>
      <c r="B29" s="611"/>
      <c r="C29" s="48">
        <v>220</v>
      </c>
      <c r="D29" s="48">
        <v>10</v>
      </c>
      <c r="E29" s="48">
        <v>25</v>
      </c>
      <c r="F29" s="49">
        <f>ROUND((D29/VLOOKUP(C29,$B$39:$C$45,2,FALSE())+E29/60/VLOOKUP(C29,$B$39:$C$45,2,FALSE())),2)</f>
        <v>1.18</v>
      </c>
      <c r="G29" s="50"/>
      <c r="K29" s="45"/>
      <c r="L29" s="47"/>
      <c r="M29" s="47"/>
      <c r="N29" s="47"/>
      <c r="O29" s="47"/>
      <c r="T29" s="3"/>
      <c r="U29" s="47"/>
      <c r="V29" s="47"/>
      <c r="W29" s="47"/>
      <c r="X29" s="47"/>
      <c r="Y29" s="47"/>
    </row>
    <row r="30" spans="1:25" s="42" customFormat="1" ht="22.5" hidden="1" customHeight="1" x14ac:dyDescent="0.2">
      <c r="A30" s="612" t="s">
        <v>63</v>
      </c>
      <c r="B30" s="612"/>
      <c r="C30" s="612"/>
      <c r="D30" s="612"/>
      <c r="E30" s="612"/>
      <c r="F30" s="612"/>
      <c r="G30" s="51"/>
      <c r="H30" s="16"/>
      <c r="I30" s="16"/>
      <c r="J30" s="16"/>
      <c r="K30" s="45"/>
      <c r="L30" s="47"/>
      <c r="M30" s="47"/>
      <c r="N30" s="47"/>
      <c r="O30" s="47"/>
      <c r="T30" s="3"/>
      <c r="U30" s="47"/>
      <c r="V30" s="47"/>
      <c r="W30" s="47"/>
      <c r="X30" s="47"/>
      <c r="Y30" s="47"/>
    </row>
    <row r="31" spans="1:25" s="42" customFormat="1" hidden="1" x14ac:dyDescent="0.2">
      <c r="A31" s="612"/>
      <c r="B31" s="612"/>
      <c r="C31" s="612"/>
      <c r="D31" s="612"/>
      <c r="E31" s="612"/>
      <c r="F31" s="612"/>
      <c r="G31" s="51"/>
      <c r="H31" s="16"/>
      <c r="I31" s="16"/>
      <c r="J31" s="16"/>
      <c r="K31" s="45"/>
      <c r="L31" s="47"/>
      <c r="M31" s="47"/>
      <c r="N31" s="47"/>
      <c r="O31" s="47"/>
      <c r="T31" s="3"/>
      <c r="U31" s="47"/>
      <c r="V31" s="47"/>
      <c r="W31" s="47"/>
      <c r="X31" s="47"/>
      <c r="Y31" s="47"/>
    </row>
    <row r="32" spans="1:25" hidden="1" x14ac:dyDescent="0.25"/>
    <row r="33" spans="2:4" hidden="1" x14ac:dyDescent="0.25">
      <c r="B33" s="613" t="s">
        <v>64</v>
      </c>
      <c r="C33" s="613"/>
    </row>
    <row r="34" spans="2:4" hidden="1" x14ac:dyDescent="0.25">
      <c r="B34" s="52" t="s">
        <v>65</v>
      </c>
      <c r="C34" s="53">
        <f>Dados!G38</f>
        <v>22</v>
      </c>
      <c r="D34" s="1" t="s">
        <v>66</v>
      </c>
    </row>
    <row r="35" spans="2:4" hidden="1" x14ac:dyDescent="0.25">
      <c r="B35" s="52" t="s">
        <v>8</v>
      </c>
      <c r="C35" s="54">
        <v>30</v>
      </c>
      <c r="D35" s="1" t="s">
        <v>67</v>
      </c>
    </row>
    <row r="36" spans="2:4" hidden="1" x14ac:dyDescent="0.25">
      <c r="B36" s="52" t="s">
        <v>68</v>
      </c>
      <c r="C36" s="54" t="s">
        <v>69</v>
      </c>
      <c r="D36" s="1" t="s">
        <v>70</v>
      </c>
    </row>
    <row r="37" spans="2:4" hidden="1" x14ac:dyDescent="0.25"/>
    <row r="38" spans="2:4" ht="39.75" hidden="1" customHeight="1" x14ac:dyDescent="0.25">
      <c r="B38" s="55" t="s">
        <v>71</v>
      </c>
      <c r="C38" s="56" t="s">
        <v>72</v>
      </c>
    </row>
    <row r="39" spans="2:4" hidden="1" x14ac:dyDescent="0.25">
      <c r="B39" s="52">
        <v>220</v>
      </c>
      <c r="C39" s="52">
        <f t="shared" ref="C39:C45" si="1">B39/5/5</f>
        <v>8.8000000000000007</v>
      </c>
    </row>
    <row r="40" spans="2:4" hidden="1" x14ac:dyDescent="0.25">
      <c r="B40" s="52">
        <v>200</v>
      </c>
      <c r="C40" s="52">
        <f t="shared" si="1"/>
        <v>8</v>
      </c>
    </row>
    <row r="41" spans="2:4" hidden="1" x14ac:dyDescent="0.25">
      <c r="B41" s="52">
        <v>180</v>
      </c>
      <c r="C41" s="52">
        <f t="shared" si="1"/>
        <v>7.2</v>
      </c>
    </row>
    <row r="42" spans="2:4" hidden="1" x14ac:dyDescent="0.25">
      <c r="B42" s="52">
        <v>150</v>
      </c>
      <c r="C42" s="52">
        <f t="shared" si="1"/>
        <v>6</v>
      </c>
    </row>
    <row r="43" spans="2:4" hidden="1" x14ac:dyDescent="0.25">
      <c r="B43" s="52">
        <v>120</v>
      </c>
      <c r="C43" s="52">
        <f t="shared" si="1"/>
        <v>4.8</v>
      </c>
    </row>
    <row r="44" spans="2:4" hidden="1" x14ac:dyDescent="0.25">
      <c r="B44" s="52">
        <v>100</v>
      </c>
      <c r="C44" s="52">
        <f t="shared" si="1"/>
        <v>4</v>
      </c>
    </row>
    <row r="45" spans="2:4" hidden="1" x14ac:dyDescent="0.25">
      <c r="B45" s="52">
        <v>75</v>
      </c>
      <c r="C45" s="52">
        <f t="shared" si="1"/>
        <v>3</v>
      </c>
    </row>
    <row r="46" spans="2:4" hidden="1" x14ac:dyDescent="0.25"/>
    <row r="47" spans="2:4" hidden="1" x14ac:dyDescent="0.25">
      <c r="B47" s="52" t="s">
        <v>73</v>
      </c>
    </row>
    <row r="48" spans="2:4" hidden="1" x14ac:dyDescent="0.25">
      <c r="B48" s="57">
        <v>0</v>
      </c>
    </row>
    <row r="49" spans="2:2" hidden="1" x14ac:dyDescent="0.25">
      <c r="B49" s="57">
        <v>1</v>
      </c>
    </row>
    <row r="50" spans="2:2" hidden="1" x14ac:dyDescent="0.25">
      <c r="B50" s="57">
        <v>2</v>
      </c>
    </row>
    <row r="51" spans="2:2" hidden="1" x14ac:dyDescent="0.25">
      <c r="B51" s="57">
        <v>3</v>
      </c>
    </row>
    <row r="52" spans="2:2" hidden="1" x14ac:dyDescent="0.25">
      <c r="B52" s="57">
        <v>4</v>
      </c>
    </row>
    <row r="53" spans="2:2" hidden="1" x14ac:dyDescent="0.25">
      <c r="B53" s="57">
        <v>5</v>
      </c>
    </row>
    <row r="54" spans="2:2" hidden="1" x14ac:dyDescent="0.25">
      <c r="B54" s="57">
        <v>6</v>
      </c>
    </row>
    <row r="55" spans="2:2" hidden="1" x14ac:dyDescent="0.25">
      <c r="B55" s="57">
        <v>7</v>
      </c>
    </row>
    <row r="56" spans="2:2" hidden="1" x14ac:dyDescent="0.25">
      <c r="B56" s="57">
        <v>8</v>
      </c>
    </row>
    <row r="57" spans="2:2" hidden="1" x14ac:dyDescent="0.25">
      <c r="B57" s="57">
        <v>9</v>
      </c>
    </row>
    <row r="58" spans="2:2" hidden="1" x14ac:dyDescent="0.25">
      <c r="B58" s="57">
        <v>10</v>
      </c>
    </row>
    <row r="59" spans="2:2" hidden="1" x14ac:dyDescent="0.25">
      <c r="B59" s="57">
        <v>11</v>
      </c>
    </row>
    <row r="60" spans="2:2" hidden="1" x14ac:dyDescent="0.25">
      <c r="B60" s="57">
        <v>12</v>
      </c>
    </row>
    <row r="61" spans="2:2" hidden="1" x14ac:dyDescent="0.25">
      <c r="B61" s="57">
        <v>13</v>
      </c>
    </row>
    <row r="62" spans="2:2" hidden="1" x14ac:dyDescent="0.25">
      <c r="B62" s="57">
        <v>14</v>
      </c>
    </row>
    <row r="63" spans="2:2" hidden="1" x14ac:dyDescent="0.25">
      <c r="B63" s="57">
        <v>15</v>
      </c>
    </row>
    <row r="64" spans="2:2" hidden="1" x14ac:dyDescent="0.25">
      <c r="B64" s="57">
        <v>16</v>
      </c>
    </row>
    <row r="65" spans="2:2" hidden="1" x14ac:dyDescent="0.25">
      <c r="B65" s="57">
        <v>17</v>
      </c>
    </row>
    <row r="66" spans="2:2" hidden="1" x14ac:dyDescent="0.25">
      <c r="B66" s="57">
        <v>18</v>
      </c>
    </row>
    <row r="67" spans="2:2" hidden="1" x14ac:dyDescent="0.25">
      <c r="B67" s="57">
        <v>19</v>
      </c>
    </row>
    <row r="68" spans="2:2" hidden="1" x14ac:dyDescent="0.25">
      <c r="B68" s="57">
        <v>20</v>
      </c>
    </row>
    <row r="69" spans="2:2" hidden="1" x14ac:dyDescent="0.25">
      <c r="B69" s="57">
        <v>21</v>
      </c>
    </row>
    <row r="70" spans="2:2" hidden="1" x14ac:dyDescent="0.25">
      <c r="B70" s="57">
        <v>22</v>
      </c>
    </row>
    <row r="71" spans="2:2" hidden="1" x14ac:dyDescent="0.25">
      <c r="B71" s="57">
        <v>23</v>
      </c>
    </row>
    <row r="72" spans="2:2" hidden="1" x14ac:dyDescent="0.25">
      <c r="B72" s="57">
        <v>24</v>
      </c>
    </row>
    <row r="73" spans="2:2" hidden="1" x14ac:dyDescent="0.25">
      <c r="B73" s="57">
        <v>25</v>
      </c>
    </row>
    <row r="74" spans="2:2" hidden="1" x14ac:dyDescent="0.25">
      <c r="B74" s="57">
        <v>26</v>
      </c>
    </row>
    <row r="75" spans="2:2" hidden="1" x14ac:dyDescent="0.25">
      <c r="B75" s="57">
        <v>27</v>
      </c>
    </row>
    <row r="76" spans="2:2" hidden="1" x14ac:dyDescent="0.25">
      <c r="B76" s="57">
        <v>28</v>
      </c>
    </row>
    <row r="77" spans="2:2" hidden="1" x14ac:dyDescent="0.25">
      <c r="B77" s="57">
        <v>29</v>
      </c>
    </row>
    <row r="78" spans="2:2" hidden="1" x14ac:dyDescent="0.25">
      <c r="B78" s="57">
        <v>30</v>
      </c>
    </row>
    <row r="79" spans="2:2" hidden="1" x14ac:dyDescent="0.25">
      <c r="B79" s="57">
        <v>31</v>
      </c>
    </row>
    <row r="80" spans="2:2" hidden="1" x14ac:dyDescent="0.25">
      <c r="B80" s="57">
        <v>32</v>
      </c>
    </row>
    <row r="81" spans="2:2" hidden="1" x14ac:dyDescent="0.25">
      <c r="B81" s="57">
        <v>33</v>
      </c>
    </row>
    <row r="82" spans="2:2" hidden="1" x14ac:dyDescent="0.25">
      <c r="B82" s="57">
        <v>34</v>
      </c>
    </row>
    <row r="83" spans="2:2" hidden="1" x14ac:dyDescent="0.25">
      <c r="B83" s="57">
        <v>35</v>
      </c>
    </row>
    <row r="84" spans="2:2" hidden="1" x14ac:dyDescent="0.25">
      <c r="B84" s="57">
        <v>36</v>
      </c>
    </row>
    <row r="85" spans="2:2" hidden="1" x14ac:dyDescent="0.25">
      <c r="B85" s="57">
        <v>37</v>
      </c>
    </row>
    <row r="86" spans="2:2" hidden="1" x14ac:dyDescent="0.25">
      <c r="B86" s="57">
        <v>38</v>
      </c>
    </row>
    <row r="87" spans="2:2" hidden="1" x14ac:dyDescent="0.25">
      <c r="B87" s="57">
        <v>39</v>
      </c>
    </row>
    <row r="88" spans="2:2" hidden="1" x14ac:dyDescent="0.25">
      <c r="B88" s="57">
        <v>40</v>
      </c>
    </row>
    <row r="89" spans="2:2" hidden="1" x14ac:dyDescent="0.25">
      <c r="B89" s="57">
        <v>41</v>
      </c>
    </row>
    <row r="90" spans="2:2" hidden="1" x14ac:dyDescent="0.25">
      <c r="B90" s="57">
        <v>42</v>
      </c>
    </row>
    <row r="91" spans="2:2" hidden="1" x14ac:dyDescent="0.25">
      <c r="B91" s="57">
        <v>43</v>
      </c>
    </row>
    <row r="92" spans="2:2" hidden="1" x14ac:dyDescent="0.25">
      <c r="B92" s="57">
        <v>44</v>
      </c>
    </row>
    <row r="93" spans="2:2" hidden="1" x14ac:dyDescent="0.25">
      <c r="B93" s="57">
        <v>45</v>
      </c>
    </row>
    <row r="94" spans="2:2" hidden="1" x14ac:dyDescent="0.25">
      <c r="B94" s="57">
        <v>46</v>
      </c>
    </row>
    <row r="95" spans="2:2" hidden="1" x14ac:dyDescent="0.25">
      <c r="B95" s="57">
        <v>47</v>
      </c>
    </row>
    <row r="96" spans="2:2" hidden="1" x14ac:dyDescent="0.25">
      <c r="B96" s="57">
        <v>48</v>
      </c>
    </row>
    <row r="97" spans="2:2" hidden="1" x14ac:dyDescent="0.25">
      <c r="B97" s="57">
        <v>49</v>
      </c>
    </row>
    <row r="98" spans="2:2" hidden="1" x14ac:dyDescent="0.25">
      <c r="B98" s="57">
        <v>50</v>
      </c>
    </row>
    <row r="99" spans="2:2" hidden="1" x14ac:dyDescent="0.25">
      <c r="B99" s="57">
        <v>51</v>
      </c>
    </row>
    <row r="100" spans="2:2" hidden="1" x14ac:dyDescent="0.25">
      <c r="B100" s="57">
        <v>52</v>
      </c>
    </row>
    <row r="101" spans="2:2" hidden="1" x14ac:dyDescent="0.25">
      <c r="B101" s="57">
        <v>53</v>
      </c>
    </row>
    <row r="102" spans="2:2" hidden="1" x14ac:dyDescent="0.25">
      <c r="B102" s="57">
        <v>54</v>
      </c>
    </row>
    <row r="103" spans="2:2" hidden="1" x14ac:dyDescent="0.25">
      <c r="B103" s="57">
        <v>55</v>
      </c>
    </row>
    <row r="104" spans="2:2" hidden="1" x14ac:dyDescent="0.25">
      <c r="B104" s="57">
        <v>56</v>
      </c>
    </row>
    <row r="105" spans="2:2" hidden="1" x14ac:dyDescent="0.25">
      <c r="B105" s="57">
        <v>57</v>
      </c>
    </row>
    <row r="106" spans="2:2" hidden="1" x14ac:dyDescent="0.25">
      <c r="B106" s="57">
        <v>58</v>
      </c>
    </row>
    <row r="107" spans="2:2" hidden="1" x14ac:dyDescent="0.25">
      <c r="B107" s="57">
        <v>59</v>
      </c>
    </row>
    <row r="108" spans="2:2" hidden="1" x14ac:dyDescent="0.25">
      <c r="B108" s="57">
        <v>60</v>
      </c>
    </row>
    <row r="109" spans="2:2" hidden="1" x14ac:dyDescent="0.25">
      <c r="B109" s="57">
        <v>61</v>
      </c>
    </row>
    <row r="110" spans="2:2" hidden="1" x14ac:dyDescent="0.25">
      <c r="B110" s="57">
        <v>62</v>
      </c>
    </row>
    <row r="111" spans="2:2" hidden="1" x14ac:dyDescent="0.25">
      <c r="B111" s="57">
        <v>63</v>
      </c>
    </row>
    <row r="112" spans="2:2" hidden="1" x14ac:dyDescent="0.25">
      <c r="B112" s="57">
        <v>64</v>
      </c>
    </row>
    <row r="113" spans="2:2" hidden="1" x14ac:dyDescent="0.25">
      <c r="B113" s="57">
        <v>65</v>
      </c>
    </row>
    <row r="114" spans="2:2" hidden="1" x14ac:dyDescent="0.25">
      <c r="B114" s="57">
        <v>66</v>
      </c>
    </row>
    <row r="115" spans="2:2" hidden="1" x14ac:dyDescent="0.25">
      <c r="B115" s="57">
        <v>67</v>
      </c>
    </row>
    <row r="116" spans="2:2" hidden="1" x14ac:dyDescent="0.25">
      <c r="B116" s="57">
        <v>68</v>
      </c>
    </row>
    <row r="117" spans="2:2" hidden="1" x14ac:dyDescent="0.25">
      <c r="B117" s="57">
        <v>69</v>
      </c>
    </row>
    <row r="118" spans="2:2" hidden="1" x14ac:dyDescent="0.25">
      <c r="B118" s="57">
        <v>70</v>
      </c>
    </row>
    <row r="119" spans="2:2" hidden="1" x14ac:dyDescent="0.25">
      <c r="B119" s="57">
        <v>71</v>
      </c>
    </row>
  </sheetData>
  <sheetProtection algorithmName="SHA-512" hashValue="gLRLrl4alvz6nu8dNV1BzigKrQJ8InYReNadRW4CPAVVawhgIsLmGKDNo0CDsKp4LKrS1Xb+DZV8I9YfAFStZg==" saltValue="Zqd1FQSdzwvI+bZ/fEsRGQ==" spinCount="100000" sheet="1" objects="1" scenarios="1"/>
  <mergeCells count="28">
    <mergeCell ref="A4:W4"/>
    <mergeCell ref="A5:W5"/>
    <mergeCell ref="A7:C7"/>
    <mergeCell ref="D7:E7"/>
    <mergeCell ref="A8:C8"/>
    <mergeCell ref="T10:W12"/>
    <mergeCell ref="A25:F25"/>
    <mergeCell ref="I25:J25"/>
    <mergeCell ref="M10:M12"/>
    <mergeCell ref="N10:N12"/>
    <mergeCell ref="O10:O12"/>
    <mergeCell ref="P10:P12"/>
    <mergeCell ref="Q10:Q12"/>
    <mergeCell ref="H10:H12"/>
    <mergeCell ref="I10:I12"/>
    <mergeCell ref="J10:J12"/>
    <mergeCell ref="K10:K12"/>
    <mergeCell ref="L10:L12"/>
    <mergeCell ref="A10:C12"/>
    <mergeCell ref="D10:D12"/>
    <mergeCell ref="E10:E12"/>
    <mergeCell ref="A28:B29"/>
    <mergeCell ref="A30:F31"/>
    <mergeCell ref="B33:C33"/>
    <mergeCell ref="R10:R12"/>
    <mergeCell ref="S10:S12"/>
    <mergeCell ref="F10:F12"/>
    <mergeCell ref="G10:G12"/>
  </mergeCells>
  <dataValidations count="15">
    <dataValidation type="list" allowBlank="1" showInputMessage="1" showErrorMessage="1" sqref="C29 JA29 SW29 ACS29" xr:uid="{00000000-0002-0000-0000-000000000000}">
      <formula1>$B$39:$B$45</formula1>
      <formula2>0</formula2>
    </dataValidation>
    <dataValidation type="list" allowBlank="1" showInputMessage="1" showErrorMessage="1" sqref="D8 JB8 SX8 ACT8" xr:uid="{00000000-0002-0000-0000-000001000000}">
      <formula1>$B$34:$B$36</formula1>
      <formula2>0</formula2>
    </dataValidation>
    <dataValidation type="list" allowBlank="1" showInputMessage="1" showErrorMessage="1" sqref="D7:E7 JB7:JC7 SX7:SY7 ACT7:ACU7" xr:uid="{00000000-0002-0000-0000-000002000000}">
      <formula1>"PLANILHA PARA LICITAÇÃO (PRECIFICAÇÃO),PLANILHA PARA FATURAMENTO"</formula1>
      <formula2>0</formula2>
    </dataValidation>
    <dataValidation type="list" allowBlank="1" showInputMessage="1" showErrorMessage="1" sqref="S14:S24 JO14:JO19 TK14:TK19 ADG14:ADG19 JL20:JL24 TH20:TH24 ADD20:ADD24" xr:uid="{00000000-0002-0000-0000-000003000000}">
      <formula1>"1,2,3,4,5"</formula1>
      <formula2>0</formula2>
    </dataValidation>
    <dataValidation type="list" allowBlank="1" showInputMessage="1" showErrorMessage="1" sqref="E14:E24 JC14:JC19 SY14:SY19 ACU14:ACU19 IZ20:IZ24 SV20:SV24 ACR20:ACR24" xr:uid="{00000000-0002-0000-0000-000004000000}">
      <formula1>"SIM,NÃO"</formula1>
      <formula2>0</formula2>
    </dataValidation>
    <dataValidation type="list" allowBlank="1" showInputMessage="1" showErrorMessage="1" sqref="JB14:JB19 SX14:SX19 ACT14:ACT19 IY20:IY24 SU20:SU24 ACQ20:ACQ24" xr:uid="{00000000-0002-0000-0000-000005000000}">
      <formula1>"0,1"</formula1>
      <formula2>0</formula2>
    </dataValidation>
    <dataValidation type="list" allowBlank="1" showInputMessage="1" showErrorMessage="1" sqref="D14 D19" xr:uid="{00000000-0002-0000-0000-000006000000}">
      <formula1>$B$48:$B$50</formula1>
      <formula2>0</formula2>
    </dataValidation>
    <dataValidation type="list" allowBlank="1" showInputMessage="1" showErrorMessage="1" sqref="D15 D20" xr:uid="{00000000-0002-0000-0000-000007000000}">
      <formula1>$B$48:$B$66</formula1>
      <formula2>0</formula2>
    </dataValidation>
    <dataValidation type="list" allowBlank="1" showInputMessage="1" showErrorMessage="1" sqref="D16" xr:uid="{00000000-0002-0000-0000-000008000000}">
      <formula1>$B$48:$B$51</formula1>
      <formula2>0</formula2>
    </dataValidation>
    <dataValidation type="list" allowBlank="1" showInputMessage="1" showErrorMessage="1" sqref="D17" xr:uid="{00000000-0002-0000-0000-000009000000}">
      <formula1>$B$48:$B$75</formula1>
      <formula2>0</formula2>
    </dataValidation>
    <dataValidation type="list" allowBlank="1" showInputMessage="1" showErrorMessage="1" sqref="D18" xr:uid="{00000000-0002-0000-0000-00000A000000}">
      <formula1>$B$48:$B$119</formula1>
      <formula2>0</formula2>
    </dataValidation>
    <dataValidation type="list" allowBlank="1" showInputMessage="1" showErrorMessage="1" sqref="D21" xr:uid="{00000000-0002-0000-0000-00000B000000}">
      <formula1>$B$48:$B$54</formula1>
      <formula2>0</formula2>
    </dataValidation>
    <dataValidation type="list" allowBlank="1" showInputMessage="1" showErrorMessage="1" sqref="D22" xr:uid="{00000000-0002-0000-0000-00000C000000}">
      <formula1>$B$48:$B$49</formula1>
      <formula2>0</formula2>
    </dataValidation>
    <dataValidation type="list" allowBlank="1" showInputMessage="1" showErrorMessage="1" sqref="D23" xr:uid="{00000000-0002-0000-0000-00000D000000}">
      <formula1>$B$48:$B$56</formula1>
      <formula2>0</formula2>
    </dataValidation>
    <dataValidation type="list" allowBlank="1" showInputMessage="1" showErrorMessage="1" sqref="D24" xr:uid="{00000000-0002-0000-0000-00000E000000}">
      <formula1>$B$48:$B$59</formula1>
      <formula2>0</formula2>
    </dataValidation>
  </dataValidations>
  <printOptions horizontalCentered="1"/>
  <pageMargins left="0.196527777777778" right="0.196527777777778" top="0.196527777777778" bottom="0.39374999999999999" header="0.51180555555555496" footer="0.51180555555555496"/>
  <pageSetup paperSize="9" scale="6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5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0.33203125" customWidth="1"/>
    <col min="4" max="5" width="17.5" customWidth="1"/>
    <col min="6" max="8" width="17.83203125" style="398" customWidth="1"/>
    <col min="9" max="9" width="17.83203125" customWidth="1"/>
  </cols>
  <sheetData>
    <row r="1" spans="1:12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</row>
    <row r="2" spans="1:12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</row>
    <row r="3" spans="1:12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</row>
    <row r="4" spans="1:12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</row>
    <row r="5" spans="1:12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</row>
    <row r="6" spans="1:12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</row>
    <row r="7" spans="1:12" ht="30" customHeight="1" x14ac:dyDescent="0.2">
      <c r="A7" s="735" t="str">
        <f>Dados!B10&amp;" - "&amp;D10</f>
        <v>Auxiliar de Almoxarifado - 200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</row>
    <row r="8" spans="1:12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</row>
    <row r="9" spans="1:12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26" t="s">
        <v>388</v>
      </c>
      <c r="G9" s="726"/>
      <c r="H9" s="726"/>
      <c r="I9" s="726"/>
      <c r="J9" s="89"/>
      <c r="K9" s="89"/>
      <c r="L9" s="89"/>
    </row>
    <row r="10" spans="1:12" ht="26.25" customHeight="1" x14ac:dyDescent="0.2">
      <c r="A10" s="727">
        <v>1</v>
      </c>
      <c r="B10" s="728" t="str">
        <f>A7</f>
        <v>Auxiliar de Almoxarifado - 200</v>
      </c>
      <c r="C10" s="728"/>
      <c r="D10" s="459">
        <f>Dados!C10</f>
        <v>200</v>
      </c>
      <c r="E10" s="414">
        <f>Dados!E10</f>
        <v>2420</v>
      </c>
      <c r="F10" s="415">
        <f>ROUND(E10/220*D10,2)</f>
        <v>2200</v>
      </c>
      <c r="G10" s="416"/>
      <c r="H10" s="417"/>
      <c r="I10" s="418"/>
      <c r="J10" s="89"/>
      <c r="K10" s="89"/>
      <c r="L10" s="89"/>
    </row>
    <row r="11" spans="1:12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18"/>
      <c r="J11" s="89"/>
      <c r="K11" s="89"/>
      <c r="L11" s="89"/>
    </row>
    <row r="12" spans="1:12" ht="19.5" customHeight="1" x14ac:dyDescent="0.2">
      <c r="A12" s="727"/>
      <c r="B12" s="743" t="s">
        <v>389</v>
      </c>
      <c r="C12" s="743"/>
      <c r="D12" s="743"/>
      <c r="E12" s="743"/>
      <c r="F12" s="426">
        <f>F10+F11</f>
        <v>2200</v>
      </c>
      <c r="G12" s="422"/>
      <c r="H12" s="423"/>
      <c r="I12" s="424"/>
      <c r="J12" s="89"/>
      <c r="K12" s="89"/>
      <c r="L12" s="89"/>
    </row>
    <row r="13" spans="1:12" ht="19.5" customHeight="1" x14ac:dyDescent="0.2">
      <c r="A13" s="727"/>
      <c r="B13" s="731" t="s">
        <v>390</v>
      </c>
      <c r="C13" s="731"/>
      <c r="D13" s="731"/>
      <c r="E13" s="461">
        <f>Dados!G28</f>
        <v>0.79049999999999998</v>
      </c>
      <c r="F13" s="415">
        <f>(ROUND((E13*F12),2))</f>
        <v>1739.1</v>
      </c>
      <c r="G13" s="416"/>
      <c r="H13" s="417"/>
      <c r="I13" s="418"/>
      <c r="J13" s="89"/>
      <c r="K13" s="89"/>
      <c r="L13" s="89"/>
    </row>
    <row r="14" spans="1:12" ht="24.75" customHeight="1" x14ac:dyDescent="0.2">
      <c r="A14" s="741" t="s">
        <v>391</v>
      </c>
      <c r="B14" s="741"/>
      <c r="C14" s="741"/>
      <c r="D14" s="741"/>
      <c r="E14" s="741"/>
      <c r="F14" s="426">
        <f>ROUND(SUM(F12:F13),2)</f>
        <v>3939.1</v>
      </c>
      <c r="G14" s="427"/>
      <c r="H14" s="428"/>
      <c r="I14" s="429"/>
      <c r="J14" s="89"/>
      <c r="K14" s="89"/>
      <c r="L14" s="89"/>
    </row>
    <row r="15" spans="1:12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</row>
    <row r="16" spans="1:12" ht="19.5" customHeight="1" x14ac:dyDescent="0.2">
      <c r="A16" s="723" t="s">
        <v>393</v>
      </c>
      <c r="B16" s="723"/>
      <c r="C16" s="430" t="s">
        <v>394</v>
      </c>
      <c r="D16" s="724" t="s">
        <v>388</v>
      </c>
      <c r="E16" s="724"/>
      <c r="F16" s="724"/>
      <c r="G16" s="724"/>
      <c r="H16" s="724"/>
      <c r="I16" s="724"/>
      <c r="J16" s="89"/>
      <c r="K16" s="89"/>
      <c r="L16" s="89"/>
    </row>
    <row r="17" spans="1:12" ht="19.5" customHeight="1" x14ac:dyDescent="0.2">
      <c r="A17" s="718" t="s">
        <v>396</v>
      </c>
      <c r="B17" s="718"/>
      <c r="C17" s="431"/>
      <c r="D17" s="432"/>
      <c r="E17" s="414"/>
      <c r="F17" s="415">
        <f>Dados!I10</f>
        <v>40.71</v>
      </c>
      <c r="G17" s="416"/>
      <c r="H17" s="417"/>
      <c r="I17" s="418"/>
      <c r="J17" s="89"/>
      <c r="K17" s="89"/>
      <c r="L17" s="89"/>
    </row>
    <row r="18" spans="1:12" ht="19.5" customHeight="1" x14ac:dyDescent="0.2">
      <c r="A18" s="718" t="s">
        <v>397</v>
      </c>
      <c r="B18" s="718"/>
      <c r="C18" s="431"/>
      <c r="D18" s="432"/>
      <c r="E18" s="433"/>
      <c r="F18" s="415">
        <f>Dados!G35</f>
        <v>2.2000000000000002</v>
      </c>
      <c r="G18" s="416"/>
      <c r="H18" s="417"/>
      <c r="I18" s="418"/>
      <c r="J18" s="89"/>
      <c r="K18" s="89"/>
      <c r="L18" s="89"/>
    </row>
    <row r="19" spans="1:12" ht="25.5" customHeight="1" x14ac:dyDescent="0.2">
      <c r="A19" s="722" t="s">
        <v>398</v>
      </c>
      <c r="B19" s="722"/>
      <c r="C19" s="431"/>
      <c r="D19" s="432"/>
      <c r="E19" s="305"/>
      <c r="F19" s="415">
        <f>Dados!G36</f>
        <v>80.72</v>
      </c>
      <c r="G19" s="416"/>
      <c r="H19" s="417"/>
      <c r="I19" s="418"/>
      <c r="J19" s="89"/>
      <c r="K19" s="89"/>
      <c r="L19" s="89"/>
    </row>
    <row r="20" spans="1:12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460.06</v>
      </c>
      <c r="G20" s="416">
        <f>F20</f>
        <v>460.06</v>
      </c>
      <c r="H20" s="417"/>
      <c r="I20" s="418"/>
      <c r="J20" s="89"/>
      <c r="K20" s="89"/>
      <c r="L20" s="89"/>
    </row>
    <row r="21" spans="1:12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378.4</v>
      </c>
      <c r="G21" s="416"/>
      <c r="H21" s="417"/>
      <c r="I21" s="418">
        <f>F21</f>
        <v>378.4</v>
      </c>
      <c r="J21" s="89"/>
      <c r="K21" s="89"/>
      <c r="L21" s="89"/>
    </row>
    <row r="22" spans="1:12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  <c r="L22" s="89"/>
    </row>
    <row r="23" spans="1:12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  <c r="L23" s="89"/>
    </row>
    <row r="24" spans="1:12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962.09</v>
      </c>
      <c r="G24" s="426">
        <f>SUM(G17:G23)</f>
        <v>460.06</v>
      </c>
      <c r="H24" s="428">
        <f>SUM($H$17:$H$23)</f>
        <v>0</v>
      </c>
      <c r="I24" s="429">
        <f>SUM($I$17:$I$23)</f>
        <v>378.4</v>
      </c>
      <c r="J24" s="89"/>
      <c r="K24" s="89"/>
      <c r="L24" s="89"/>
    </row>
    <row r="25" spans="1:12" ht="24.75" customHeight="1" x14ac:dyDescent="0.2">
      <c r="A25" s="714" t="s">
        <v>402</v>
      </c>
      <c r="B25" s="714"/>
      <c r="C25" s="714"/>
      <c r="D25" s="714"/>
      <c r="E25" s="714"/>
      <c r="F25" s="426">
        <f>F14+F24</f>
        <v>4901.1899999999996</v>
      </c>
      <c r="G25" s="426">
        <f>$G$14+$G$24</f>
        <v>460.06</v>
      </c>
      <c r="H25" s="428">
        <f>$H$14+$H$24</f>
        <v>0</v>
      </c>
      <c r="I25" s="429">
        <f>$I$14+$I$24</f>
        <v>378.4</v>
      </c>
      <c r="J25" s="89"/>
      <c r="K25" s="89"/>
      <c r="L25" s="89"/>
    </row>
    <row r="26" spans="1:12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>
        <f>SUM($H$17:$H$25)</f>
        <v>0</v>
      </c>
      <c r="I26" s="715">
        <f>SUM($I$17:$I$25)</f>
        <v>1135.1999999999998</v>
      </c>
      <c r="J26" s="89"/>
      <c r="K26" s="89"/>
      <c r="L26" s="89"/>
    </row>
    <row r="27" spans="1:12" ht="19.5" customHeight="1" x14ac:dyDescent="0.2">
      <c r="A27" s="719" t="s">
        <v>404</v>
      </c>
      <c r="B27" s="719"/>
      <c r="C27" s="719"/>
      <c r="D27" s="720" t="s">
        <v>405</v>
      </c>
      <c r="E27" s="720"/>
      <c r="F27" s="721" t="s">
        <v>388</v>
      </c>
      <c r="G27" s="721"/>
      <c r="H27" s="721"/>
      <c r="I27" s="721"/>
      <c r="J27" s="89"/>
      <c r="K27" s="89"/>
      <c r="L27" s="89"/>
    </row>
    <row r="28" spans="1:12" ht="19.5" customHeight="1" x14ac:dyDescent="0.2">
      <c r="A28" s="435" t="s">
        <v>406</v>
      </c>
      <c r="B28" s="436"/>
      <c r="C28" s="436"/>
      <c r="D28" s="432">
        <f>Dados!$G$50</f>
        <v>0.03</v>
      </c>
      <c r="E28" s="416"/>
      <c r="F28" s="415">
        <f>ROUND((F25*D28),2)</f>
        <v>147.04</v>
      </c>
      <c r="G28" s="416">
        <f>ROUND(($G$25*$D$28),2)</f>
        <v>13.8</v>
      </c>
      <c r="H28" s="417">
        <f>ROUND((H25*D28),2)</f>
        <v>0</v>
      </c>
      <c r="I28" s="418">
        <f>ROUND((I25*D28),2)</f>
        <v>11.35</v>
      </c>
      <c r="J28" s="89"/>
      <c r="K28" s="89"/>
      <c r="L28" s="89"/>
    </row>
    <row r="29" spans="1:12" ht="19.5" customHeight="1" x14ac:dyDescent="0.2">
      <c r="A29" s="713" t="s">
        <v>407</v>
      </c>
      <c r="B29" s="713"/>
      <c r="C29" s="713"/>
      <c r="D29" s="432"/>
      <c r="E29" s="416"/>
      <c r="F29" s="415">
        <f>F25+F28</f>
        <v>5048.2299999999996</v>
      </c>
      <c r="G29" s="416">
        <f>$G$28+$G$25</f>
        <v>473.86</v>
      </c>
      <c r="H29" s="417">
        <f>H25+H28</f>
        <v>0</v>
      </c>
      <c r="I29" s="418">
        <f>I25+I28</f>
        <v>389.75</v>
      </c>
      <c r="J29" s="89"/>
      <c r="K29" s="89"/>
      <c r="L29" s="89"/>
    </row>
    <row r="30" spans="1:12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16">
        <f>F25+F28</f>
        <v>5048.2299999999996</v>
      </c>
      <c r="F30" s="415">
        <f>ROUND((E30*D30),2)</f>
        <v>342.77</v>
      </c>
      <c r="G30" s="416">
        <f>ROUND(($G$29*$D$30),2)</f>
        <v>32.18</v>
      </c>
      <c r="H30" s="417">
        <f>ROUND((H29*D30),2)</f>
        <v>0</v>
      </c>
      <c r="I30" s="418">
        <f>ROUND((I29*D30),2)</f>
        <v>26.46</v>
      </c>
      <c r="J30" s="89"/>
      <c r="K30" s="89"/>
      <c r="L30" s="89"/>
    </row>
    <row r="31" spans="1:12" ht="24.75" customHeight="1" x14ac:dyDescent="0.2">
      <c r="A31" s="438" t="s">
        <v>408</v>
      </c>
      <c r="B31" s="439"/>
      <c r="C31" s="439"/>
      <c r="D31" s="440">
        <f>SUM(D28:D30)</f>
        <v>9.7900000000000001E-2</v>
      </c>
      <c r="E31" s="427"/>
      <c r="F31" s="426">
        <f>F28+F30</f>
        <v>489.80999999999995</v>
      </c>
      <c r="G31" s="427">
        <f>$G$28+$G$30</f>
        <v>45.980000000000004</v>
      </c>
      <c r="H31" s="428">
        <f>H28+H30</f>
        <v>0</v>
      </c>
      <c r="I31" s="429">
        <f>I28+I30</f>
        <v>37.81</v>
      </c>
      <c r="J31" s="89"/>
      <c r="K31" s="89"/>
      <c r="L31" s="89"/>
    </row>
    <row r="32" spans="1:12" ht="24.75" customHeight="1" x14ac:dyDescent="0.2">
      <c r="A32" s="741" t="s">
        <v>409</v>
      </c>
      <c r="B32" s="741"/>
      <c r="C32" s="741"/>
      <c r="D32" s="741"/>
      <c r="E32" s="741"/>
      <c r="F32" s="426">
        <f>F14+F24+F31</f>
        <v>5391</v>
      </c>
      <c r="G32" s="427">
        <f>$G$14+$G$24+$G$31</f>
        <v>506.04</v>
      </c>
      <c r="H32" s="428">
        <f>H14+H24+H31</f>
        <v>0</v>
      </c>
      <c r="I32" s="429">
        <f>I14+I24+I31</f>
        <v>416.21</v>
      </c>
      <c r="J32" s="89"/>
      <c r="K32" s="89"/>
      <c r="L32" s="89"/>
    </row>
    <row r="33" spans="1:12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</row>
    <row r="34" spans="1:12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ROUND((F39*D34),2)</f>
        <v>477.8</v>
      </c>
      <c r="G34" s="416">
        <f>ROUND(($G$39*$D$34),2)</f>
        <v>44.85</v>
      </c>
      <c r="H34" s="417">
        <f>ROUND((H39*D34),2)</f>
        <v>0</v>
      </c>
      <c r="I34" s="418">
        <f>ROUND((I39*D34),2)</f>
        <v>36.89</v>
      </c>
      <c r="J34" s="89"/>
      <c r="K34" s="89"/>
      <c r="L34" s="89"/>
    </row>
    <row r="35" spans="1:12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ROUND((F39*D35),2)</f>
        <v>103.73</v>
      </c>
      <c r="G35" s="416">
        <f>ROUND(($G$39*$D$35),2)</f>
        <v>9.74</v>
      </c>
      <c r="H35" s="417">
        <f>ROUND((H39*D35),2)</f>
        <v>0</v>
      </c>
      <c r="I35" s="418">
        <f>ROUND((I39*D35),2)</f>
        <v>8.01</v>
      </c>
      <c r="J35" s="89"/>
      <c r="K35" s="89"/>
      <c r="L35" s="89"/>
    </row>
    <row r="36" spans="1:12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ROUND((F39*D36),2)</f>
        <v>314.33999999999997</v>
      </c>
      <c r="G36" s="416">
        <f>ROUND(($G$39*$D$36),2)</f>
        <v>29.51</v>
      </c>
      <c r="H36" s="417">
        <f>ROUND((H39*D36),2)</f>
        <v>0</v>
      </c>
      <c r="I36" s="418">
        <f>ROUND((I39*D36),2)</f>
        <v>24.27</v>
      </c>
      <c r="J36" s="89"/>
      <c r="K36" s="89"/>
      <c r="L36" s="89"/>
    </row>
    <row r="37" spans="1:12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</row>
    <row r="38" spans="1:12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895.86999999999989</v>
      </c>
      <c r="G38" s="426">
        <f>SUM(G34:G37)</f>
        <v>84.100000000000009</v>
      </c>
      <c r="H38" s="426">
        <f>SUM(H34:H37)</f>
        <v>0</v>
      </c>
      <c r="I38" s="445">
        <f>SUM(I34:I37)</f>
        <v>69.17</v>
      </c>
      <c r="J38" s="89"/>
      <c r="K38" s="89"/>
      <c r="L38" s="89"/>
    </row>
    <row r="39" spans="1:12" ht="34.5" hidden="1" customHeight="1" x14ac:dyDescent="0.2">
      <c r="A39" s="716" t="str">
        <f>A7</f>
        <v>Auxiliar de Almoxarifado - 200</v>
      </c>
      <c r="B39" s="716"/>
      <c r="C39" s="716"/>
      <c r="D39" s="716"/>
      <c r="E39" s="716"/>
      <c r="F39" s="446">
        <f>ROUND(F32/(1-D38),2)</f>
        <v>6286.88</v>
      </c>
      <c r="G39" s="447">
        <f>ROUND($G$32/(1-$D$38),2)</f>
        <v>590.13</v>
      </c>
      <c r="H39" s="448">
        <f>ROUND(H32/(1-D38),2)</f>
        <v>0</v>
      </c>
      <c r="I39" s="449">
        <f>ROUND(I32/(1-D38),2)</f>
        <v>485.38</v>
      </c>
      <c r="J39" s="89"/>
      <c r="K39" s="89"/>
      <c r="L39" s="89"/>
    </row>
    <row r="40" spans="1:12" ht="30" customHeight="1" x14ac:dyDescent="0.2">
      <c r="A40" s="742" t="str">
        <f>A7</f>
        <v>Auxiliar de Almoxarifado - 200</v>
      </c>
      <c r="B40" s="742"/>
      <c r="C40" s="742"/>
      <c r="D40" s="742"/>
      <c r="E40" s="742"/>
      <c r="F40" s="462">
        <f>F39</f>
        <v>6286.88</v>
      </c>
      <c r="G40" s="462">
        <f>$G$39</f>
        <v>590.13</v>
      </c>
      <c r="H40" s="462">
        <f>H39</f>
        <v>0</v>
      </c>
      <c r="I40" s="463">
        <f>I39</f>
        <v>485.38</v>
      </c>
      <c r="J40" s="89"/>
      <c r="K40" s="89"/>
      <c r="L40" s="89"/>
    </row>
    <row r="41" spans="1:12" ht="29.25" customHeight="1" x14ac:dyDescent="0.2">
      <c r="A41" s="740" t="s">
        <v>412</v>
      </c>
      <c r="B41" s="740"/>
      <c r="C41" s="740"/>
      <c r="D41" s="740"/>
      <c r="E41" s="740"/>
      <c r="F41" s="464">
        <f>($F$40/$F$12)/100</f>
        <v>2.8576727272727274E-2</v>
      </c>
      <c r="G41" s="465"/>
      <c r="H41" s="465"/>
      <c r="I41" s="466"/>
      <c r="J41" s="89"/>
      <c r="K41" s="89"/>
      <c r="L41" s="89"/>
    </row>
    <row r="42" spans="1:12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</row>
    <row r="43" spans="1:12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</row>
    <row r="44" spans="1:12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</row>
    <row r="45" spans="1:12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</row>
  </sheetData>
  <sheetProtection algorithmName="SHA-512" hashValue="TXEipVr6DrPlsJk+A7EO8G7HCSKIFdgSeJUCbt/u5W9w+Qo4wB7SZmHEmCupBTsmlZTwtEetSPtiOvYWvhnxBg==" saltValue="xTfPBOZ5mrh0xNeWg37n0w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7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0.33203125" customWidth="1"/>
    <col min="4" max="5" width="17.5" customWidth="1"/>
    <col min="6" max="8" width="17.83203125" style="398" customWidth="1"/>
    <col min="9" max="9" width="17.83203125" customWidth="1"/>
  </cols>
  <sheetData>
    <row r="1" spans="1:14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  <c r="M1" s="89"/>
      <c r="N1" s="89"/>
    </row>
    <row r="2" spans="1:14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  <c r="M2" s="89"/>
      <c r="N2" s="89"/>
    </row>
    <row r="3" spans="1:14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  <c r="M3" s="89"/>
      <c r="N3" s="89"/>
    </row>
    <row r="4" spans="1:14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  <c r="M4" s="89"/>
      <c r="N4" s="89"/>
    </row>
    <row r="5" spans="1:14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  <c r="M5" s="89"/>
      <c r="N5" s="89"/>
    </row>
    <row r="6" spans="1:14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  <c r="M6" s="89"/>
      <c r="N6" s="89"/>
    </row>
    <row r="7" spans="1:14" ht="30" customHeight="1" x14ac:dyDescent="0.2">
      <c r="A7" s="735" t="str">
        <f>Dados!B12&amp;" - "&amp;D10</f>
        <v>Auxiliar Administrativo - Classe II - 200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  <c r="M7" s="89"/>
      <c r="N7" s="89"/>
    </row>
    <row r="8" spans="1:14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  <c r="M8" s="89"/>
      <c r="N8" s="89"/>
    </row>
    <row r="9" spans="1:14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26" t="s">
        <v>388</v>
      </c>
      <c r="G9" s="726"/>
      <c r="H9" s="726"/>
      <c r="I9" s="726"/>
      <c r="J9" s="89"/>
      <c r="K9" s="89"/>
      <c r="L9" s="89"/>
      <c r="M9" s="89"/>
      <c r="N9" s="89"/>
    </row>
    <row r="10" spans="1:14" ht="26.25" customHeight="1" x14ac:dyDescent="0.2">
      <c r="A10" s="727">
        <v>1</v>
      </c>
      <c r="B10" s="728" t="str">
        <f>A7</f>
        <v>Auxiliar Administrativo - Classe II - 200</v>
      </c>
      <c r="C10" s="728"/>
      <c r="D10" s="459">
        <f>Dados!C12</f>
        <v>200</v>
      </c>
      <c r="E10" s="414">
        <f>Dados!$E12</f>
        <v>2530</v>
      </c>
      <c r="F10" s="415">
        <f>ROUND(E10/220*D10,2)</f>
        <v>2300</v>
      </c>
      <c r="G10" s="416"/>
      <c r="H10" s="417"/>
      <c r="I10" s="418"/>
      <c r="J10" s="89"/>
      <c r="K10" s="89"/>
      <c r="L10" s="89"/>
      <c r="M10" s="89"/>
      <c r="N10" s="89"/>
    </row>
    <row r="11" spans="1:14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18"/>
      <c r="J11" s="89"/>
      <c r="K11" s="89"/>
      <c r="L11" s="89"/>
      <c r="M11" s="89"/>
      <c r="N11" s="89"/>
    </row>
    <row r="12" spans="1:14" ht="19.5" customHeight="1" x14ac:dyDescent="0.2">
      <c r="A12" s="727"/>
      <c r="B12" s="743" t="s">
        <v>389</v>
      </c>
      <c r="C12" s="743"/>
      <c r="D12" s="743"/>
      <c r="E12" s="743"/>
      <c r="F12" s="426">
        <f>F10+F11</f>
        <v>2300</v>
      </c>
      <c r="G12" s="422"/>
      <c r="H12" s="423"/>
      <c r="I12" s="424"/>
      <c r="J12" s="89"/>
      <c r="K12" s="89"/>
      <c r="L12" s="89"/>
      <c r="M12" s="89"/>
      <c r="N12" s="89"/>
    </row>
    <row r="13" spans="1:14" ht="19.5" customHeight="1" x14ac:dyDescent="0.2">
      <c r="A13" s="727"/>
      <c r="B13" s="731" t="s">
        <v>390</v>
      </c>
      <c r="C13" s="731"/>
      <c r="D13" s="731"/>
      <c r="E13" s="461">
        <f>Dados!G28</f>
        <v>0.79049999999999998</v>
      </c>
      <c r="F13" s="415">
        <f>(ROUND((E13*F12),2))</f>
        <v>1818.15</v>
      </c>
      <c r="G13" s="416"/>
      <c r="H13" s="417"/>
      <c r="I13" s="418"/>
      <c r="J13" s="89"/>
      <c r="K13" s="89"/>
      <c r="L13" s="89"/>
      <c r="M13" s="89"/>
      <c r="N13" s="89"/>
    </row>
    <row r="14" spans="1:14" ht="24.75" customHeight="1" x14ac:dyDescent="0.2">
      <c r="A14" s="741" t="s">
        <v>391</v>
      </c>
      <c r="B14" s="741"/>
      <c r="C14" s="741"/>
      <c r="D14" s="741"/>
      <c r="E14" s="741"/>
      <c r="F14" s="426">
        <f>ROUND(SUM(F12:F13),2)</f>
        <v>4118.1499999999996</v>
      </c>
      <c r="G14" s="427"/>
      <c r="H14" s="428"/>
      <c r="I14" s="429"/>
      <c r="J14" s="89"/>
      <c r="K14" s="89"/>
      <c r="L14" s="89"/>
      <c r="M14" s="89"/>
      <c r="N14" s="89"/>
    </row>
    <row r="15" spans="1:14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  <c r="M15" s="89"/>
      <c r="N15" s="89"/>
    </row>
    <row r="16" spans="1:14" ht="19.5" customHeight="1" x14ac:dyDescent="0.2">
      <c r="A16" s="723" t="s">
        <v>393</v>
      </c>
      <c r="B16" s="723"/>
      <c r="C16" s="430" t="s">
        <v>394</v>
      </c>
      <c r="D16" s="724" t="s">
        <v>388</v>
      </c>
      <c r="E16" s="724"/>
      <c r="F16" s="724"/>
      <c r="G16" s="724"/>
      <c r="H16" s="724"/>
      <c r="I16" s="724"/>
      <c r="J16" s="89"/>
      <c r="K16" s="89"/>
      <c r="L16" s="89"/>
      <c r="M16" s="89"/>
      <c r="N16" s="89"/>
    </row>
    <row r="17" spans="1:14" ht="19.5" customHeight="1" x14ac:dyDescent="0.2">
      <c r="A17" s="718" t="s">
        <v>396</v>
      </c>
      <c r="B17" s="718"/>
      <c r="C17" s="431"/>
      <c r="D17" s="432"/>
      <c r="E17" s="414"/>
      <c r="F17" s="415">
        <f>Dados!I12</f>
        <v>72.650000000000006</v>
      </c>
      <c r="G17" s="416"/>
      <c r="H17" s="417"/>
      <c r="I17" s="418"/>
      <c r="J17" s="89"/>
      <c r="K17" s="89"/>
      <c r="L17" s="89"/>
      <c r="M17" s="89"/>
      <c r="N17" s="89"/>
    </row>
    <row r="18" spans="1:14" ht="19.5" customHeight="1" x14ac:dyDescent="0.2">
      <c r="A18" s="718" t="s">
        <v>397</v>
      </c>
      <c r="B18" s="718"/>
      <c r="C18" s="431"/>
      <c r="D18" s="432"/>
      <c r="E18" s="433"/>
      <c r="F18" s="415">
        <f>Dados!G35</f>
        <v>2.2000000000000002</v>
      </c>
      <c r="G18" s="416"/>
      <c r="H18" s="417"/>
      <c r="I18" s="418"/>
      <c r="J18" s="89"/>
      <c r="K18" s="89"/>
      <c r="L18" s="89"/>
      <c r="M18" s="89"/>
      <c r="N18" s="89"/>
    </row>
    <row r="19" spans="1:14" ht="25.5" customHeight="1" x14ac:dyDescent="0.2">
      <c r="A19" s="722" t="s">
        <v>398</v>
      </c>
      <c r="B19" s="722"/>
      <c r="C19" s="431"/>
      <c r="D19" s="432"/>
      <c r="E19" s="305"/>
      <c r="F19" s="415">
        <f>Dados!G36</f>
        <v>80.72</v>
      </c>
      <c r="G19" s="416"/>
      <c r="H19" s="417"/>
      <c r="I19" s="418"/>
      <c r="J19" s="89"/>
      <c r="K19" s="89"/>
      <c r="L19" s="89"/>
      <c r="M19" s="89"/>
      <c r="N19" s="89"/>
    </row>
    <row r="20" spans="1:14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460.06</v>
      </c>
      <c r="G20" s="416">
        <f>F20</f>
        <v>460.06</v>
      </c>
      <c r="H20" s="417"/>
      <c r="I20" s="418"/>
      <c r="J20" s="89"/>
      <c r="K20" s="89"/>
      <c r="L20" s="89"/>
      <c r="M20" s="89"/>
      <c r="N20" s="89"/>
    </row>
    <row r="21" spans="1:14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372.4</v>
      </c>
      <c r="G21" s="416"/>
      <c r="H21" s="417"/>
      <c r="I21" s="418">
        <f>F21</f>
        <v>372.4</v>
      </c>
      <c r="J21" s="89"/>
      <c r="K21" s="89"/>
      <c r="L21" s="89"/>
      <c r="M21" s="89"/>
      <c r="N21" s="89"/>
    </row>
    <row r="22" spans="1:14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  <c r="L22" s="89"/>
      <c r="M22" s="89"/>
      <c r="N22" s="89"/>
    </row>
    <row r="23" spans="1:14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  <c r="L23" s="89"/>
      <c r="M23" s="89"/>
      <c r="N23" s="89"/>
    </row>
    <row r="24" spans="1:14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988.03</v>
      </c>
      <c r="G24" s="426">
        <f>SUM(G17:G23)</f>
        <v>460.06</v>
      </c>
      <c r="H24" s="428">
        <f>SUM($H$17:$H$23)</f>
        <v>0</v>
      </c>
      <c r="I24" s="429">
        <f>SUM($I$17:$I$23)</f>
        <v>372.4</v>
      </c>
      <c r="J24" s="89"/>
      <c r="K24" s="89"/>
      <c r="L24" s="89"/>
      <c r="M24" s="89"/>
      <c r="N24" s="89"/>
    </row>
    <row r="25" spans="1:14" ht="24.75" customHeight="1" x14ac:dyDescent="0.2">
      <c r="A25" s="714" t="s">
        <v>402</v>
      </c>
      <c r="B25" s="714"/>
      <c r="C25" s="714"/>
      <c r="D25" s="714"/>
      <c r="E25" s="714"/>
      <c r="F25" s="426">
        <f>F14+F24</f>
        <v>5106.1799999999994</v>
      </c>
      <c r="G25" s="426">
        <f>$G$14+$G$24</f>
        <v>460.06</v>
      </c>
      <c r="H25" s="428">
        <f>$H$14+$H$24</f>
        <v>0</v>
      </c>
      <c r="I25" s="429">
        <f>$I$14+$I$24</f>
        <v>372.4</v>
      </c>
      <c r="J25" s="89"/>
      <c r="K25" s="89"/>
      <c r="L25" s="89"/>
      <c r="M25" s="89"/>
      <c r="N25" s="89"/>
    </row>
    <row r="26" spans="1:14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>
        <f>SUM($H$17:$H$25)</f>
        <v>0</v>
      </c>
      <c r="I26" s="715">
        <f>SUM($I$17:$I$25)</f>
        <v>1117.1999999999998</v>
      </c>
      <c r="J26" s="89"/>
      <c r="K26" s="89"/>
      <c r="L26" s="89"/>
      <c r="M26" s="89"/>
      <c r="N26" s="89"/>
    </row>
    <row r="27" spans="1:14" ht="19.5" customHeight="1" x14ac:dyDescent="0.2">
      <c r="A27" s="719" t="s">
        <v>404</v>
      </c>
      <c r="B27" s="719"/>
      <c r="C27" s="719"/>
      <c r="D27" s="720" t="s">
        <v>405</v>
      </c>
      <c r="E27" s="720"/>
      <c r="F27" s="721" t="s">
        <v>388</v>
      </c>
      <c r="G27" s="721"/>
      <c r="H27" s="721"/>
      <c r="I27" s="721"/>
      <c r="J27" s="89"/>
      <c r="K27" s="89"/>
      <c r="L27" s="89"/>
      <c r="M27" s="89"/>
      <c r="N27" s="89"/>
    </row>
    <row r="28" spans="1:14" ht="19.5" customHeight="1" x14ac:dyDescent="0.2">
      <c r="A28" s="435" t="s">
        <v>406</v>
      </c>
      <c r="B28" s="436"/>
      <c r="C28" s="436"/>
      <c r="D28" s="432">
        <f>Dados!$G$50</f>
        <v>0.03</v>
      </c>
      <c r="E28" s="416"/>
      <c r="F28" s="415">
        <f>ROUND((F25*D28),2)</f>
        <v>153.19</v>
      </c>
      <c r="G28" s="416">
        <f>ROUND(($G$25*$D$28),2)</f>
        <v>13.8</v>
      </c>
      <c r="H28" s="417">
        <f>ROUND((H25*D28),2)</f>
        <v>0</v>
      </c>
      <c r="I28" s="418">
        <f>ROUND((I25*D28),2)</f>
        <v>11.17</v>
      </c>
      <c r="J28" s="89"/>
      <c r="K28" s="89"/>
      <c r="L28" s="89"/>
      <c r="M28" s="89"/>
      <c r="N28" s="89"/>
    </row>
    <row r="29" spans="1:14" ht="19.5" customHeight="1" x14ac:dyDescent="0.2">
      <c r="A29" s="713" t="s">
        <v>407</v>
      </c>
      <c r="B29" s="713"/>
      <c r="C29" s="713"/>
      <c r="D29" s="432"/>
      <c r="E29" s="416"/>
      <c r="F29" s="415">
        <f>F25+F28</f>
        <v>5259.369999999999</v>
      </c>
      <c r="G29" s="416">
        <f>$G$28+$G$25</f>
        <v>473.86</v>
      </c>
      <c r="H29" s="417">
        <f>H25+H28</f>
        <v>0</v>
      </c>
      <c r="I29" s="418">
        <f>I25+I28</f>
        <v>383.57</v>
      </c>
      <c r="J29" s="89"/>
      <c r="K29" s="89"/>
      <c r="L29" s="89"/>
      <c r="M29" s="89"/>
      <c r="N29" s="89"/>
    </row>
    <row r="30" spans="1:14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16">
        <f>F25+F28</f>
        <v>5259.369999999999</v>
      </c>
      <c r="F30" s="415">
        <f>ROUND((E30*D30),2)</f>
        <v>357.11</v>
      </c>
      <c r="G30" s="416">
        <f>ROUND(($G$29*$D$30),2)</f>
        <v>32.18</v>
      </c>
      <c r="H30" s="417">
        <f>ROUND((H29*D30),2)</f>
        <v>0</v>
      </c>
      <c r="I30" s="418">
        <f>ROUND((I29*D30),2)</f>
        <v>26.04</v>
      </c>
      <c r="J30" s="89"/>
      <c r="K30" s="89"/>
      <c r="L30" s="89"/>
      <c r="M30" s="89"/>
      <c r="N30" s="89"/>
    </row>
    <row r="31" spans="1:14" ht="24.75" customHeight="1" x14ac:dyDescent="0.2">
      <c r="A31" s="438" t="s">
        <v>408</v>
      </c>
      <c r="B31" s="439"/>
      <c r="C31" s="439"/>
      <c r="D31" s="440">
        <f>SUM(D28:D30)</f>
        <v>9.7900000000000001E-2</v>
      </c>
      <c r="E31" s="427"/>
      <c r="F31" s="426">
        <f>F28+F30</f>
        <v>510.3</v>
      </c>
      <c r="G31" s="427">
        <f>$G$28+$G$30</f>
        <v>45.980000000000004</v>
      </c>
      <c r="H31" s="428">
        <f>H28+H30</f>
        <v>0</v>
      </c>
      <c r="I31" s="429">
        <f>I28+I30</f>
        <v>37.21</v>
      </c>
      <c r="J31" s="89"/>
      <c r="K31" s="89"/>
      <c r="L31" s="89"/>
      <c r="M31" s="89"/>
      <c r="N31" s="89"/>
    </row>
    <row r="32" spans="1:14" ht="24.75" customHeight="1" x14ac:dyDescent="0.2">
      <c r="A32" s="741" t="s">
        <v>409</v>
      </c>
      <c r="B32" s="741"/>
      <c r="C32" s="741"/>
      <c r="D32" s="741"/>
      <c r="E32" s="741"/>
      <c r="F32" s="426">
        <f>F14+F24+F31</f>
        <v>5616.48</v>
      </c>
      <c r="G32" s="427">
        <f>$G$14+$G$24+$G$31</f>
        <v>506.04</v>
      </c>
      <c r="H32" s="428">
        <f>H14+H24+H31</f>
        <v>0</v>
      </c>
      <c r="I32" s="429">
        <f>I14+I24+I31</f>
        <v>409.60999999999996</v>
      </c>
      <c r="J32" s="89"/>
      <c r="K32" s="89"/>
      <c r="L32" s="89"/>
      <c r="M32" s="89"/>
      <c r="N32" s="89"/>
    </row>
    <row r="33" spans="1:14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  <c r="M33" s="89"/>
      <c r="N33" s="89"/>
    </row>
    <row r="34" spans="1:14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ROUND((F39*D34),2)</f>
        <v>497.79</v>
      </c>
      <c r="G34" s="416">
        <f>ROUND(($G$39*$D$34),2)</f>
        <v>44.85</v>
      </c>
      <c r="H34" s="417">
        <f>ROUND((H39*D34),2)</f>
        <v>0</v>
      </c>
      <c r="I34" s="418">
        <f>ROUND((I39*D34),2)</f>
        <v>36.299999999999997</v>
      </c>
      <c r="J34" s="89"/>
      <c r="K34" s="89"/>
      <c r="L34" s="89"/>
      <c r="M34" s="89"/>
      <c r="N34" s="89"/>
    </row>
    <row r="35" spans="1:14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ROUND((F39*D35),2)</f>
        <v>108.07</v>
      </c>
      <c r="G35" s="416">
        <f>ROUND(($G$39*$D$35),2)</f>
        <v>9.74</v>
      </c>
      <c r="H35" s="417">
        <f>ROUND((H39*D35),2)</f>
        <v>0</v>
      </c>
      <c r="I35" s="418">
        <f>ROUND((I39*D35),2)</f>
        <v>7.88</v>
      </c>
      <c r="J35" s="89"/>
      <c r="K35" s="89"/>
      <c r="L35" s="89"/>
      <c r="M35" s="89"/>
      <c r="N35" s="89"/>
    </row>
    <row r="36" spans="1:14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ROUND((F39*D36),2)</f>
        <v>327.49</v>
      </c>
      <c r="G36" s="416">
        <f>ROUND(($G$39*$D$36),2)</f>
        <v>29.51</v>
      </c>
      <c r="H36" s="417">
        <f>ROUND((H39*D36),2)</f>
        <v>0</v>
      </c>
      <c r="I36" s="418">
        <f>ROUND((I39*D36),2)</f>
        <v>23.88</v>
      </c>
      <c r="J36" s="89"/>
      <c r="K36" s="89"/>
      <c r="L36" s="89"/>
      <c r="M36" s="89"/>
      <c r="N36" s="89"/>
    </row>
    <row r="37" spans="1:14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  <c r="M37" s="89"/>
      <c r="N37" s="89"/>
    </row>
    <row r="38" spans="1:14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933.35</v>
      </c>
      <c r="G38" s="426">
        <f>SUM(G34:G37)</f>
        <v>84.100000000000009</v>
      </c>
      <c r="H38" s="426">
        <f>SUM(H34:H37)</f>
        <v>0</v>
      </c>
      <c r="I38" s="445">
        <f>SUM(I34:I37)</f>
        <v>68.06</v>
      </c>
      <c r="J38" s="89"/>
      <c r="K38" s="89"/>
      <c r="L38" s="89"/>
      <c r="M38" s="89"/>
      <c r="N38" s="89"/>
    </row>
    <row r="39" spans="1:14" ht="34.5" hidden="1" customHeight="1" x14ac:dyDescent="0.2">
      <c r="A39" s="716" t="str">
        <f>A7</f>
        <v>Auxiliar Administrativo - Classe II - 200</v>
      </c>
      <c r="B39" s="716"/>
      <c r="C39" s="716"/>
      <c r="D39" s="716"/>
      <c r="E39" s="716"/>
      <c r="F39" s="446">
        <f>ROUND(F32/(1-D38),2)</f>
        <v>6549.83</v>
      </c>
      <c r="G39" s="447">
        <f>ROUND($G$32/(1-$D$38),2)</f>
        <v>590.13</v>
      </c>
      <c r="H39" s="448">
        <f>ROUND(H32/(1-D38),2)</f>
        <v>0</v>
      </c>
      <c r="I39" s="449">
        <f>ROUND(I32/(1-D38),2)</f>
        <v>477.68</v>
      </c>
      <c r="J39" s="89"/>
      <c r="K39" s="89"/>
      <c r="L39" s="89"/>
      <c r="M39" s="89"/>
      <c r="N39" s="89"/>
    </row>
    <row r="40" spans="1:14" ht="30" customHeight="1" x14ac:dyDescent="0.2">
      <c r="A40" s="742" t="str">
        <f>A7</f>
        <v>Auxiliar Administrativo - Classe II - 200</v>
      </c>
      <c r="B40" s="742"/>
      <c r="C40" s="742"/>
      <c r="D40" s="742"/>
      <c r="E40" s="742"/>
      <c r="F40" s="462">
        <f>F39</f>
        <v>6549.83</v>
      </c>
      <c r="G40" s="462">
        <f>$G$39</f>
        <v>590.13</v>
      </c>
      <c r="H40" s="462">
        <f>H39</f>
        <v>0</v>
      </c>
      <c r="I40" s="463">
        <f>I39</f>
        <v>477.68</v>
      </c>
      <c r="J40" s="89"/>
      <c r="K40" s="89"/>
      <c r="L40" s="89"/>
      <c r="M40" s="89"/>
      <c r="N40" s="89"/>
    </row>
    <row r="41" spans="1:14" ht="29.25" customHeight="1" x14ac:dyDescent="0.2">
      <c r="A41" s="740" t="s">
        <v>412</v>
      </c>
      <c r="B41" s="740"/>
      <c r="C41" s="740"/>
      <c r="D41" s="740"/>
      <c r="E41" s="740"/>
      <c r="F41" s="464">
        <f>($F$40/$F$12)/100</f>
        <v>2.8477521739130433E-2</v>
      </c>
      <c r="G41" s="465"/>
      <c r="H41" s="465"/>
      <c r="I41" s="466"/>
      <c r="J41" s="89"/>
      <c r="K41" s="89"/>
      <c r="L41" s="89"/>
      <c r="M41" s="89"/>
      <c r="N41" s="89"/>
    </row>
    <row r="42" spans="1:14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  <c r="M42" s="89"/>
      <c r="N42" s="89"/>
    </row>
    <row r="43" spans="1:14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  <c r="M43" s="89"/>
      <c r="N43" s="89"/>
    </row>
    <row r="44" spans="1:14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  <c r="M44" s="89"/>
      <c r="N44" s="89"/>
    </row>
    <row r="45" spans="1:14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  <c r="M45" s="89"/>
      <c r="N45" s="89"/>
    </row>
    <row r="46" spans="1:14" x14ac:dyDescent="0.2">
      <c r="A46" s="89"/>
      <c r="B46" s="89"/>
      <c r="C46" s="89"/>
      <c r="D46" s="89"/>
      <c r="E46" s="89"/>
      <c r="F46" s="458"/>
      <c r="G46" s="458"/>
      <c r="H46" s="458"/>
      <c r="I46" s="89"/>
      <c r="J46" s="89"/>
      <c r="K46" s="89"/>
      <c r="L46" s="89"/>
      <c r="M46" s="89"/>
      <c r="N46" s="89"/>
    </row>
    <row r="47" spans="1:14" x14ac:dyDescent="0.2">
      <c r="A47" s="89"/>
      <c r="B47" s="89"/>
      <c r="C47" s="89"/>
      <c r="D47" s="89"/>
      <c r="E47" s="89"/>
      <c r="F47" s="458"/>
      <c r="G47" s="458"/>
      <c r="H47" s="458"/>
      <c r="I47" s="89"/>
      <c r="J47" s="89"/>
      <c r="K47" s="89"/>
      <c r="L47" s="89"/>
      <c r="M47" s="89"/>
      <c r="N47" s="89"/>
    </row>
  </sheetData>
  <sheetProtection algorithmName="SHA-512" hashValue="jGgxEzB2csfF6Byxd5AhkYeIYKWxkq83tdYBK0sHFA6dfLY0KBcFOZLw5pO4vv7dp3J9maaap51clPc12SMNiw==" saltValue="vHFIIA4EPPixk2X8Uza7sw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1.1640625" customWidth="1"/>
    <col min="4" max="5" width="17.5" customWidth="1"/>
    <col min="6" max="8" width="17.83203125" style="398" customWidth="1"/>
    <col min="9" max="9" width="17.83203125" customWidth="1"/>
  </cols>
  <sheetData>
    <row r="1" spans="1:16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  <c r="M1" s="89"/>
      <c r="N1" s="89"/>
      <c r="O1" s="89"/>
      <c r="P1" s="89"/>
    </row>
    <row r="2" spans="1:16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  <c r="M2" s="89"/>
      <c r="N2" s="89"/>
      <c r="O2" s="89"/>
      <c r="P2" s="89"/>
    </row>
    <row r="3" spans="1:16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  <c r="M3" s="89"/>
      <c r="N3" s="89"/>
      <c r="O3" s="89"/>
      <c r="P3" s="89"/>
    </row>
    <row r="4" spans="1:16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  <c r="M4" s="89"/>
      <c r="N4" s="89"/>
      <c r="O4" s="89"/>
      <c r="P4" s="89"/>
    </row>
    <row r="5" spans="1:16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  <c r="M5" s="89"/>
      <c r="N5" s="89"/>
      <c r="O5" s="89"/>
      <c r="P5" s="89"/>
    </row>
    <row r="6" spans="1:16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  <c r="M6" s="89"/>
      <c r="N6" s="89"/>
      <c r="O6" s="89"/>
      <c r="P6" s="89"/>
    </row>
    <row r="7" spans="1:16" ht="30" customHeight="1" x14ac:dyDescent="0.2">
      <c r="A7" s="735" t="str">
        <f>Dados!$B$13&amp;" - "&amp;$D$10</f>
        <v>Auxiliar Administrativo - Classe III (Nível Superior) - 150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  <c r="M7" s="89"/>
      <c r="N7" s="89"/>
      <c r="O7" s="89"/>
      <c r="P7" s="89"/>
    </row>
    <row r="8" spans="1:16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  <c r="M8" s="89"/>
      <c r="N8" s="89"/>
      <c r="O8" s="89"/>
      <c r="P8" s="89"/>
    </row>
    <row r="9" spans="1:16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47" t="s">
        <v>388</v>
      </c>
      <c r="G9" s="747"/>
      <c r="H9" s="747"/>
      <c r="I9" s="747"/>
      <c r="J9" s="89"/>
      <c r="K9" s="89"/>
      <c r="L9" s="89"/>
      <c r="M9" s="89"/>
      <c r="N9" s="89"/>
      <c r="O9" s="89"/>
      <c r="P9" s="89"/>
    </row>
    <row r="10" spans="1:16" ht="29.25" customHeight="1" x14ac:dyDescent="0.2">
      <c r="A10" s="727">
        <v>1</v>
      </c>
      <c r="B10" s="728" t="str">
        <f>A7</f>
        <v>Auxiliar Administrativo - Classe III (Nível Superior) - 150</v>
      </c>
      <c r="C10" s="728"/>
      <c r="D10" s="459">
        <f>Dados!$C$13</f>
        <v>150</v>
      </c>
      <c r="E10" s="414">
        <f>Dados!$E$13</f>
        <v>3289</v>
      </c>
      <c r="F10" s="415">
        <f>ROUND(E10/220*D10,2)</f>
        <v>2242.5</v>
      </c>
      <c r="G10" s="416"/>
      <c r="H10" s="417"/>
      <c r="I10" s="418"/>
      <c r="J10" s="89"/>
      <c r="K10" s="89"/>
      <c r="L10" s="89"/>
      <c r="M10" s="89"/>
      <c r="N10" s="89"/>
      <c r="O10" s="89"/>
      <c r="P10" s="89"/>
    </row>
    <row r="11" spans="1:16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67"/>
      <c r="J11" s="89"/>
      <c r="K11" s="89"/>
      <c r="L11" s="89"/>
      <c r="M11" s="89"/>
      <c r="N11" s="89"/>
      <c r="O11" s="89"/>
      <c r="P11" s="89"/>
    </row>
    <row r="12" spans="1:16" ht="19.5" customHeight="1" x14ac:dyDescent="0.2">
      <c r="A12" s="727"/>
      <c r="B12" s="730" t="s">
        <v>389</v>
      </c>
      <c r="C12" s="730"/>
      <c r="D12" s="730"/>
      <c r="E12" s="730"/>
      <c r="F12" s="426">
        <f>F10+F11</f>
        <v>2242.5</v>
      </c>
      <c r="G12" s="427"/>
      <c r="H12" s="428"/>
      <c r="I12" s="429"/>
      <c r="J12" s="89"/>
      <c r="K12" s="89"/>
      <c r="L12" s="89"/>
      <c r="M12" s="89"/>
      <c r="N12" s="89"/>
      <c r="O12" s="89"/>
      <c r="P12" s="89"/>
    </row>
    <row r="13" spans="1:16" ht="19.5" customHeight="1" x14ac:dyDescent="0.2">
      <c r="A13" s="727"/>
      <c r="B13" s="731" t="s">
        <v>390</v>
      </c>
      <c r="C13" s="731"/>
      <c r="D13" s="731"/>
      <c r="E13" s="425">
        <f>Dados!G28</f>
        <v>0.79049999999999998</v>
      </c>
      <c r="F13" s="415">
        <f>(ROUND((E13*F12),2))</f>
        <v>1772.7</v>
      </c>
      <c r="G13" s="416"/>
      <c r="H13" s="417"/>
      <c r="I13" s="418"/>
      <c r="J13" s="89"/>
      <c r="K13" s="89"/>
      <c r="L13" s="89"/>
      <c r="M13" s="89"/>
      <c r="N13" s="89"/>
      <c r="O13" s="89"/>
      <c r="P13" s="89"/>
    </row>
    <row r="14" spans="1:16" ht="24.75" customHeight="1" x14ac:dyDescent="0.2">
      <c r="A14" s="714" t="s">
        <v>391</v>
      </c>
      <c r="B14" s="714"/>
      <c r="C14" s="714"/>
      <c r="D14" s="714"/>
      <c r="E14" s="714"/>
      <c r="F14" s="426">
        <f>ROUND(SUM(F12:F13),2)</f>
        <v>4015.2</v>
      </c>
      <c r="G14" s="427"/>
      <c r="H14" s="428"/>
      <c r="I14" s="429"/>
      <c r="J14" s="89"/>
      <c r="K14" s="89"/>
      <c r="L14" s="89"/>
      <c r="M14" s="89"/>
      <c r="N14" s="89"/>
      <c r="O14" s="89"/>
      <c r="P14" s="89"/>
    </row>
    <row r="15" spans="1:16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  <c r="M15" s="89"/>
      <c r="N15" s="89"/>
      <c r="O15" s="89"/>
      <c r="P15" s="89"/>
    </row>
    <row r="16" spans="1:16" ht="19.5" customHeight="1" x14ac:dyDescent="0.2">
      <c r="A16" s="723" t="s">
        <v>393</v>
      </c>
      <c r="B16" s="723"/>
      <c r="C16" s="430" t="s">
        <v>394</v>
      </c>
      <c r="D16" s="724" t="s">
        <v>395</v>
      </c>
      <c r="E16" s="724"/>
      <c r="F16" s="724"/>
      <c r="G16" s="724"/>
      <c r="H16" s="724"/>
      <c r="I16" s="724"/>
      <c r="J16" s="89"/>
      <c r="K16" s="89"/>
      <c r="L16" s="89"/>
      <c r="M16" s="89"/>
      <c r="N16" s="89"/>
      <c r="O16" s="89"/>
      <c r="P16" s="89"/>
    </row>
    <row r="17" spans="1:16" ht="19.5" customHeight="1" x14ac:dyDescent="0.2">
      <c r="A17" s="718" t="s">
        <v>396</v>
      </c>
      <c r="B17" s="718"/>
      <c r="C17" s="431"/>
      <c r="D17" s="432"/>
      <c r="E17" s="414"/>
      <c r="F17" s="415">
        <f>Dados!$I$13</f>
        <v>72.650000000000006</v>
      </c>
      <c r="G17" s="416"/>
      <c r="H17" s="417"/>
      <c r="I17" s="418"/>
      <c r="J17" s="89"/>
      <c r="K17" s="89"/>
      <c r="L17" s="89"/>
      <c r="M17" s="89"/>
      <c r="N17" s="89"/>
      <c r="O17" s="89"/>
      <c r="P17" s="89"/>
    </row>
    <row r="18" spans="1:16" ht="19.5" customHeight="1" x14ac:dyDescent="0.2">
      <c r="A18" s="718" t="s">
        <v>397</v>
      </c>
      <c r="B18" s="718"/>
      <c r="C18" s="431"/>
      <c r="D18" s="432"/>
      <c r="E18" s="433"/>
      <c r="F18" s="415">
        <f>Dados!$G$35</f>
        <v>2.2000000000000002</v>
      </c>
      <c r="G18" s="416"/>
      <c r="H18" s="417"/>
      <c r="I18" s="418"/>
      <c r="J18" s="89"/>
      <c r="K18" s="89"/>
      <c r="L18" s="89"/>
      <c r="M18" s="89"/>
      <c r="N18" s="89"/>
      <c r="O18" s="89"/>
      <c r="P18" s="89"/>
    </row>
    <row r="19" spans="1:16" ht="25.5" customHeight="1" x14ac:dyDescent="0.2">
      <c r="A19" s="722" t="s">
        <v>398</v>
      </c>
      <c r="B19" s="722"/>
      <c r="C19" s="431"/>
      <c r="D19" s="432"/>
      <c r="E19" s="305"/>
      <c r="F19" s="415">
        <f>Dados!$G$36</f>
        <v>80.72</v>
      </c>
      <c r="G19" s="416"/>
      <c r="H19" s="417"/>
      <c r="I19" s="418"/>
      <c r="J19" s="89"/>
      <c r="K19" s="89"/>
      <c r="L19" s="89"/>
      <c r="M19" s="89"/>
      <c r="N19" s="89"/>
      <c r="O19" s="89"/>
      <c r="P19" s="89"/>
    </row>
    <row r="20" spans="1:16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0</v>
      </c>
      <c r="G20" s="416">
        <f>F20</f>
        <v>0</v>
      </c>
      <c r="H20" s="417"/>
      <c r="I20" s="418"/>
      <c r="J20" s="89"/>
      <c r="K20" s="89"/>
      <c r="L20" s="89"/>
      <c r="M20" s="89"/>
      <c r="N20" s="89"/>
      <c r="O20" s="89"/>
      <c r="P20" s="89"/>
    </row>
    <row r="21" spans="1:16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375.85</v>
      </c>
      <c r="G21" s="416"/>
      <c r="H21" s="417"/>
      <c r="I21" s="418">
        <f>F21</f>
        <v>375.85</v>
      </c>
      <c r="J21" s="89"/>
      <c r="K21" s="89"/>
      <c r="L21" s="89"/>
      <c r="M21" s="89"/>
      <c r="N21" s="89"/>
      <c r="O21" s="89"/>
      <c r="P21" s="89"/>
    </row>
    <row r="22" spans="1:16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  <c r="L22" s="89"/>
      <c r="M22" s="89"/>
      <c r="N22" s="89"/>
      <c r="O22" s="89"/>
      <c r="P22" s="89"/>
    </row>
    <row r="23" spans="1:16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  <c r="L23" s="89"/>
      <c r="M23" s="89"/>
      <c r="N23" s="89"/>
      <c r="O23" s="89"/>
      <c r="P23" s="89"/>
    </row>
    <row r="24" spans="1:16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531.42000000000007</v>
      </c>
      <c r="G24" s="426">
        <f>SUM(G17:G23)</f>
        <v>0</v>
      </c>
      <c r="H24" s="428">
        <f>SUM($H$17:$H$23)</f>
        <v>0</v>
      </c>
      <c r="I24" s="429">
        <f>SUM($I$17:$I$23)</f>
        <v>375.85</v>
      </c>
      <c r="J24" s="89"/>
      <c r="K24" s="89"/>
      <c r="L24" s="89"/>
      <c r="M24" s="89"/>
      <c r="N24" s="89"/>
      <c r="O24" s="89"/>
      <c r="P24" s="89"/>
    </row>
    <row r="25" spans="1:16" ht="24.75" customHeight="1" x14ac:dyDescent="0.2">
      <c r="A25" s="714" t="s">
        <v>402</v>
      </c>
      <c r="B25" s="714"/>
      <c r="C25" s="714"/>
      <c r="D25" s="714"/>
      <c r="E25" s="714"/>
      <c r="F25" s="426">
        <f>$F$14+$F$24</f>
        <v>4546.62</v>
      </c>
      <c r="G25" s="426">
        <f>$G$14+$G$24</f>
        <v>0</v>
      </c>
      <c r="H25" s="428">
        <f>$H$14+$H$24</f>
        <v>0</v>
      </c>
      <c r="I25" s="429">
        <f>$I$14+$I$24</f>
        <v>375.85</v>
      </c>
      <c r="J25" s="89"/>
      <c r="K25" s="89"/>
      <c r="L25" s="89"/>
      <c r="M25" s="89"/>
      <c r="N25" s="89"/>
      <c r="O25" s="89"/>
      <c r="P25" s="89"/>
    </row>
    <row r="26" spans="1:16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/>
      <c r="I26" s="715"/>
      <c r="J26" s="89"/>
      <c r="K26" s="89"/>
      <c r="L26" s="89"/>
      <c r="M26" s="89"/>
      <c r="N26" s="89"/>
      <c r="O26" s="89"/>
      <c r="P26" s="89"/>
    </row>
    <row r="27" spans="1:16" ht="19.5" customHeight="1" x14ac:dyDescent="0.2">
      <c r="A27" s="719" t="s">
        <v>404</v>
      </c>
      <c r="B27" s="719"/>
      <c r="C27" s="719"/>
      <c r="D27" s="746" t="s">
        <v>405</v>
      </c>
      <c r="E27" s="746"/>
      <c r="F27" s="721" t="s">
        <v>388</v>
      </c>
      <c r="G27" s="721"/>
      <c r="H27" s="721"/>
      <c r="I27" s="721"/>
      <c r="J27" s="89"/>
      <c r="K27" s="89"/>
      <c r="L27" s="89"/>
      <c r="M27" s="89"/>
      <c r="N27" s="89"/>
      <c r="O27" s="89"/>
      <c r="P27" s="89"/>
    </row>
    <row r="28" spans="1:16" ht="19.5" customHeight="1" x14ac:dyDescent="0.2">
      <c r="A28" s="435" t="s">
        <v>406</v>
      </c>
      <c r="B28" s="436"/>
      <c r="C28" s="436"/>
      <c r="D28" s="432">
        <f>Dados!$G$50</f>
        <v>0.03</v>
      </c>
      <c r="E28" s="437"/>
      <c r="F28" s="415">
        <f>ROUND(($F$25*$D$28),2)</f>
        <v>136.4</v>
      </c>
      <c r="G28" s="416">
        <f>ROUND(($G$25*$D$28),2)</f>
        <v>0</v>
      </c>
      <c r="H28" s="417">
        <f>ROUND((H25*D28),2)</f>
        <v>0</v>
      </c>
      <c r="I28" s="418">
        <f>ROUND(($I$25*$D$28),2)</f>
        <v>11.28</v>
      </c>
      <c r="J28" s="89"/>
      <c r="K28" s="89"/>
      <c r="L28" s="89"/>
      <c r="M28" s="89"/>
      <c r="N28" s="89"/>
      <c r="O28" s="89"/>
      <c r="P28" s="89"/>
    </row>
    <row r="29" spans="1:16" ht="19.5" customHeight="1" x14ac:dyDescent="0.2">
      <c r="A29" s="713" t="s">
        <v>407</v>
      </c>
      <c r="B29" s="713"/>
      <c r="C29" s="713"/>
      <c r="D29" s="432"/>
      <c r="E29" s="437"/>
      <c r="F29" s="415">
        <f>$F$25+$F$28</f>
        <v>4683.0199999999995</v>
      </c>
      <c r="G29" s="416">
        <f>$G$28+$G$25</f>
        <v>0</v>
      </c>
      <c r="H29" s="417">
        <f>H25+H28</f>
        <v>0</v>
      </c>
      <c r="I29" s="418">
        <f>$I$25+$I$28</f>
        <v>387.13</v>
      </c>
      <c r="J29" s="89"/>
      <c r="K29" s="89"/>
      <c r="L29" s="89"/>
      <c r="M29" s="89"/>
      <c r="N29" s="89"/>
      <c r="O29" s="89"/>
      <c r="P29" s="89"/>
    </row>
    <row r="30" spans="1:16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37">
        <f>$F$25+$F$28</f>
        <v>4683.0199999999995</v>
      </c>
      <c r="F30" s="415">
        <f>ROUND(($E$30*$D$30),2)</f>
        <v>317.98</v>
      </c>
      <c r="G30" s="416">
        <f>ROUND(($G$29*$D$30),2)</f>
        <v>0</v>
      </c>
      <c r="H30" s="417">
        <f>ROUND((H29*D30),2)</f>
        <v>0</v>
      </c>
      <c r="I30" s="418">
        <f>ROUND(($I$29*$D$30),2)</f>
        <v>26.29</v>
      </c>
      <c r="J30" s="89"/>
      <c r="K30" s="89"/>
      <c r="L30" s="89"/>
      <c r="M30" s="89"/>
      <c r="N30" s="89"/>
      <c r="O30" s="89"/>
      <c r="P30" s="89"/>
    </row>
    <row r="31" spans="1:16" ht="24.75" customHeight="1" x14ac:dyDescent="0.2">
      <c r="A31" s="438" t="s">
        <v>408</v>
      </c>
      <c r="B31" s="439"/>
      <c r="C31" s="439"/>
      <c r="D31" s="440">
        <f>SUM($D$28:$D$30)</f>
        <v>9.7900000000000001E-2</v>
      </c>
      <c r="E31" s="441"/>
      <c r="F31" s="426">
        <f>$F$28+$F$30</f>
        <v>454.38</v>
      </c>
      <c r="G31" s="427">
        <f>$G$28+$G$30</f>
        <v>0</v>
      </c>
      <c r="H31" s="428">
        <f>H28+H30</f>
        <v>0</v>
      </c>
      <c r="I31" s="429">
        <f>$I$28+$I$30</f>
        <v>37.57</v>
      </c>
      <c r="J31" s="89"/>
      <c r="K31" s="89"/>
      <c r="L31" s="89"/>
      <c r="M31" s="89"/>
      <c r="N31" s="89"/>
      <c r="O31" s="89"/>
      <c r="P31" s="89"/>
    </row>
    <row r="32" spans="1:16" ht="24.75" customHeight="1" x14ac:dyDescent="0.2">
      <c r="A32" s="714" t="s">
        <v>409</v>
      </c>
      <c r="B32" s="714"/>
      <c r="C32" s="714"/>
      <c r="D32" s="714"/>
      <c r="E32" s="714"/>
      <c r="F32" s="426">
        <f>$F$14+$F$24+$F$31</f>
        <v>5001</v>
      </c>
      <c r="G32" s="427">
        <f>$G$14+$G$24+$G$31</f>
        <v>0</v>
      </c>
      <c r="H32" s="428">
        <f>H14+H24+H31</f>
        <v>0</v>
      </c>
      <c r="I32" s="429">
        <f>$I$14+$I$24+$I$31</f>
        <v>413.42</v>
      </c>
      <c r="J32" s="89"/>
      <c r="K32" s="89"/>
      <c r="L32" s="89"/>
      <c r="M32" s="89"/>
      <c r="N32" s="89"/>
      <c r="O32" s="89"/>
      <c r="P32" s="89"/>
    </row>
    <row r="33" spans="1:16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  <c r="M33" s="89"/>
      <c r="N33" s="89"/>
      <c r="O33" s="89"/>
      <c r="P33" s="89"/>
    </row>
    <row r="34" spans="1:16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ROUND(($F$39*$D$34),2)</f>
        <v>443.24</v>
      </c>
      <c r="G34" s="416">
        <f>ROUND(($G$39*$D$34),2)</f>
        <v>0</v>
      </c>
      <c r="H34" s="417">
        <f>ROUND(($H$39*$D$34),2)</f>
        <v>0</v>
      </c>
      <c r="I34" s="418">
        <f>ROUND(($I$39*$D$34),2)</f>
        <v>36.64</v>
      </c>
      <c r="J34" s="89"/>
      <c r="K34" s="89"/>
      <c r="L34" s="89"/>
      <c r="M34" s="89"/>
      <c r="N34" s="89"/>
      <c r="O34" s="89"/>
      <c r="P34" s="89"/>
    </row>
    <row r="35" spans="1:16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ROUND(($F$39*$D$35),2)</f>
        <v>96.23</v>
      </c>
      <c r="G35" s="416">
        <f>ROUND(($G$39*$D$35),2)</f>
        <v>0</v>
      </c>
      <c r="H35" s="417">
        <f>ROUND(($H$39*$D$35),2)</f>
        <v>0</v>
      </c>
      <c r="I35" s="418">
        <f>ROUND(($I$39*$D$35),2)</f>
        <v>7.95</v>
      </c>
      <c r="J35" s="89"/>
      <c r="K35" s="89"/>
      <c r="L35" s="89"/>
      <c r="M35" s="89"/>
      <c r="N35" s="89"/>
      <c r="O35" s="89"/>
      <c r="P35" s="89"/>
    </row>
    <row r="36" spans="1:16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ROUND(($F$39*$D$36),2)</f>
        <v>291.60000000000002</v>
      </c>
      <c r="G36" s="416">
        <f>ROUND(($G$39*$D$36),2)</f>
        <v>0</v>
      </c>
      <c r="H36" s="417">
        <f>ROUND(($H$39*$D$36),2)</f>
        <v>0</v>
      </c>
      <c r="I36" s="418">
        <f>ROUND(($I$39*$D$36),2)</f>
        <v>24.11</v>
      </c>
      <c r="J36" s="89"/>
      <c r="K36" s="89"/>
      <c r="L36" s="89"/>
      <c r="M36" s="89"/>
      <c r="N36" s="89"/>
      <c r="O36" s="89"/>
      <c r="P36" s="89"/>
    </row>
    <row r="37" spans="1:16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  <c r="M37" s="89"/>
      <c r="N37" s="89"/>
      <c r="O37" s="89"/>
      <c r="P37" s="89"/>
    </row>
    <row r="38" spans="1:16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831.07</v>
      </c>
      <c r="G38" s="426">
        <f>SUM(G34:G37)</f>
        <v>0</v>
      </c>
      <c r="H38" s="426">
        <f>SUM(H34:H37)</f>
        <v>0</v>
      </c>
      <c r="I38" s="445">
        <f>SUM(I34:I37)</f>
        <v>68.7</v>
      </c>
      <c r="J38" s="89"/>
      <c r="K38" s="89"/>
      <c r="L38" s="89"/>
      <c r="M38" s="89"/>
      <c r="N38" s="89"/>
      <c r="O38" s="89"/>
      <c r="P38" s="89"/>
    </row>
    <row r="39" spans="1:16" ht="34.5" hidden="1" customHeight="1" x14ac:dyDescent="0.2">
      <c r="A39" s="716" t="str">
        <f>A7</f>
        <v>Auxiliar Administrativo - Classe III (Nível Superior) - 150</v>
      </c>
      <c r="B39" s="716"/>
      <c r="C39" s="716"/>
      <c r="D39" s="716"/>
      <c r="E39" s="716"/>
      <c r="F39" s="446">
        <f>ROUND($F$32/(1-$D$38),2)</f>
        <v>5832.07</v>
      </c>
      <c r="G39" s="447">
        <f>ROUND($G$32/(1-$D$38),2)</f>
        <v>0</v>
      </c>
      <c r="H39" s="448">
        <f>ROUND($H$32/(1-$D$38),2)</f>
        <v>0</v>
      </c>
      <c r="I39" s="449">
        <f>ROUND($I$32/(1-$D$38),2)</f>
        <v>482.12</v>
      </c>
      <c r="J39" s="89"/>
      <c r="K39" s="89"/>
      <c r="L39" s="89"/>
      <c r="M39" s="89"/>
      <c r="N39" s="89"/>
      <c r="O39" s="89"/>
      <c r="P39" s="89"/>
    </row>
    <row r="40" spans="1:16" ht="30" customHeight="1" x14ac:dyDescent="0.2">
      <c r="A40" s="745" t="str">
        <f>A7</f>
        <v>Auxiliar Administrativo - Classe III (Nível Superior) - 150</v>
      </c>
      <c r="B40" s="745"/>
      <c r="C40" s="745"/>
      <c r="D40" s="745"/>
      <c r="E40" s="745"/>
      <c r="F40" s="468">
        <f>$F$39</f>
        <v>5832.07</v>
      </c>
      <c r="G40" s="469">
        <f>$G$39</f>
        <v>0</v>
      </c>
      <c r="H40" s="462">
        <f>$H$39</f>
        <v>0</v>
      </c>
      <c r="I40" s="463">
        <f>$I$39</f>
        <v>482.12</v>
      </c>
      <c r="J40" s="89"/>
      <c r="K40" s="89"/>
      <c r="L40" s="89"/>
      <c r="M40" s="89"/>
      <c r="N40" s="89"/>
      <c r="O40" s="89"/>
      <c r="P40" s="89"/>
    </row>
    <row r="41" spans="1:16" ht="29.25" customHeight="1" x14ac:dyDescent="0.2">
      <c r="A41" s="744" t="s">
        <v>412</v>
      </c>
      <c r="B41" s="744"/>
      <c r="C41" s="744"/>
      <c r="D41" s="744"/>
      <c r="E41" s="744"/>
      <c r="F41" s="470">
        <f>($F$40/$F$12)/100</f>
        <v>2.6007001114827202E-2</v>
      </c>
      <c r="G41" s="471"/>
      <c r="H41" s="465"/>
      <c r="I41" s="466"/>
      <c r="J41" s="89"/>
      <c r="K41" s="89"/>
      <c r="L41" s="89"/>
      <c r="M41" s="89"/>
      <c r="N41" s="89"/>
      <c r="O41" s="89"/>
      <c r="P41" s="89"/>
    </row>
    <row r="42" spans="1:16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  <c r="M42" s="89"/>
      <c r="N42" s="89"/>
      <c r="O42" s="89"/>
      <c r="P42" s="89"/>
    </row>
    <row r="43" spans="1:16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  <c r="M43" s="89"/>
      <c r="N43" s="89"/>
      <c r="O43" s="89"/>
      <c r="P43" s="89"/>
    </row>
    <row r="44" spans="1:16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  <c r="M44" s="89"/>
      <c r="N44" s="89"/>
      <c r="O44" s="89"/>
      <c r="P44" s="89"/>
    </row>
  </sheetData>
  <sheetProtection algorithmName="SHA-512" hashValue="KDOqTq12Hs6+Imx+mRNmEncHd39KU/C5Yv6IOu/EIU7Lh07C4ttSEBYdXhBx2hfykf/WFKv1sNbtS/WRou8KwA==" saltValue="fk51MKDsuZebSWpCbBU2Gw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1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0.33203125" customWidth="1"/>
    <col min="4" max="5" width="17.5" customWidth="1"/>
    <col min="6" max="8" width="17.83203125" style="398" customWidth="1"/>
    <col min="9" max="9" width="17.83203125" customWidth="1"/>
  </cols>
  <sheetData>
    <row r="1" spans="1:15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  <c r="M1" s="89"/>
      <c r="N1" s="89"/>
      <c r="O1" s="89"/>
    </row>
    <row r="2" spans="1:15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  <c r="M2" s="89"/>
      <c r="N2" s="89"/>
      <c r="O2" s="89"/>
    </row>
    <row r="3" spans="1:15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  <c r="M3" s="89"/>
      <c r="N3" s="89"/>
      <c r="O3" s="89"/>
    </row>
    <row r="4" spans="1:15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  <c r="M4" s="89"/>
      <c r="N4" s="89"/>
      <c r="O4" s="89"/>
    </row>
    <row r="5" spans="1:15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  <c r="M5" s="89"/>
      <c r="N5" s="89"/>
      <c r="O5" s="89"/>
    </row>
    <row r="6" spans="1:15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  <c r="M6" s="89"/>
      <c r="N6" s="89"/>
      <c r="O6" s="89"/>
    </row>
    <row r="7" spans="1:15" ht="30" customHeight="1" x14ac:dyDescent="0.2">
      <c r="A7" s="735" t="str">
        <f>Dados!B15&amp;" - "&amp;D10</f>
        <v>Assistente de Apoio Financeiro (Nível Superior) - 200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  <c r="M7" s="89"/>
      <c r="N7" s="89"/>
      <c r="O7" s="89"/>
    </row>
    <row r="8" spans="1:15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  <c r="M8" s="89"/>
      <c r="N8" s="89"/>
      <c r="O8" s="89"/>
    </row>
    <row r="9" spans="1:15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26" t="s">
        <v>388</v>
      </c>
      <c r="G9" s="726"/>
      <c r="H9" s="726"/>
      <c r="I9" s="726"/>
      <c r="J9" s="89"/>
      <c r="K9" s="89"/>
      <c r="L9" s="89"/>
      <c r="M9" s="89"/>
      <c r="N9" s="89"/>
      <c r="O9" s="89"/>
    </row>
    <row r="10" spans="1:15" ht="26.25" customHeight="1" x14ac:dyDescent="0.2">
      <c r="A10" s="727">
        <v>1</v>
      </c>
      <c r="B10" s="728" t="str">
        <f>A7</f>
        <v>Assistente de Apoio Financeiro (Nível Superior) - 200</v>
      </c>
      <c r="C10" s="728"/>
      <c r="D10" s="459">
        <f>Dados!C15</f>
        <v>200</v>
      </c>
      <c r="E10" s="414">
        <f>Dados!$E15</f>
        <v>5362.5</v>
      </c>
      <c r="F10" s="415">
        <f>ROUND(E10/220*D10,2)</f>
        <v>4875</v>
      </c>
      <c r="G10" s="416"/>
      <c r="H10" s="417"/>
      <c r="I10" s="418"/>
      <c r="J10" s="89"/>
      <c r="K10" s="89"/>
      <c r="L10" s="89"/>
      <c r="M10" s="89"/>
      <c r="N10" s="89"/>
      <c r="O10" s="89"/>
    </row>
    <row r="11" spans="1:15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18"/>
      <c r="J11" s="89"/>
      <c r="K11" s="89"/>
      <c r="L11" s="89"/>
      <c r="M11" s="89"/>
      <c r="N11" s="89"/>
      <c r="O11" s="89"/>
    </row>
    <row r="12" spans="1:15" ht="19.5" customHeight="1" x14ac:dyDescent="0.2">
      <c r="A12" s="727"/>
      <c r="B12" s="743" t="s">
        <v>389</v>
      </c>
      <c r="C12" s="743"/>
      <c r="D12" s="743"/>
      <c r="E12" s="743"/>
      <c r="F12" s="426">
        <f>F10+F11</f>
        <v>4875</v>
      </c>
      <c r="G12" s="422"/>
      <c r="H12" s="423"/>
      <c r="I12" s="424"/>
      <c r="J12" s="89"/>
      <c r="K12" s="89"/>
      <c r="L12" s="89"/>
      <c r="M12" s="89"/>
      <c r="N12" s="89"/>
      <c r="O12" s="89"/>
    </row>
    <row r="13" spans="1:15" ht="19.5" customHeight="1" x14ac:dyDescent="0.2">
      <c r="A13" s="727"/>
      <c r="B13" s="731" t="s">
        <v>390</v>
      </c>
      <c r="C13" s="731"/>
      <c r="D13" s="731"/>
      <c r="E13" s="461">
        <f>Dados!G28</f>
        <v>0.79049999999999998</v>
      </c>
      <c r="F13" s="415">
        <f>(ROUND((E13*F12),2))</f>
        <v>3853.69</v>
      </c>
      <c r="G13" s="416"/>
      <c r="H13" s="417"/>
      <c r="I13" s="418"/>
      <c r="J13" s="89"/>
      <c r="K13" s="89"/>
      <c r="L13" s="89"/>
      <c r="M13" s="89"/>
      <c r="N13" s="89"/>
      <c r="O13" s="89"/>
    </row>
    <row r="14" spans="1:15" ht="24.75" customHeight="1" x14ac:dyDescent="0.2">
      <c r="A14" s="741" t="s">
        <v>391</v>
      </c>
      <c r="B14" s="741"/>
      <c r="C14" s="741"/>
      <c r="D14" s="741"/>
      <c r="E14" s="741"/>
      <c r="F14" s="426">
        <f>ROUND(SUM(F12:F13),2)</f>
        <v>8728.69</v>
      </c>
      <c r="G14" s="427"/>
      <c r="H14" s="428"/>
      <c r="I14" s="429"/>
      <c r="J14" s="89"/>
      <c r="K14" s="89"/>
      <c r="L14" s="89"/>
      <c r="M14" s="89"/>
      <c r="N14" s="89"/>
      <c r="O14" s="89"/>
    </row>
    <row r="15" spans="1:15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  <c r="M15" s="89"/>
      <c r="N15" s="89"/>
      <c r="O15" s="89"/>
    </row>
    <row r="16" spans="1:15" ht="19.5" customHeight="1" x14ac:dyDescent="0.2">
      <c r="A16" s="723" t="s">
        <v>393</v>
      </c>
      <c r="B16" s="723"/>
      <c r="C16" s="430" t="s">
        <v>394</v>
      </c>
      <c r="D16" s="724" t="s">
        <v>388</v>
      </c>
      <c r="E16" s="724"/>
      <c r="F16" s="724"/>
      <c r="G16" s="724"/>
      <c r="H16" s="724"/>
      <c r="I16" s="724"/>
      <c r="J16" s="89"/>
      <c r="K16" s="89"/>
      <c r="L16" s="89"/>
      <c r="M16" s="89"/>
      <c r="N16" s="89"/>
      <c r="O16" s="89"/>
    </row>
    <row r="17" spans="1:15" ht="19.5" customHeight="1" x14ac:dyDescent="0.2">
      <c r="A17" s="718" t="s">
        <v>396</v>
      </c>
      <c r="B17" s="718"/>
      <c r="C17" s="431"/>
      <c r="D17" s="432"/>
      <c r="E17" s="414"/>
      <c r="F17" s="415">
        <f>Dados!I15</f>
        <v>74.23</v>
      </c>
      <c r="G17" s="416"/>
      <c r="H17" s="417"/>
      <c r="I17" s="418"/>
      <c r="J17" s="89"/>
      <c r="K17" s="89"/>
      <c r="L17" s="89"/>
      <c r="M17" s="89"/>
      <c r="N17" s="89"/>
      <c r="O17" s="89"/>
    </row>
    <row r="18" spans="1:15" ht="19.5" customHeight="1" x14ac:dyDescent="0.2">
      <c r="A18" s="718" t="s">
        <v>397</v>
      </c>
      <c r="B18" s="718"/>
      <c r="C18" s="431"/>
      <c r="D18" s="432"/>
      <c r="E18" s="433"/>
      <c r="F18" s="415">
        <f>Dados!G35</f>
        <v>2.2000000000000002</v>
      </c>
      <c r="G18" s="416"/>
      <c r="H18" s="417"/>
      <c r="I18" s="418"/>
      <c r="J18" s="89"/>
      <c r="K18" s="89"/>
      <c r="L18" s="89"/>
      <c r="M18" s="89"/>
      <c r="N18" s="89"/>
      <c r="O18" s="89"/>
    </row>
    <row r="19" spans="1:15" ht="25.5" customHeight="1" x14ac:dyDescent="0.2">
      <c r="A19" s="722" t="s">
        <v>398</v>
      </c>
      <c r="B19" s="722"/>
      <c r="C19" s="431"/>
      <c r="D19" s="432"/>
      <c r="E19" s="305"/>
      <c r="F19" s="415">
        <f>Dados!G36</f>
        <v>80.72</v>
      </c>
      <c r="G19" s="416"/>
      <c r="H19" s="417"/>
      <c r="I19" s="418"/>
      <c r="J19" s="89"/>
      <c r="K19" s="89"/>
      <c r="L19" s="89"/>
      <c r="M19" s="89"/>
      <c r="N19" s="89"/>
      <c r="O19" s="89"/>
    </row>
    <row r="20" spans="1:15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460.06</v>
      </c>
      <c r="G20" s="416">
        <f>F20</f>
        <v>460.06</v>
      </c>
      <c r="H20" s="417"/>
      <c r="I20" s="418"/>
      <c r="J20" s="89"/>
      <c r="K20" s="89"/>
      <c r="L20" s="89"/>
      <c r="M20" s="89"/>
      <c r="N20" s="89"/>
      <c r="O20" s="89"/>
    </row>
    <row r="21" spans="1:15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217.9</v>
      </c>
      <c r="G21" s="416"/>
      <c r="H21" s="417"/>
      <c r="I21" s="418">
        <f>F21</f>
        <v>217.9</v>
      </c>
      <c r="J21" s="89"/>
      <c r="K21" s="89"/>
      <c r="L21" s="89"/>
      <c r="M21" s="89"/>
      <c r="N21" s="89"/>
      <c r="O21" s="89"/>
    </row>
    <row r="22" spans="1:15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  <c r="L22" s="89"/>
      <c r="M22" s="89"/>
      <c r="N22" s="89"/>
      <c r="O22" s="89"/>
    </row>
    <row r="23" spans="1:15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  <c r="L23" s="89"/>
      <c r="M23" s="89"/>
      <c r="N23" s="89"/>
      <c r="O23" s="89"/>
    </row>
    <row r="24" spans="1:15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835.11</v>
      </c>
      <c r="G24" s="426">
        <f>SUM(G17:G23)</f>
        <v>460.06</v>
      </c>
      <c r="H24" s="428">
        <f>SUM($H$17:$H$23)</f>
        <v>0</v>
      </c>
      <c r="I24" s="429">
        <f>SUM($I$17:$I$23)</f>
        <v>217.9</v>
      </c>
      <c r="J24" s="89"/>
      <c r="K24" s="89"/>
      <c r="L24" s="89"/>
      <c r="M24" s="89"/>
      <c r="N24" s="89"/>
      <c r="O24" s="89"/>
    </row>
    <row r="25" spans="1:15" ht="24.75" customHeight="1" x14ac:dyDescent="0.2">
      <c r="A25" s="714" t="s">
        <v>402</v>
      </c>
      <c r="B25" s="714"/>
      <c r="C25" s="714"/>
      <c r="D25" s="714"/>
      <c r="E25" s="714"/>
      <c r="F25" s="426">
        <f>F14+F24</f>
        <v>9563.8000000000011</v>
      </c>
      <c r="G25" s="426">
        <f>$G$14+$G$24</f>
        <v>460.06</v>
      </c>
      <c r="H25" s="428">
        <f>$H$14+$H$24</f>
        <v>0</v>
      </c>
      <c r="I25" s="429">
        <f>$I$14+$I$24</f>
        <v>217.9</v>
      </c>
      <c r="J25" s="89"/>
      <c r="K25" s="89"/>
      <c r="L25" s="89"/>
      <c r="M25" s="89"/>
      <c r="N25" s="89"/>
      <c r="O25" s="89"/>
    </row>
    <row r="26" spans="1:15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>
        <f>SUM($H$17:$H$25)</f>
        <v>0</v>
      </c>
      <c r="I26" s="715">
        <f>SUM($I$17:$I$25)</f>
        <v>653.70000000000005</v>
      </c>
      <c r="J26" s="89"/>
      <c r="K26" s="89"/>
      <c r="L26" s="89"/>
      <c r="M26" s="89"/>
      <c r="N26" s="89"/>
      <c r="O26" s="89"/>
    </row>
    <row r="27" spans="1:15" ht="19.5" customHeight="1" x14ac:dyDescent="0.2">
      <c r="A27" s="719" t="s">
        <v>404</v>
      </c>
      <c r="B27" s="719"/>
      <c r="C27" s="719"/>
      <c r="D27" s="720" t="s">
        <v>405</v>
      </c>
      <c r="E27" s="720"/>
      <c r="F27" s="721" t="s">
        <v>388</v>
      </c>
      <c r="G27" s="721"/>
      <c r="H27" s="721"/>
      <c r="I27" s="721"/>
      <c r="J27" s="89"/>
      <c r="K27" s="89"/>
      <c r="L27" s="89"/>
      <c r="M27" s="89"/>
      <c r="N27" s="89"/>
      <c r="O27" s="89"/>
    </row>
    <row r="28" spans="1:15" ht="19.5" customHeight="1" x14ac:dyDescent="0.2">
      <c r="A28" s="435" t="s">
        <v>406</v>
      </c>
      <c r="B28" s="436"/>
      <c r="C28" s="436"/>
      <c r="D28" s="432">
        <f>Dados!$G$50</f>
        <v>0.03</v>
      </c>
      <c r="E28" s="416"/>
      <c r="F28" s="415">
        <f>ROUND((F25*D28),2)</f>
        <v>286.91000000000003</v>
      </c>
      <c r="G28" s="416">
        <f>ROUND(($G$25*$D$28),2)</f>
        <v>13.8</v>
      </c>
      <c r="H28" s="417">
        <f>ROUND((H25*D28),2)</f>
        <v>0</v>
      </c>
      <c r="I28" s="418">
        <f>ROUND((I25*D28),2)</f>
        <v>6.54</v>
      </c>
      <c r="J28" s="89"/>
      <c r="K28" s="89"/>
      <c r="L28" s="89"/>
      <c r="M28" s="89"/>
      <c r="N28" s="89"/>
      <c r="O28" s="89"/>
    </row>
    <row r="29" spans="1:15" ht="19.5" customHeight="1" x14ac:dyDescent="0.2">
      <c r="A29" s="713" t="s">
        <v>407</v>
      </c>
      <c r="B29" s="713"/>
      <c r="C29" s="713"/>
      <c r="D29" s="432"/>
      <c r="E29" s="416"/>
      <c r="F29" s="415">
        <f>F25+F28</f>
        <v>9850.7100000000009</v>
      </c>
      <c r="G29" s="416">
        <f>$G$28+$G$25</f>
        <v>473.86</v>
      </c>
      <c r="H29" s="417">
        <f>H25+H28</f>
        <v>0</v>
      </c>
      <c r="I29" s="418">
        <f>I25+I28</f>
        <v>224.44</v>
      </c>
      <c r="J29" s="89"/>
      <c r="K29" s="89"/>
      <c r="L29" s="89"/>
      <c r="M29" s="89"/>
      <c r="N29" s="89"/>
      <c r="O29" s="89"/>
    </row>
    <row r="30" spans="1:15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16">
        <f>F25+F28</f>
        <v>9850.7100000000009</v>
      </c>
      <c r="F30" s="415">
        <f>ROUND((E30*D30),2)</f>
        <v>668.86</v>
      </c>
      <c r="G30" s="416">
        <f>ROUND(($G$29*$D$30),2)</f>
        <v>32.18</v>
      </c>
      <c r="H30" s="417">
        <f>ROUND((H29*D30),2)</f>
        <v>0</v>
      </c>
      <c r="I30" s="418">
        <f>ROUND((I29*D30),2)</f>
        <v>15.24</v>
      </c>
      <c r="J30" s="89"/>
      <c r="K30" s="89"/>
      <c r="L30" s="89"/>
      <c r="M30" s="89"/>
      <c r="N30" s="89"/>
      <c r="O30" s="89"/>
    </row>
    <row r="31" spans="1:15" ht="24.75" customHeight="1" x14ac:dyDescent="0.2">
      <c r="A31" s="438" t="s">
        <v>408</v>
      </c>
      <c r="B31" s="439"/>
      <c r="C31" s="439"/>
      <c r="D31" s="440">
        <f>SUM(D28:D30)</f>
        <v>9.7900000000000001E-2</v>
      </c>
      <c r="E31" s="427"/>
      <c r="F31" s="426">
        <f>F28+F30</f>
        <v>955.77</v>
      </c>
      <c r="G31" s="427">
        <f>$G$28+$G$30</f>
        <v>45.980000000000004</v>
      </c>
      <c r="H31" s="428">
        <f>H28+H30</f>
        <v>0</v>
      </c>
      <c r="I31" s="429">
        <f>I28+I30</f>
        <v>21.78</v>
      </c>
      <c r="J31" s="89"/>
      <c r="K31" s="89"/>
      <c r="L31" s="89"/>
      <c r="M31" s="89"/>
      <c r="N31" s="89"/>
      <c r="O31" s="89"/>
    </row>
    <row r="32" spans="1:15" ht="24.75" customHeight="1" x14ac:dyDescent="0.2">
      <c r="A32" s="741" t="s">
        <v>409</v>
      </c>
      <c r="B32" s="741"/>
      <c r="C32" s="741"/>
      <c r="D32" s="741"/>
      <c r="E32" s="741"/>
      <c r="F32" s="426">
        <f>F14+F24+F31</f>
        <v>10519.570000000002</v>
      </c>
      <c r="G32" s="427">
        <f>$G$14+$G$24+$G$31</f>
        <v>506.04</v>
      </c>
      <c r="H32" s="428">
        <f>H14+H24+H31</f>
        <v>0</v>
      </c>
      <c r="I32" s="429">
        <f>I14+I24+I31</f>
        <v>239.68</v>
      </c>
      <c r="J32" s="89"/>
      <c r="K32" s="89"/>
      <c r="L32" s="89"/>
      <c r="M32" s="89"/>
      <c r="N32" s="89"/>
      <c r="O32" s="89"/>
    </row>
    <row r="33" spans="1:15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  <c r="M33" s="89"/>
      <c r="N33" s="89"/>
      <c r="O33" s="89"/>
    </row>
    <row r="34" spans="1:15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ROUND((F39*D34),2)</f>
        <v>932.35</v>
      </c>
      <c r="G34" s="416">
        <f>ROUND(($G$39*$D$34),2)</f>
        <v>44.85</v>
      </c>
      <c r="H34" s="417">
        <f>ROUND((H39*D34),2)</f>
        <v>0</v>
      </c>
      <c r="I34" s="418">
        <f>ROUND((I39*D34),2)</f>
        <v>21.24</v>
      </c>
      <c r="J34" s="89"/>
      <c r="K34" s="89"/>
      <c r="L34" s="89"/>
      <c r="M34" s="89"/>
      <c r="N34" s="89"/>
      <c r="O34" s="89"/>
    </row>
    <row r="35" spans="1:15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ROUND((F39*D35),2)</f>
        <v>202.42</v>
      </c>
      <c r="G35" s="416">
        <f>ROUND(($G$39*$D$35),2)</f>
        <v>9.74</v>
      </c>
      <c r="H35" s="417">
        <f>ROUND((H39*D35),2)</f>
        <v>0</v>
      </c>
      <c r="I35" s="418">
        <f>ROUND((I39*D35),2)</f>
        <v>4.6100000000000003</v>
      </c>
      <c r="J35" s="89"/>
      <c r="K35" s="89"/>
      <c r="L35" s="89"/>
      <c r="M35" s="89"/>
      <c r="N35" s="89"/>
      <c r="O35" s="89"/>
    </row>
    <row r="36" spans="1:15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ROUND((F39*D36),2)</f>
        <v>613.39</v>
      </c>
      <c r="G36" s="416">
        <f>ROUND(($G$39*$D$36),2)</f>
        <v>29.51</v>
      </c>
      <c r="H36" s="417">
        <f>ROUND((H39*D36),2)</f>
        <v>0</v>
      </c>
      <c r="I36" s="418">
        <f>ROUND((I39*D36),2)</f>
        <v>13.98</v>
      </c>
      <c r="J36" s="89"/>
      <c r="K36" s="89"/>
      <c r="L36" s="89"/>
      <c r="M36" s="89"/>
      <c r="N36" s="89"/>
      <c r="O36" s="89"/>
    </row>
    <row r="37" spans="1:15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  <c r="M37" s="89"/>
      <c r="N37" s="89"/>
      <c r="O37" s="89"/>
    </row>
    <row r="38" spans="1:15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1748.1599999999999</v>
      </c>
      <c r="G38" s="426">
        <f>SUM(G34:G37)</f>
        <v>84.100000000000009</v>
      </c>
      <c r="H38" s="426">
        <f>SUM(H34:H37)</f>
        <v>0</v>
      </c>
      <c r="I38" s="445">
        <f>SUM(I34:I37)</f>
        <v>39.83</v>
      </c>
      <c r="J38" s="89"/>
      <c r="K38" s="89"/>
      <c r="L38" s="89"/>
      <c r="M38" s="89"/>
      <c r="N38" s="89"/>
      <c r="O38" s="89"/>
    </row>
    <row r="39" spans="1:15" ht="34.5" hidden="1" customHeight="1" x14ac:dyDescent="0.2">
      <c r="A39" s="716" t="str">
        <f>A7</f>
        <v>Assistente de Apoio Financeiro (Nível Superior) - 200</v>
      </c>
      <c r="B39" s="716"/>
      <c r="C39" s="716"/>
      <c r="D39" s="716"/>
      <c r="E39" s="716"/>
      <c r="F39" s="446">
        <f>ROUND(F32/(1-D38),2)</f>
        <v>12267.72</v>
      </c>
      <c r="G39" s="447">
        <f>ROUND($G$32/(1-$D$38),2)</f>
        <v>590.13</v>
      </c>
      <c r="H39" s="448">
        <f>ROUND(H32/(1-D38),2)</f>
        <v>0</v>
      </c>
      <c r="I39" s="449">
        <f>ROUND(I32/(1-D38),2)</f>
        <v>279.51</v>
      </c>
      <c r="J39" s="89"/>
      <c r="K39" s="89"/>
      <c r="L39" s="89"/>
      <c r="M39" s="89"/>
      <c r="N39" s="89"/>
      <c r="O39" s="89"/>
    </row>
    <row r="40" spans="1:15" ht="30" customHeight="1" x14ac:dyDescent="0.2">
      <c r="A40" s="742" t="str">
        <f>A7</f>
        <v>Assistente de Apoio Financeiro (Nível Superior) - 200</v>
      </c>
      <c r="B40" s="742"/>
      <c r="C40" s="742"/>
      <c r="D40" s="742"/>
      <c r="E40" s="742"/>
      <c r="F40" s="462">
        <f>F39</f>
        <v>12267.72</v>
      </c>
      <c r="G40" s="462">
        <f>$G$39</f>
        <v>590.13</v>
      </c>
      <c r="H40" s="462">
        <f>H39</f>
        <v>0</v>
      </c>
      <c r="I40" s="463">
        <f>I39</f>
        <v>279.51</v>
      </c>
      <c r="J40" s="89"/>
      <c r="K40" s="89"/>
      <c r="L40" s="89"/>
      <c r="M40" s="89"/>
      <c r="N40" s="89"/>
      <c r="O40" s="89"/>
    </row>
    <row r="41" spans="1:15" ht="29.25" customHeight="1" x14ac:dyDescent="0.2">
      <c r="A41" s="740" t="s">
        <v>412</v>
      </c>
      <c r="B41" s="740"/>
      <c r="C41" s="740"/>
      <c r="D41" s="740"/>
      <c r="E41" s="740"/>
      <c r="F41" s="464">
        <f>($F$40/$F$12)/100</f>
        <v>2.5164553846153844E-2</v>
      </c>
      <c r="G41" s="465"/>
      <c r="H41" s="465"/>
      <c r="I41" s="466"/>
      <c r="J41" s="89"/>
      <c r="K41" s="89"/>
      <c r="L41" s="89"/>
      <c r="M41" s="89"/>
      <c r="N41" s="89"/>
      <c r="O41" s="89"/>
    </row>
    <row r="42" spans="1:15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  <c r="M42" s="89"/>
      <c r="N42" s="89"/>
      <c r="O42" s="89"/>
    </row>
    <row r="43" spans="1:15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  <c r="M43" s="89"/>
      <c r="N43" s="89"/>
      <c r="O43" s="89"/>
    </row>
    <row r="44" spans="1:15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  <c r="M44" s="89"/>
      <c r="N44" s="89"/>
      <c r="O44" s="89"/>
    </row>
    <row r="45" spans="1:15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  <c r="M45" s="89"/>
      <c r="N45" s="89"/>
      <c r="O45" s="89"/>
    </row>
    <row r="46" spans="1:15" x14ac:dyDescent="0.2">
      <c r="A46" s="89"/>
      <c r="B46" s="89"/>
      <c r="C46" s="89"/>
      <c r="D46" s="89"/>
      <c r="E46" s="89"/>
      <c r="F46" s="458"/>
      <c r="G46" s="458"/>
      <c r="H46" s="458"/>
      <c r="I46" s="89"/>
      <c r="J46" s="89"/>
      <c r="K46" s="89"/>
      <c r="L46" s="89"/>
      <c r="M46" s="89"/>
      <c r="N46" s="89"/>
      <c r="O46" s="89"/>
    </row>
    <row r="47" spans="1:15" x14ac:dyDescent="0.2">
      <c r="A47" s="89"/>
      <c r="B47" s="89"/>
      <c r="C47" s="89"/>
      <c r="D47" s="89"/>
      <c r="E47" s="89"/>
      <c r="F47" s="458"/>
      <c r="G47" s="458"/>
      <c r="H47" s="458"/>
      <c r="I47" s="89"/>
      <c r="J47" s="89"/>
      <c r="K47" s="89"/>
      <c r="L47" s="89"/>
      <c r="M47" s="89"/>
      <c r="N47" s="89"/>
      <c r="O47" s="89"/>
    </row>
    <row r="48" spans="1:15" x14ac:dyDescent="0.2">
      <c r="A48" s="89"/>
      <c r="B48" s="89"/>
      <c r="C48" s="89"/>
      <c r="D48" s="89"/>
      <c r="E48" s="89"/>
      <c r="F48" s="458"/>
      <c r="G48" s="458"/>
      <c r="H48" s="458"/>
      <c r="I48" s="89"/>
      <c r="J48" s="89"/>
      <c r="K48" s="89"/>
      <c r="L48" s="89"/>
      <c r="M48" s="89"/>
      <c r="N48" s="89"/>
      <c r="O48" s="89"/>
    </row>
    <row r="49" spans="1:15" x14ac:dyDescent="0.2">
      <c r="A49" s="89"/>
      <c r="B49" s="89"/>
      <c r="C49" s="89"/>
      <c r="D49" s="89"/>
      <c r="E49" s="89"/>
      <c r="F49" s="458"/>
      <c r="G49" s="458"/>
      <c r="H49" s="458"/>
      <c r="I49" s="89"/>
      <c r="J49" s="89"/>
      <c r="K49" s="89"/>
      <c r="L49" s="89"/>
      <c r="M49" s="89"/>
      <c r="N49" s="89"/>
      <c r="O49" s="89"/>
    </row>
    <row r="50" spans="1:15" x14ac:dyDescent="0.2">
      <c r="A50" s="89"/>
      <c r="B50" s="89"/>
      <c r="C50" s="89"/>
      <c r="D50" s="89"/>
      <c r="E50" s="89"/>
      <c r="F50" s="458"/>
      <c r="G50" s="458"/>
      <c r="H50" s="458"/>
      <c r="I50" s="89"/>
      <c r="J50" s="89"/>
      <c r="K50" s="89"/>
      <c r="L50" s="89"/>
      <c r="M50" s="89"/>
      <c r="N50" s="89"/>
      <c r="O50" s="89"/>
    </row>
    <row r="51" spans="1:15" x14ac:dyDescent="0.2">
      <c r="A51" s="89"/>
      <c r="B51" s="89"/>
      <c r="C51" s="89"/>
      <c r="D51" s="89"/>
      <c r="E51" s="89"/>
      <c r="F51" s="458"/>
      <c r="G51" s="458"/>
      <c r="H51" s="458"/>
      <c r="I51" s="89"/>
      <c r="J51" s="89"/>
      <c r="K51" s="89"/>
      <c r="L51" s="89"/>
      <c r="M51" s="89"/>
      <c r="N51" s="89"/>
      <c r="O51" s="89"/>
    </row>
  </sheetData>
  <sheetProtection algorithmName="SHA-512" hashValue="98jXR8NQYE9OOQQEbPZo3OFXzY1R0zWGus5KUVYCYManR7B8NCisQ4jQpdLvTxP37cTDubrv0clbTC7TfLiIiw==" saltValue="9K8Y5nQyzxeHpLPe1U4FCQ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8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0.6640625" customWidth="1"/>
    <col min="4" max="5" width="17.5" customWidth="1"/>
    <col min="6" max="8" width="17.83203125" style="398" customWidth="1"/>
    <col min="9" max="9" width="17.83203125" customWidth="1"/>
  </cols>
  <sheetData>
    <row r="1" spans="1:15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  <c r="M1" s="89"/>
      <c r="N1" s="89"/>
      <c r="O1" s="89"/>
    </row>
    <row r="2" spans="1:15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  <c r="M2" s="89"/>
      <c r="N2" s="89"/>
      <c r="O2" s="89"/>
    </row>
    <row r="3" spans="1:15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  <c r="M3" s="89"/>
      <c r="N3" s="89"/>
      <c r="O3" s="89"/>
    </row>
    <row r="4" spans="1:15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  <c r="M4" s="89"/>
      <c r="N4" s="89"/>
      <c r="O4" s="89"/>
    </row>
    <row r="5" spans="1:15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  <c r="M5" s="89"/>
      <c r="N5" s="89"/>
      <c r="O5" s="89"/>
    </row>
    <row r="6" spans="1:15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  <c r="M6" s="89"/>
      <c r="N6" s="89"/>
      <c r="O6" s="89"/>
    </row>
    <row r="7" spans="1:15" ht="30" customHeight="1" x14ac:dyDescent="0.2">
      <c r="A7" s="735" t="str">
        <f>Dados!$B$14&amp;" - "&amp;$D$10</f>
        <v>Auxiliar Administrativo - Classe IV (Nível Superior) - 200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  <c r="M7" s="89"/>
      <c r="N7" s="89"/>
      <c r="O7" s="89"/>
    </row>
    <row r="8" spans="1:15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  <c r="M8" s="89"/>
      <c r="N8" s="89"/>
      <c r="O8" s="89"/>
    </row>
    <row r="9" spans="1:15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47" t="s">
        <v>388</v>
      </c>
      <c r="G9" s="747"/>
      <c r="H9" s="747"/>
      <c r="I9" s="747"/>
      <c r="J9" s="89"/>
      <c r="K9" s="89"/>
      <c r="L9" s="89"/>
      <c r="M9" s="89"/>
      <c r="N9" s="89"/>
      <c r="O9" s="89"/>
    </row>
    <row r="10" spans="1:15" ht="27.75" customHeight="1" x14ac:dyDescent="0.2">
      <c r="A10" s="727">
        <v>1</v>
      </c>
      <c r="B10" s="728" t="str">
        <f>A7</f>
        <v>Auxiliar Administrativo - Classe IV (Nível Superior) - 200</v>
      </c>
      <c r="C10" s="728"/>
      <c r="D10" s="459">
        <f>Dados!$C$14</f>
        <v>200</v>
      </c>
      <c r="E10" s="414">
        <f>Dados!$E$14</f>
        <v>3289</v>
      </c>
      <c r="F10" s="415">
        <f>ROUND(E10/220*D10,2)</f>
        <v>2990</v>
      </c>
      <c r="G10" s="416"/>
      <c r="H10" s="417"/>
      <c r="I10" s="418"/>
      <c r="J10" s="89"/>
      <c r="K10" s="89"/>
      <c r="L10" s="89"/>
      <c r="M10" s="89"/>
      <c r="N10" s="89"/>
      <c r="O10" s="89"/>
    </row>
    <row r="11" spans="1:15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67"/>
      <c r="J11" s="89"/>
      <c r="K11" s="89"/>
      <c r="L11" s="89"/>
      <c r="M11" s="89"/>
      <c r="N11" s="89"/>
      <c r="O11" s="89"/>
    </row>
    <row r="12" spans="1:15" ht="19.5" customHeight="1" x14ac:dyDescent="0.2">
      <c r="A12" s="727"/>
      <c r="B12" s="730" t="s">
        <v>389</v>
      </c>
      <c r="C12" s="730"/>
      <c r="D12" s="730"/>
      <c r="E12" s="730"/>
      <c r="F12" s="426">
        <f>F10+F11</f>
        <v>2990</v>
      </c>
      <c r="G12" s="427"/>
      <c r="H12" s="428"/>
      <c r="I12" s="429"/>
      <c r="J12" s="89"/>
      <c r="K12" s="89"/>
      <c r="L12" s="89"/>
      <c r="M12" s="89"/>
      <c r="N12" s="89"/>
      <c r="O12" s="89"/>
    </row>
    <row r="13" spans="1:15" ht="19.5" customHeight="1" x14ac:dyDescent="0.2">
      <c r="A13" s="727"/>
      <c r="B13" s="731" t="s">
        <v>390</v>
      </c>
      <c r="C13" s="731"/>
      <c r="D13" s="731"/>
      <c r="E13" s="425">
        <f>Dados!G28</f>
        <v>0.79049999999999998</v>
      </c>
      <c r="F13" s="415">
        <f>(ROUND((E13*F12),2))</f>
        <v>2363.6</v>
      </c>
      <c r="G13" s="416"/>
      <c r="H13" s="417"/>
      <c r="I13" s="418"/>
      <c r="J13" s="89"/>
      <c r="K13" s="89"/>
      <c r="L13" s="89"/>
      <c r="M13" s="89"/>
      <c r="N13" s="89"/>
      <c r="O13" s="89"/>
    </row>
    <row r="14" spans="1:15" ht="24.75" customHeight="1" x14ac:dyDescent="0.2">
      <c r="A14" s="714" t="s">
        <v>391</v>
      </c>
      <c r="B14" s="714"/>
      <c r="C14" s="714"/>
      <c r="D14" s="714"/>
      <c r="E14" s="714"/>
      <c r="F14" s="426">
        <f>ROUND(SUM(F12:F13),2)</f>
        <v>5353.6</v>
      </c>
      <c r="G14" s="427"/>
      <c r="H14" s="428"/>
      <c r="I14" s="429"/>
      <c r="J14" s="89"/>
      <c r="K14" s="89"/>
      <c r="L14" s="89"/>
      <c r="M14" s="89"/>
      <c r="N14" s="89"/>
      <c r="O14" s="89"/>
    </row>
    <row r="15" spans="1:15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  <c r="M15" s="89"/>
      <c r="N15" s="89"/>
      <c r="O15" s="89"/>
    </row>
    <row r="16" spans="1:15" ht="19.5" customHeight="1" x14ac:dyDescent="0.2">
      <c r="A16" s="723" t="s">
        <v>393</v>
      </c>
      <c r="B16" s="723"/>
      <c r="C16" s="430" t="s">
        <v>394</v>
      </c>
      <c r="D16" s="724" t="s">
        <v>395</v>
      </c>
      <c r="E16" s="724"/>
      <c r="F16" s="724"/>
      <c r="G16" s="724"/>
      <c r="H16" s="724"/>
      <c r="I16" s="724"/>
      <c r="J16" s="89"/>
      <c r="K16" s="89"/>
      <c r="L16" s="89"/>
      <c r="M16" s="89"/>
      <c r="N16" s="89"/>
      <c r="O16" s="89"/>
    </row>
    <row r="17" spans="1:15" ht="19.5" customHeight="1" x14ac:dyDescent="0.2">
      <c r="A17" s="718" t="s">
        <v>396</v>
      </c>
      <c r="B17" s="718"/>
      <c r="C17" s="431"/>
      <c r="D17" s="432"/>
      <c r="E17" s="414"/>
      <c r="F17" s="415">
        <f>Dados!$I$14</f>
        <v>72.650000000000006</v>
      </c>
      <c r="G17" s="416"/>
      <c r="H17" s="417"/>
      <c r="I17" s="418"/>
      <c r="J17" s="89"/>
      <c r="K17" s="89"/>
      <c r="L17" s="89"/>
      <c r="M17" s="89"/>
      <c r="N17" s="89"/>
      <c r="O17" s="89"/>
    </row>
    <row r="18" spans="1:15" ht="19.5" customHeight="1" x14ac:dyDescent="0.2">
      <c r="A18" s="718" t="s">
        <v>397</v>
      </c>
      <c r="B18" s="718"/>
      <c r="C18" s="431"/>
      <c r="D18" s="432"/>
      <c r="E18" s="433"/>
      <c r="F18" s="415">
        <f>Dados!$G$35</f>
        <v>2.2000000000000002</v>
      </c>
      <c r="G18" s="416"/>
      <c r="H18" s="417"/>
      <c r="I18" s="418"/>
      <c r="J18" s="89"/>
      <c r="K18" s="89"/>
      <c r="L18" s="89"/>
      <c r="M18" s="89"/>
      <c r="N18" s="89"/>
      <c r="O18" s="89"/>
    </row>
    <row r="19" spans="1:15" ht="25.5" customHeight="1" x14ac:dyDescent="0.2">
      <c r="A19" s="722" t="s">
        <v>398</v>
      </c>
      <c r="B19" s="722"/>
      <c r="C19" s="431"/>
      <c r="D19" s="432"/>
      <c r="E19" s="305"/>
      <c r="F19" s="415">
        <f>Dados!$G$36</f>
        <v>80.72</v>
      </c>
      <c r="G19" s="416"/>
      <c r="H19" s="417"/>
      <c r="I19" s="418"/>
      <c r="J19" s="89"/>
      <c r="K19" s="89"/>
      <c r="L19" s="89"/>
      <c r="M19" s="89"/>
      <c r="N19" s="89"/>
      <c r="O19" s="89"/>
    </row>
    <row r="20" spans="1:15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460.06</v>
      </c>
      <c r="G20" s="416">
        <f>F20</f>
        <v>460.06</v>
      </c>
      <c r="H20" s="417"/>
      <c r="I20" s="418"/>
      <c r="J20" s="89"/>
      <c r="K20" s="89"/>
      <c r="L20" s="89"/>
      <c r="M20" s="89"/>
      <c r="N20" s="89"/>
      <c r="O20" s="89"/>
    </row>
    <row r="21" spans="1:15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331</v>
      </c>
      <c r="G21" s="416"/>
      <c r="H21" s="417"/>
      <c r="I21" s="418">
        <f>F21</f>
        <v>331</v>
      </c>
      <c r="J21" s="89"/>
      <c r="K21" s="89"/>
      <c r="L21" s="89"/>
      <c r="M21" s="89"/>
      <c r="N21" s="89"/>
      <c r="O21" s="89"/>
    </row>
    <row r="22" spans="1:15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  <c r="L22" s="89"/>
      <c r="M22" s="89"/>
      <c r="N22" s="89"/>
      <c r="O22" s="89"/>
    </row>
    <row r="23" spans="1:15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  <c r="L23" s="89"/>
      <c r="M23" s="89"/>
      <c r="N23" s="89"/>
      <c r="O23" s="89"/>
    </row>
    <row r="24" spans="1:15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946.63</v>
      </c>
      <c r="G24" s="426">
        <f>SUM(G17:G23)</f>
        <v>460.06</v>
      </c>
      <c r="H24" s="428">
        <f>SUM($H$17:$H$23)</f>
        <v>0</v>
      </c>
      <c r="I24" s="429">
        <f>SUM($I$17:$I$23)</f>
        <v>331</v>
      </c>
      <c r="J24" s="89"/>
      <c r="K24" s="89"/>
      <c r="L24" s="89"/>
      <c r="M24" s="89"/>
      <c r="N24" s="89"/>
      <c r="O24" s="89"/>
    </row>
    <row r="25" spans="1:15" ht="24.75" customHeight="1" x14ac:dyDescent="0.2">
      <c r="A25" s="714" t="s">
        <v>402</v>
      </c>
      <c r="B25" s="714"/>
      <c r="C25" s="714"/>
      <c r="D25" s="714"/>
      <c r="E25" s="714"/>
      <c r="F25" s="426">
        <f>$F$14+$F$24</f>
        <v>6300.2300000000005</v>
      </c>
      <c r="G25" s="426">
        <f>$G$14+$G$24</f>
        <v>460.06</v>
      </c>
      <c r="H25" s="428">
        <f>$H$14+$H$24</f>
        <v>0</v>
      </c>
      <c r="I25" s="429">
        <f>$I$14+$I$24</f>
        <v>331</v>
      </c>
      <c r="J25" s="89"/>
      <c r="K25" s="89"/>
      <c r="L25" s="89"/>
      <c r="M25" s="89"/>
      <c r="N25" s="89"/>
      <c r="O25" s="89"/>
    </row>
    <row r="26" spans="1:15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/>
      <c r="I26" s="715"/>
      <c r="J26" s="89"/>
      <c r="K26" s="89"/>
      <c r="L26" s="89"/>
      <c r="M26" s="89"/>
      <c r="N26" s="89"/>
      <c r="O26" s="89"/>
    </row>
    <row r="27" spans="1:15" ht="19.5" customHeight="1" x14ac:dyDescent="0.2">
      <c r="A27" s="719" t="s">
        <v>404</v>
      </c>
      <c r="B27" s="719"/>
      <c r="C27" s="719"/>
      <c r="D27" s="746" t="s">
        <v>405</v>
      </c>
      <c r="E27" s="746"/>
      <c r="F27" s="721" t="s">
        <v>388</v>
      </c>
      <c r="G27" s="721"/>
      <c r="H27" s="721"/>
      <c r="I27" s="721"/>
      <c r="J27" s="89"/>
      <c r="K27" s="89"/>
      <c r="L27" s="89"/>
      <c r="M27" s="89"/>
      <c r="N27" s="89"/>
      <c r="O27" s="89"/>
    </row>
    <row r="28" spans="1:15" ht="19.5" customHeight="1" x14ac:dyDescent="0.2">
      <c r="A28" s="435" t="s">
        <v>406</v>
      </c>
      <c r="B28" s="436"/>
      <c r="C28" s="436"/>
      <c r="D28" s="432">
        <f>Dados!$G$50</f>
        <v>0.03</v>
      </c>
      <c r="E28" s="437"/>
      <c r="F28" s="415">
        <f>ROUND(($F$25*$D$28),2)</f>
        <v>189.01</v>
      </c>
      <c r="G28" s="416">
        <f>ROUND(($G$25*$D$28),2)</f>
        <v>13.8</v>
      </c>
      <c r="H28" s="417">
        <f>ROUND((H25*D28),2)</f>
        <v>0</v>
      </c>
      <c r="I28" s="418">
        <f>ROUND(($I$25*$D$28),2)</f>
        <v>9.93</v>
      </c>
      <c r="J28" s="89"/>
      <c r="K28" s="89"/>
      <c r="L28" s="89"/>
      <c r="M28" s="89"/>
      <c r="N28" s="89"/>
      <c r="O28" s="89"/>
    </row>
    <row r="29" spans="1:15" ht="19.5" customHeight="1" x14ac:dyDescent="0.2">
      <c r="A29" s="713" t="s">
        <v>407</v>
      </c>
      <c r="B29" s="713"/>
      <c r="C29" s="713"/>
      <c r="D29" s="432"/>
      <c r="E29" s="437"/>
      <c r="F29" s="415">
        <f>$F$25+$F$28</f>
        <v>6489.2400000000007</v>
      </c>
      <c r="G29" s="416">
        <f>$G$28+$G$25</f>
        <v>473.86</v>
      </c>
      <c r="H29" s="417">
        <f>H25+H28</f>
        <v>0</v>
      </c>
      <c r="I29" s="418">
        <f>$I$25+$I$28</f>
        <v>340.93</v>
      </c>
      <c r="J29" s="89"/>
      <c r="K29" s="89"/>
      <c r="L29" s="89"/>
      <c r="M29" s="89"/>
      <c r="N29" s="89"/>
      <c r="O29" s="89"/>
    </row>
    <row r="30" spans="1:15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37">
        <f>$F$25+$F$28</f>
        <v>6489.2400000000007</v>
      </c>
      <c r="F30" s="415">
        <f>ROUND(($E$30*$D$30),2)</f>
        <v>440.62</v>
      </c>
      <c r="G30" s="416">
        <f>ROUND(($G$29*$D$30),2)</f>
        <v>32.18</v>
      </c>
      <c r="H30" s="417">
        <f>ROUND((H29*D30),2)</f>
        <v>0</v>
      </c>
      <c r="I30" s="418">
        <f>ROUND(($I$29*$D$30),2)</f>
        <v>23.15</v>
      </c>
      <c r="J30" s="89"/>
      <c r="K30" s="89"/>
      <c r="L30" s="89"/>
      <c r="M30" s="89"/>
      <c r="N30" s="89"/>
      <c r="O30" s="89"/>
    </row>
    <row r="31" spans="1:15" ht="24.75" customHeight="1" x14ac:dyDescent="0.2">
      <c r="A31" s="438" t="s">
        <v>408</v>
      </c>
      <c r="B31" s="439"/>
      <c r="C31" s="439"/>
      <c r="D31" s="440">
        <f>SUM($D$28:$D$30)</f>
        <v>9.7900000000000001E-2</v>
      </c>
      <c r="E31" s="441"/>
      <c r="F31" s="426">
        <f>$F$28+$F$30</f>
        <v>629.63</v>
      </c>
      <c r="G31" s="427">
        <f>$G$28+$G$30</f>
        <v>45.980000000000004</v>
      </c>
      <c r="H31" s="428">
        <f>H28+H30</f>
        <v>0</v>
      </c>
      <c r="I31" s="429">
        <f>$I$28+$I$30</f>
        <v>33.08</v>
      </c>
      <c r="J31" s="89"/>
      <c r="K31" s="89"/>
      <c r="L31" s="89"/>
      <c r="M31" s="89"/>
      <c r="N31" s="89"/>
      <c r="O31" s="89"/>
    </row>
    <row r="32" spans="1:15" ht="24.75" customHeight="1" x14ac:dyDescent="0.2">
      <c r="A32" s="714" t="s">
        <v>409</v>
      </c>
      <c r="B32" s="714"/>
      <c r="C32" s="714"/>
      <c r="D32" s="714"/>
      <c r="E32" s="714"/>
      <c r="F32" s="426">
        <f>$F$14+$F$24+$F$31</f>
        <v>6929.8600000000006</v>
      </c>
      <c r="G32" s="427">
        <f>$G$14+$G$24+$G$31</f>
        <v>506.04</v>
      </c>
      <c r="H32" s="428">
        <f>H14+H24+H31</f>
        <v>0</v>
      </c>
      <c r="I32" s="429">
        <f>$I$14+$I$24+$I$31</f>
        <v>364.08</v>
      </c>
      <c r="J32" s="89"/>
      <c r="K32" s="89"/>
      <c r="L32" s="89"/>
      <c r="M32" s="89"/>
      <c r="N32" s="89"/>
      <c r="O32" s="89"/>
    </row>
    <row r="33" spans="1:15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  <c r="M33" s="89"/>
      <c r="N33" s="89"/>
      <c r="O33" s="89"/>
    </row>
    <row r="34" spans="1:15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ROUND(($F$39*$D$34),2)</f>
        <v>614.19000000000005</v>
      </c>
      <c r="G34" s="416">
        <f>ROUND(($G$39*$D$34),2)</f>
        <v>44.85</v>
      </c>
      <c r="H34" s="417">
        <f>ROUND(($H$39*$D$34),2)</f>
        <v>0</v>
      </c>
      <c r="I34" s="418">
        <f>ROUND(($I$39*$D$34),2)</f>
        <v>32.270000000000003</v>
      </c>
      <c r="J34" s="89"/>
      <c r="K34" s="89"/>
      <c r="L34" s="89"/>
      <c r="M34" s="89"/>
      <c r="N34" s="89"/>
      <c r="O34" s="89"/>
    </row>
    <row r="35" spans="1:15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ROUND(($F$39*$D$35),2)</f>
        <v>133.34</v>
      </c>
      <c r="G35" s="416">
        <f>ROUND(($G$39*$D$35),2)</f>
        <v>9.74</v>
      </c>
      <c r="H35" s="417">
        <f>ROUND(($H$39*$D$35),2)</f>
        <v>0</v>
      </c>
      <c r="I35" s="418">
        <f>ROUND(($I$39*$D$35),2)</f>
        <v>7.01</v>
      </c>
      <c r="J35" s="89"/>
      <c r="K35" s="89"/>
      <c r="L35" s="89"/>
      <c r="M35" s="89"/>
      <c r="N35" s="89"/>
      <c r="O35" s="89"/>
    </row>
    <row r="36" spans="1:15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ROUND(($F$39*$D$36),2)</f>
        <v>404.07</v>
      </c>
      <c r="G36" s="416">
        <f>ROUND(($G$39*$D$36),2)</f>
        <v>29.51</v>
      </c>
      <c r="H36" s="417">
        <f>ROUND(($H$39*$D$36),2)</f>
        <v>0</v>
      </c>
      <c r="I36" s="418">
        <f>ROUND(($I$39*$D$36),2)</f>
        <v>21.23</v>
      </c>
      <c r="J36" s="89"/>
      <c r="K36" s="89"/>
      <c r="L36" s="89"/>
      <c r="M36" s="89"/>
      <c r="N36" s="89"/>
      <c r="O36" s="89"/>
    </row>
    <row r="37" spans="1:15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  <c r="M37" s="89"/>
      <c r="N37" s="89"/>
      <c r="O37" s="89"/>
    </row>
    <row r="38" spans="1:15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1151.6000000000001</v>
      </c>
      <c r="G38" s="426">
        <f>SUM(G34:G37)</f>
        <v>84.100000000000009</v>
      </c>
      <c r="H38" s="426">
        <f>SUM(H34:H37)</f>
        <v>0</v>
      </c>
      <c r="I38" s="445">
        <f>SUM(I34:I37)</f>
        <v>60.510000000000005</v>
      </c>
      <c r="J38" s="89"/>
      <c r="K38" s="89"/>
      <c r="L38" s="89"/>
      <c r="M38" s="89"/>
      <c r="N38" s="89"/>
      <c r="O38" s="89"/>
    </row>
    <row r="39" spans="1:15" ht="34.5" hidden="1" customHeight="1" x14ac:dyDescent="0.2">
      <c r="A39" s="716" t="str">
        <f>A7</f>
        <v>Auxiliar Administrativo - Classe IV (Nível Superior) - 200</v>
      </c>
      <c r="B39" s="716"/>
      <c r="C39" s="716"/>
      <c r="D39" s="716"/>
      <c r="E39" s="716"/>
      <c r="F39" s="446">
        <f>ROUND($F$32/(1-$D$38),2)</f>
        <v>8081.47</v>
      </c>
      <c r="G39" s="447">
        <f>ROUND($G$32/(1-$D$38),2)</f>
        <v>590.13</v>
      </c>
      <c r="H39" s="448">
        <f>ROUND($H$32/(1-$D$38),2)</f>
        <v>0</v>
      </c>
      <c r="I39" s="449">
        <f>ROUND($I$32/(1-$D$38),2)</f>
        <v>424.58</v>
      </c>
      <c r="J39" s="89"/>
      <c r="K39" s="89"/>
      <c r="L39" s="89"/>
      <c r="M39" s="89"/>
      <c r="N39" s="89"/>
      <c r="O39" s="89"/>
    </row>
    <row r="40" spans="1:15" ht="30" customHeight="1" x14ac:dyDescent="0.2">
      <c r="A40" s="745" t="str">
        <f>A7</f>
        <v>Auxiliar Administrativo - Classe IV (Nível Superior) - 200</v>
      </c>
      <c r="B40" s="745"/>
      <c r="C40" s="745"/>
      <c r="D40" s="745"/>
      <c r="E40" s="745"/>
      <c r="F40" s="468">
        <f>$F$39</f>
        <v>8081.47</v>
      </c>
      <c r="G40" s="469">
        <f>$G$39</f>
        <v>590.13</v>
      </c>
      <c r="H40" s="462">
        <f>$H$39</f>
        <v>0</v>
      </c>
      <c r="I40" s="463">
        <f>$I$39</f>
        <v>424.58</v>
      </c>
      <c r="J40" s="89"/>
      <c r="K40" s="89"/>
      <c r="L40" s="89"/>
      <c r="M40" s="89"/>
      <c r="N40" s="89"/>
      <c r="O40" s="89"/>
    </row>
    <row r="41" spans="1:15" ht="29.25" customHeight="1" x14ac:dyDescent="0.2">
      <c r="A41" s="744" t="s">
        <v>412</v>
      </c>
      <c r="B41" s="744"/>
      <c r="C41" s="744"/>
      <c r="D41" s="744"/>
      <c r="E41" s="744"/>
      <c r="F41" s="470">
        <f>($F$40/$F$12)/100</f>
        <v>2.7028327759197324E-2</v>
      </c>
      <c r="G41" s="471"/>
      <c r="H41" s="465"/>
      <c r="I41" s="466"/>
      <c r="J41" s="89"/>
      <c r="K41" s="89"/>
      <c r="L41" s="89"/>
      <c r="M41" s="89"/>
      <c r="N41" s="89"/>
      <c r="O41" s="89"/>
    </row>
    <row r="42" spans="1:15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  <c r="M42" s="89"/>
      <c r="N42" s="89"/>
      <c r="O42" s="89"/>
    </row>
    <row r="43" spans="1:15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  <c r="M43" s="89"/>
      <c r="N43" s="89"/>
      <c r="O43" s="89"/>
    </row>
    <row r="44" spans="1:15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  <c r="M44" s="89"/>
      <c r="N44" s="89"/>
      <c r="O44" s="89"/>
    </row>
    <row r="45" spans="1:15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  <c r="M45" s="89"/>
      <c r="N45" s="89"/>
      <c r="O45" s="89"/>
    </row>
    <row r="46" spans="1:15" x14ac:dyDescent="0.2">
      <c r="A46" s="89"/>
      <c r="B46" s="89"/>
      <c r="C46" s="89"/>
      <c r="D46" s="89"/>
      <c r="E46" s="89"/>
      <c r="F46" s="458"/>
      <c r="G46" s="458"/>
      <c r="H46" s="458"/>
      <c r="I46" s="89"/>
      <c r="J46" s="89"/>
      <c r="K46" s="89"/>
      <c r="L46" s="89"/>
      <c r="M46" s="89"/>
      <c r="N46" s="89"/>
      <c r="O46" s="89"/>
    </row>
    <row r="47" spans="1:15" x14ac:dyDescent="0.2">
      <c r="A47" s="89"/>
      <c r="B47" s="89"/>
      <c r="C47" s="89"/>
      <c r="D47" s="89"/>
      <c r="E47" s="89"/>
      <c r="F47" s="458"/>
      <c r="G47" s="458"/>
      <c r="H47" s="458"/>
      <c r="I47" s="89"/>
      <c r="J47" s="89"/>
      <c r="K47" s="89"/>
      <c r="L47" s="89"/>
      <c r="M47" s="89"/>
      <c r="N47" s="89"/>
      <c r="O47" s="89"/>
    </row>
    <row r="48" spans="1:15" x14ac:dyDescent="0.2">
      <c r="A48" s="89"/>
      <c r="B48" s="89"/>
      <c r="C48" s="89"/>
      <c r="D48" s="89"/>
      <c r="E48" s="89"/>
      <c r="F48" s="458"/>
      <c r="G48" s="458"/>
      <c r="H48" s="458"/>
      <c r="I48" s="89"/>
      <c r="J48" s="89"/>
      <c r="K48" s="89"/>
      <c r="L48" s="89"/>
      <c r="M48" s="89"/>
      <c r="N48" s="89"/>
      <c r="O48" s="89"/>
    </row>
  </sheetData>
  <sheetProtection algorithmName="SHA-512" hashValue="wmyX0ohzS1Ws9/P+1bQaInTdweBIgUUaSLsqR5AyORUu0CrASZrYxliQukE67Fz42QpLQs2ilEDLDG/cVdpW/w==" saltValue="YR5eMD0VZAh4e6Q9YjkL5w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8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1" customWidth="1"/>
    <col min="4" max="5" width="17.5" customWidth="1"/>
    <col min="6" max="8" width="17.83203125" style="398" customWidth="1"/>
    <col min="9" max="9" width="17.83203125" customWidth="1"/>
  </cols>
  <sheetData>
    <row r="1" spans="1:14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  <c r="M1" s="89"/>
      <c r="N1" s="89"/>
    </row>
    <row r="2" spans="1:14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  <c r="M2" s="89"/>
      <c r="N2" s="89"/>
    </row>
    <row r="3" spans="1:14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  <c r="M3" s="89"/>
      <c r="N3" s="89"/>
    </row>
    <row r="4" spans="1:14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  <c r="M4" s="89"/>
      <c r="N4" s="89"/>
    </row>
    <row r="5" spans="1:14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  <c r="M5" s="89"/>
      <c r="N5" s="89"/>
    </row>
    <row r="6" spans="1:14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  <c r="M6" s="89"/>
      <c r="N6" s="89"/>
    </row>
    <row r="7" spans="1:14" ht="30" customHeight="1" x14ac:dyDescent="0.2">
      <c r="A7" s="735" t="str">
        <f>Dados!$B$16&amp;" - "&amp;$D$10</f>
        <v>Encarregado Geral - 220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  <c r="M7" s="89"/>
      <c r="N7" s="89"/>
    </row>
    <row r="8" spans="1:14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  <c r="M8" s="89"/>
      <c r="N8" s="89"/>
    </row>
    <row r="9" spans="1:14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47" t="s">
        <v>388</v>
      </c>
      <c r="G9" s="747"/>
      <c r="H9" s="747"/>
      <c r="I9" s="747"/>
      <c r="J9" s="89"/>
      <c r="K9" s="89"/>
      <c r="L9" s="89"/>
      <c r="M9" s="89"/>
      <c r="N9" s="89"/>
    </row>
    <row r="10" spans="1:14" ht="26.25" customHeight="1" x14ac:dyDescent="0.2">
      <c r="A10" s="727">
        <v>1</v>
      </c>
      <c r="B10" s="728" t="str">
        <f>A7</f>
        <v>Encarregado Geral - 220</v>
      </c>
      <c r="C10" s="728"/>
      <c r="D10" s="459">
        <f>Dados!$C$16</f>
        <v>220</v>
      </c>
      <c r="E10" s="414">
        <f>Dados!$E$16</f>
        <v>2753.93</v>
      </c>
      <c r="F10" s="415">
        <f>ROUND(E10/220*D10,2)</f>
        <v>2753.93</v>
      </c>
      <c r="G10" s="472"/>
      <c r="H10" s="473"/>
      <c r="I10" s="418"/>
      <c r="J10" s="89"/>
      <c r="K10" s="89"/>
      <c r="L10" s="89"/>
      <c r="M10" s="89"/>
      <c r="N10" s="89"/>
    </row>
    <row r="11" spans="1:14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67"/>
      <c r="J11" s="89"/>
      <c r="K11" s="89"/>
      <c r="L11" s="89"/>
      <c r="M11" s="89"/>
      <c r="N11" s="89"/>
    </row>
    <row r="12" spans="1:14" ht="19.5" customHeight="1" x14ac:dyDescent="0.2">
      <c r="A12" s="727"/>
      <c r="B12" s="730" t="s">
        <v>389</v>
      </c>
      <c r="C12" s="730"/>
      <c r="D12" s="730"/>
      <c r="E12" s="730"/>
      <c r="F12" s="426">
        <f>F10+F11</f>
        <v>2753.93</v>
      </c>
      <c r="G12" s="422"/>
      <c r="H12" s="423"/>
      <c r="I12" s="429"/>
      <c r="J12" s="89"/>
      <c r="K12" s="89"/>
      <c r="L12" s="89"/>
      <c r="M12" s="89"/>
      <c r="N12" s="89"/>
    </row>
    <row r="13" spans="1:14" ht="19.5" customHeight="1" x14ac:dyDescent="0.2">
      <c r="A13" s="727"/>
      <c r="B13" s="731" t="s">
        <v>390</v>
      </c>
      <c r="C13" s="731"/>
      <c r="D13" s="731"/>
      <c r="E13" s="425">
        <f>Dados!G28</f>
        <v>0.79049999999999998</v>
      </c>
      <c r="F13" s="415">
        <f>(ROUND((E13*F12),2))</f>
        <v>2176.98</v>
      </c>
      <c r="G13" s="416"/>
      <c r="H13" s="417"/>
      <c r="I13" s="418"/>
      <c r="J13" s="89"/>
      <c r="K13" s="89"/>
      <c r="L13" s="89"/>
      <c r="M13" s="89"/>
      <c r="N13" s="89"/>
    </row>
    <row r="14" spans="1:14" ht="24.75" customHeight="1" x14ac:dyDescent="0.2">
      <c r="A14" s="714" t="s">
        <v>391</v>
      </c>
      <c r="B14" s="714"/>
      <c r="C14" s="714"/>
      <c r="D14" s="714"/>
      <c r="E14" s="714"/>
      <c r="F14" s="426">
        <f>ROUND(SUM(F12:F13),2)</f>
        <v>4930.91</v>
      </c>
      <c r="G14" s="427"/>
      <c r="H14" s="428"/>
      <c r="I14" s="429"/>
      <c r="J14" s="89"/>
      <c r="K14" s="89"/>
      <c r="L14" s="89"/>
      <c r="M14" s="89"/>
      <c r="N14" s="89"/>
    </row>
    <row r="15" spans="1:14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  <c r="M15" s="89"/>
      <c r="N15" s="89"/>
    </row>
    <row r="16" spans="1:14" ht="19.5" customHeight="1" x14ac:dyDescent="0.2">
      <c r="A16" s="723" t="s">
        <v>393</v>
      </c>
      <c r="B16" s="723"/>
      <c r="C16" s="430" t="s">
        <v>394</v>
      </c>
      <c r="D16" s="724" t="s">
        <v>388</v>
      </c>
      <c r="E16" s="724"/>
      <c r="F16" s="724"/>
      <c r="G16" s="724"/>
      <c r="H16" s="724"/>
      <c r="I16" s="724"/>
      <c r="J16" s="89"/>
      <c r="K16" s="89"/>
      <c r="L16" s="89"/>
      <c r="M16" s="89"/>
      <c r="N16" s="89"/>
    </row>
    <row r="17" spans="1:14" ht="19.5" customHeight="1" x14ac:dyDescent="0.2">
      <c r="A17" s="718" t="s">
        <v>396</v>
      </c>
      <c r="B17" s="718"/>
      <c r="C17" s="431"/>
      <c r="D17" s="432"/>
      <c r="E17" s="414"/>
      <c r="F17" s="415">
        <f>Dados!$I$16</f>
        <v>72.650000000000006</v>
      </c>
      <c r="G17" s="416"/>
      <c r="H17" s="417"/>
      <c r="I17" s="418"/>
      <c r="J17" s="89"/>
      <c r="K17" s="89"/>
      <c r="L17" s="89"/>
      <c r="M17" s="89"/>
      <c r="N17" s="89"/>
    </row>
    <row r="18" spans="1:14" ht="19.5" customHeight="1" x14ac:dyDescent="0.2">
      <c r="A18" s="718" t="s">
        <v>397</v>
      </c>
      <c r="B18" s="718"/>
      <c r="C18" s="431"/>
      <c r="D18" s="432"/>
      <c r="E18" s="433"/>
      <c r="F18" s="415">
        <f>Dados!$G$35</f>
        <v>2.2000000000000002</v>
      </c>
      <c r="G18" s="416"/>
      <c r="H18" s="417"/>
      <c r="I18" s="418"/>
      <c r="J18" s="89"/>
      <c r="K18" s="89"/>
      <c r="L18" s="89"/>
      <c r="M18" s="89"/>
      <c r="N18" s="89"/>
    </row>
    <row r="19" spans="1:14" ht="25.5" customHeight="1" x14ac:dyDescent="0.2">
      <c r="A19" s="722" t="s">
        <v>398</v>
      </c>
      <c r="B19" s="722"/>
      <c r="C19" s="431"/>
      <c r="D19" s="432"/>
      <c r="E19" s="305"/>
      <c r="F19" s="415">
        <f>Dados!$G$36</f>
        <v>80.72</v>
      </c>
      <c r="G19" s="416"/>
      <c r="H19" s="417"/>
      <c r="I19" s="418"/>
      <c r="J19" s="89"/>
      <c r="K19" s="89"/>
      <c r="L19" s="89"/>
      <c r="M19" s="89"/>
      <c r="N19" s="89"/>
    </row>
    <row r="20" spans="1:14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74">
        <f>ROUND((IF(D10&gt;150,((C20*D20)-(E20*(C20*D20))),0)),2)</f>
        <v>460.06</v>
      </c>
      <c r="G20" s="475">
        <f>F20</f>
        <v>460.06</v>
      </c>
      <c r="H20" s="417"/>
      <c r="I20" s="418"/>
      <c r="J20" s="89"/>
      <c r="K20" s="89"/>
      <c r="L20" s="89"/>
      <c r="M20" s="89"/>
      <c r="N20" s="89"/>
    </row>
    <row r="21" spans="1:14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74">
        <f>ROUND((($C$21*$D$21*Dados!$G$42)+($C$21*$E$21*Dados!$G$40) -(F10*Dados!$G$45)),2)</f>
        <v>345.16</v>
      </c>
      <c r="G21" s="475"/>
      <c r="H21" s="417"/>
      <c r="I21" s="418">
        <f>F21</f>
        <v>345.16</v>
      </c>
      <c r="J21" s="89"/>
      <c r="K21" s="89"/>
      <c r="L21" s="89"/>
      <c r="M21" s="89"/>
      <c r="N21" s="89"/>
    </row>
    <row r="22" spans="1:14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74">
        <f>ROUND((C22*D22),2)</f>
        <v>0</v>
      </c>
      <c r="G22" s="475"/>
      <c r="H22" s="417"/>
      <c r="I22" s="418"/>
      <c r="J22" s="89"/>
      <c r="K22" s="89"/>
      <c r="L22" s="89"/>
      <c r="M22" s="89"/>
      <c r="N22" s="89"/>
    </row>
    <row r="23" spans="1:14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74">
        <f>ROUND((C23*D23),2)</f>
        <v>0</v>
      </c>
      <c r="G23" s="475"/>
      <c r="H23" s="417"/>
      <c r="I23" s="418"/>
      <c r="J23" s="89"/>
      <c r="K23" s="89"/>
      <c r="L23" s="89"/>
      <c r="M23" s="89"/>
      <c r="N23" s="89"/>
    </row>
    <row r="24" spans="1:14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960.79</v>
      </c>
      <c r="G24" s="426">
        <f>SUM(G17:G23)</f>
        <v>460.06</v>
      </c>
      <c r="H24" s="428">
        <f>SUM($H$17:$H$23)</f>
        <v>0</v>
      </c>
      <c r="I24" s="429">
        <f>SUM($I$17:$I$23)</f>
        <v>345.16</v>
      </c>
      <c r="J24" s="89"/>
      <c r="K24" s="89"/>
      <c r="L24" s="89"/>
      <c r="M24" s="89"/>
      <c r="N24" s="89"/>
    </row>
    <row r="25" spans="1:14" ht="24.75" customHeight="1" x14ac:dyDescent="0.2">
      <c r="A25" s="714" t="s">
        <v>402</v>
      </c>
      <c r="B25" s="714"/>
      <c r="C25" s="714"/>
      <c r="D25" s="714"/>
      <c r="E25" s="714"/>
      <c r="F25" s="426">
        <f>$F$14+$F$24</f>
        <v>5891.7</v>
      </c>
      <c r="G25" s="426">
        <f>$G$14+$G$24</f>
        <v>460.06</v>
      </c>
      <c r="H25" s="428">
        <f>$H$14+$H$24</f>
        <v>0</v>
      </c>
      <c r="I25" s="429">
        <f>$I$14+$I$24</f>
        <v>345.16</v>
      </c>
      <c r="J25" s="89"/>
      <c r="K25" s="89"/>
      <c r="L25" s="89"/>
      <c r="M25" s="89"/>
      <c r="N25" s="89"/>
    </row>
    <row r="26" spans="1:14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/>
      <c r="I26" s="715"/>
      <c r="J26" s="89"/>
      <c r="K26" s="89"/>
      <c r="L26" s="89"/>
      <c r="M26" s="89"/>
      <c r="N26" s="89"/>
    </row>
    <row r="27" spans="1:14" ht="19.5" customHeight="1" x14ac:dyDescent="0.2">
      <c r="A27" s="719" t="s">
        <v>404</v>
      </c>
      <c r="B27" s="719"/>
      <c r="C27" s="719"/>
      <c r="D27" s="748" t="s">
        <v>405</v>
      </c>
      <c r="E27" s="748"/>
      <c r="F27" s="721" t="s">
        <v>388</v>
      </c>
      <c r="G27" s="721"/>
      <c r="H27" s="721"/>
      <c r="I27" s="721"/>
      <c r="J27" s="89"/>
      <c r="K27" s="89"/>
      <c r="L27" s="89"/>
      <c r="M27" s="89"/>
      <c r="N27" s="89"/>
    </row>
    <row r="28" spans="1:14" ht="19.5" customHeight="1" x14ac:dyDescent="0.2">
      <c r="A28" s="435" t="s">
        <v>406</v>
      </c>
      <c r="B28" s="436"/>
      <c r="C28" s="436"/>
      <c r="D28" s="432">
        <f>Dados!$G$50</f>
        <v>0.03</v>
      </c>
      <c r="E28" s="437"/>
      <c r="F28" s="415">
        <f>ROUND(($F$25*$D$28),2)</f>
        <v>176.75</v>
      </c>
      <c r="G28" s="416">
        <f>ROUND(($G$25*$D$28),2)</f>
        <v>13.8</v>
      </c>
      <c r="H28" s="417">
        <f>ROUND((H25*D28),2)</f>
        <v>0</v>
      </c>
      <c r="I28" s="418">
        <f>ROUND(($I$25*$D$28),2)</f>
        <v>10.35</v>
      </c>
      <c r="J28" s="89"/>
      <c r="K28" s="89"/>
      <c r="L28" s="89"/>
      <c r="M28" s="89"/>
      <c r="N28" s="89"/>
    </row>
    <row r="29" spans="1:14" ht="19.5" customHeight="1" x14ac:dyDescent="0.2">
      <c r="A29" s="713" t="s">
        <v>407</v>
      </c>
      <c r="B29" s="713"/>
      <c r="C29" s="713"/>
      <c r="D29" s="432"/>
      <c r="E29" s="437"/>
      <c r="F29" s="415">
        <f>$F$25+$F$28</f>
        <v>6068.45</v>
      </c>
      <c r="G29" s="416">
        <f>$G$28+$G$25</f>
        <v>473.86</v>
      </c>
      <c r="H29" s="417">
        <f>H25+H28</f>
        <v>0</v>
      </c>
      <c r="I29" s="418">
        <f>$I$25+$I$28</f>
        <v>355.51000000000005</v>
      </c>
      <c r="J29" s="89"/>
      <c r="K29" s="89"/>
      <c r="L29" s="89"/>
      <c r="M29" s="89"/>
      <c r="N29" s="89"/>
    </row>
    <row r="30" spans="1:14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37">
        <f>$F$25+$F$28</f>
        <v>6068.45</v>
      </c>
      <c r="F30" s="415">
        <f>ROUND(($E$30*$D$30),2)</f>
        <v>412.05</v>
      </c>
      <c r="G30" s="416">
        <f>ROUND(($G$29*$D$30),2)</f>
        <v>32.18</v>
      </c>
      <c r="H30" s="417">
        <f>ROUND((H29*D30),2)</f>
        <v>0</v>
      </c>
      <c r="I30" s="418">
        <f>ROUND(($I$29*$D$30),2)</f>
        <v>24.14</v>
      </c>
      <c r="J30" s="89"/>
      <c r="K30" s="89"/>
      <c r="L30" s="89"/>
      <c r="M30" s="89"/>
      <c r="N30" s="89"/>
    </row>
    <row r="31" spans="1:14" ht="24.75" customHeight="1" x14ac:dyDescent="0.2">
      <c r="A31" s="438" t="s">
        <v>408</v>
      </c>
      <c r="B31" s="439"/>
      <c r="C31" s="439"/>
      <c r="D31" s="440">
        <f>SUM($D$28:$D$30)</f>
        <v>9.7900000000000001E-2</v>
      </c>
      <c r="E31" s="441"/>
      <c r="F31" s="426">
        <f>$F$28+$F$30</f>
        <v>588.79999999999995</v>
      </c>
      <c r="G31" s="427">
        <f>$G$28+$G$30</f>
        <v>45.980000000000004</v>
      </c>
      <c r="H31" s="428">
        <f>H28+H30</f>
        <v>0</v>
      </c>
      <c r="I31" s="429">
        <f>$I$28+$I$30</f>
        <v>34.49</v>
      </c>
      <c r="J31" s="89"/>
      <c r="K31" s="89"/>
      <c r="L31" s="89"/>
      <c r="M31" s="89"/>
      <c r="N31" s="89"/>
    </row>
    <row r="32" spans="1:14" ht="24.75" customHeight="1" x14ac:dyDescent="0.2">
      <c r="A32" s="714" t="s">
        <v>409</v>
      </c>
      <c r="B32" s="714"/>
      <c r="C32" s="714"/>
      <c r="D32" s="714"/>
      <c r="E32" s="714"/>
      <c r="F32" s="426">
        <f>$F$14+$F$24+$F$31</f>
        <v>6480.5</v>
      </c>
      <c r="G32" s="427">
        <f>$G$14+$G$24+$G$31</f>
        <v>506.04</v>
      </c>
      <c r="H32" s="428">
        <f>H14+H24+H31</f>
        <v>0</v>
      </c>
      <c r="I32" s="429">
        <f>$I$14+$I$24+$I$31</f>
        <v>379.65000000000003</v>
      </c>
      <c r="J32" s="89"/>
      <c r="K32" s="89"/>
      <c r="L32" s="89"/>
      <c r="M32" s="89"/>
      <c r="N32" s="89"/>
    </row>
    <row r="33" spans="1:14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  <c r="M33" s="89"/>
      <c r="N33" s="89"/>
    </row>
    <row r="34" spans="1:14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ROUND(($F$39*$D$34),2)</f>
        <v>574.36</v>
      </c>
      <c r="G34" s="416">
        <f>ROUND(($G$39*$D$34),2)</f>
        <v>44.85</v>
      </c>
      <c r="H34" s="417">
        <f>ROUND(($H$39*$D$34),2)</f>
        <v>0</v>
      </c>
      <c r="I34" s="418">
        <f>ROUND(($I$39*$D$34),2)</f>
        <v>33.65</v>
      </c>
      <c r="J34" s="89"/>
      <c r="K34" s="89"/>
      <c r="L34" s="89"/>
      <c r="M34" s="89"/>
      <c r="N34" s="89"/>
    </row>
    <row r="35" spans="1:14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ROUND(($F$39*$D$35),2)</f>
        <v>124.7</v>
      </c>
      <c r="G35" s="416">
        <f>ROUND(($G$39*$D$35),2)</f>
        <v>9.74</v>
      </c>
      <c r="H35" s="417">
        <f>ROUND(($H$39*$D$35),2)</f>
        <v>0</v>
      </c>
      <c r="I35" s="418">
        <f>ROUND(($I$39*$D$35),2)</f>
        <v>7.31</v>
      </c>
      <c r="J35" s="89"/>
      <c r="K35" s="89"/>
      <c r="L35" s="89"/>
      <c r="M35" s="89"/>
      <c r="N35" s="89"/>
    </row>
    <row r="36" spans="1:14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ROUND(($F$39*$D$36),2)</f>
        <v>377.87</v>
      </c>
      <c r="G36" s="416">
        <f>ROUND(($G$39*$D$36),2)</f>
        <v>29.51</v>
      </c>
      <c r="H36" s="417">
        <f>ROUND(($H$39*$D$36),2)</f>
        <v>0</v>
      </c>
      <c r="I36" s="418">
        <f>ROUND(($I$39*$D$36),2)</f>
        <v>22.14</v>
      </c>
      <c r="J36" s="89"/>
      <c r="K36" s="89"/>
      <c r="L36" s="89"/>
      <c r="M36" s="89"/>
      <c r="N36" s="89"/>
    </row>
    <row r="37" spans="1:14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  <c r="M37" s="89"/>
      <c r="N37" s="89"/>
    </row>
    <row r="38" spans="1:14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1076.93</v>
      </c>
      <c r="G38" s="426">
        <f>SUM(G34:G37)</f>
        <v>84.100000000000009</v>
      </c>
      <c r="H38" s="426">
        <f>SUM(H34:H37)</f>
        <v>0</v>
      </c>
      <c r="I38" s="445">
        <f>SUM(I34:I37)</f>
        <v>63.1</v>
      </c>
      <c r="J38" s="89"/>
      <c r="K38" s="89"/>
      <c r="L38" s="89"/>
      <c r="M38" s="89"/>
      <c r="N38" s="89"/>
    </row>
    <row r="39" spans="1:14" ht="34.5" hidden="1" customHeight="1" x14ac:dyDescent="0.2">
      <c r="A39" s="716" t="str">
        <f>A7</f>
        <v>Encarregado Geral - 220</v>
      </c>
      <c r="B39" s="716"/>
      <c r="C39" s="716"/>
      <c r="D39" s="716"/>
      <c r="E39" s="716"/>
      <c r="F39" s="446">
        <f>ROUND($F$32/(1-$D$38),2)</f>
        <v>7557.43</v>
      </c>
      <c r="G39" s="447">
        <f>ROUND($G$32/(1-$D$38),2)</f>
        <v>590.13</v>
      </c>
      <c r="H39" s="448">
        <f>ROUND($H$32/(1-$D$38),2)</f>
        <v>0</v>
      </c>
      <c r="I39" s="449">
        <f>ROUND($I$32/(1-$D$38),2)</f>
        <v>442.74</v>
      </c>
      <c r="J39" s="89"/>
      <c r="K39" s="89"/>
      <c r="L39" s="89"/>
      <c r="M39" s="89"/>
      <c r="N39" s="89"/>
    </row>
    <row r="40" spans="1:14" ht="30" customHeight="1" x14ac:dyDescent="0.2">
      <c r="A40" s="745" t="str">
        <f>A7</f>
        <v>Encarregado Geral - 220</v>
      </c>
      <c r="B40" s="745"/>
      <c r="C40" s="745"/>
      <c r="D40" s="745"/>
      <c r="E40" s="745"/>
      <c r="F40" s="468">
        <f>$F$39</f>
        <v>7557.43</v>
      </c>
      <c r="G40" s="469">
        <f>$G$39</f>
        <v>590.13</v>
      </c>
      <c r="H40" s="462">
        <f>$H$39</f>
        <v>0</v>
      </c>
      <c r="I40" s="463">
        <f>$I$39</f>
        <v>442.74</v>
      </c>
      <c r="J40" s="89"/>
      <c r="K40" s="89"/>
      <c r="L40" s="89"/>
      <c r="M40" s="89"/>
      <c r="N40" s="89"/>
    </row>
    <row r="41" spans="1:14" ht="29.25" customHeight="1" x14ac:dyDescent="0.2">
      <c r="A41" s="744" t="s">
        <v>412</v>
      </c>
      <c r="B41" s="744"/>
      <c r="C41" s="744"/>
      <c r="D41" s="744"/>
      <c r="E41" s="744"/>
      <c r="F41" s="470">
        <f>($F$40/$F$12)/100</f>
        <v>2.7442346029129285E-2</v>
      </c>
      <c r="G41" s="471"/>
      <c r="H41" s="465"/>
      <c r="I41" s="466"/>
      <c r="J41" s="89"/>
      <c r="K41" s="89"/>
      <c r="L41" s="89"/>
      <c r="M41" s="89"/>
      <c r="N41" s="89"/>
    </row>
    <row r="42" spans="1:14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  <c r="M42" s="89"/>
      <c r="N42" s="89"/>
    </row>
    <row r="43" spans="1:14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  <c r="M43" s="89"/>
      <c r="N43" s="89"/>
    </row>
    <row r="44" spans="1:14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  <c r="M44" s="89"/>
      <c r="N44" s="89"/>
    </row>
    <row r="45" spans="1:14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  <c r="M45" s="89"/>
      <c r="N45" s="89"/>
    </row>
    <row r="46" spans="1:14" x14ac:dyDescent="0.2">
      <c r="A46" s="89"/>
      <c r="B46" s="89"/>
      <c r="C46" s="89"/>
      <c r="D46" s="89"/>
      <c r="E46" s="89"/>
      <c r="F46" s="458"/>
      <c r="G46" s="458"/>
      <c r="H46" s="458"/>
      <c r="I46" s="89"/>
      <c r="J46" s="89"/>
      <c r="K46" s="89"/>
      <c r="L46" s="89"/>
      <c r="M46" s="89"/>
      <c r="N46" s="89"/>
    </row>
    <row r="47" spans="1:14" x14ac:dyDescent="0.2">
      <c r="A47" s="89"/>
      <c r="B47" s="89"/>
      <c r="C47" s="89"/>
      <c r="D47" s="89"/>
      <c r="E47" s="89"/>
      <c r="F47" s="458"/>
      <c r="G47" s="458"/>
      <c r="H47" s="458"/>
      <c r="I47" s="89"/>
      <c r="J47" s="89"/>
      <c r="K47" s="89"/>
      <c r="L47" s="89"/>
      <c r="M47" s="89"/>
      <c r="N47" s="89"/>
    </row>
    <row r="48" spans="1:14" x14ac:dyDescent="0.2">
      <c r="A48" s="89"/>
      <c r="B48" s="89"/>
      <c r="C48" s="89"/>
      <c r="D48" s="89"/>
      <c r="E48" s="89"/>
      <c r="F48" s="458"/>
      <c r="G48" s="458"/>
      <c r="H48" s="458"/>
      <c r="I48" s="89"/>
      <c r="J48" s="89"/>
      <c r="K48" s="89"/>
      <c r="L48" s="89"/>
      <c r="M48" s="89"/>
      <c r="N48" s="89"/>
    </row>
  </sheetData>
  <sheetProtection algorithmName="SHA-512" hashValue="04KDaZ9DI5SzG3Bpt6ZnrZ/DgGqeQTdThKUw7U4LLBzjjWFbyXOrj3p0sV8sBMeHkxZcTogyUPdcToL0qlxSkg==" saltValue="DT4HHKOuhWQic68UPu95/g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2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31" customWidth="1"/>
    <col min="3" max="3" width="8.6640625" customWidth="1"/>
    <col min="4" max="5" width="17.5" customWidth="1"/>
    <col min="6" max="8" width="17.83203125" style="398" customWidth="1"/>
    <col min="9" max="9" width="17.83203125" customWidth="1"/>
  </cols>
  <sheetData>
    <row r="1" spans="1:9" x14ac:dyDescent="0.2">
      <c r="A1" s="476"/>
      <c r="B1" s="400" t="s">
        <v>0</v>
      </c>
      <c r="C1" s="477"/>
      <c r="D1" s="477"/>
      <c r="E1" s="477"/>
      <c r="F1" s="478"/>
      <c r="G1" s="478"/>
      <c r="H1" s="478"/>
      <c r="I1" s="479"/>
    </row>
    <row r="2" spans="1:9" x14ac:dyDescent="0.2">
      <c r="A2" s="480"/>
      <c r="B2" s="405" t="s">
        <v>1</v>
      </c>
      <c r="C2" s="481"/>
      <c r="D2" s="481"/>
      <c r="E2" s="481"/>
      <c r="F2" s="482"/>
      <c r="G2" s="482"/>
      <c r="H2" s="482"/>
      <c r="I2" s="483"/>
    </row>
    <row r="3" spans="1:9" x14ac:dyDescent="0.2">
      <c r="A3" s="484"/>
      <c r="B3" s="405" t="s">
        <v>2</v>
      </c>
      <c r="C3" s="481"/>
      <c r="D3" s="481"/>
      <c r="E3" s="481"/>
      <c r="F3" s="482"/>
      <c r="G3" s="482"/>
      <c r="H3" s="482"/>
      <c r="I3" s="483"/>
    </row>
    <row r="4" spans="1:9" ht="32.25" customHeight="1" x14ac:dyDescent="0.2">
      <c r="A4" s="770" t="s">
        <v>377</v>
      </c>
      <c r="B4" s="770"/>
      <c r="C4" s="770"/>
      <c r="D4" s="770"/>
      <c r="E4" s="770"/>
      <c r="F4" s="770"/>
      <c r="G4" s="770"/>
      <c r="H4" s="770"/>
      <c r="I4" s="770"/>
    </row>
    <row r="5" spans="1:9" ht="32.25" customHeight="1" x14ac:dyDescent="0.2">
      <c r="A5" s="771" t="str">
        <f>Dados!A5</f>
        <v>Sindicato utilizado - SINDEAC/MG. Vigência: 01/01/2023 à 31/12/2023
Sendo a data base da categoria 01º de Janeiro. Com número de registro no MTE MG000001/2023.</v>
      </c>
      <c r="B5" s="771"/>
      <c r="C5" s="771"/>
      <c r="D5" s="771"/>
      <c r="E5" s="771"/>
      <c r="F5" s="771"/>
      <c r="G5" s="771"/>
      <c r="H5" s="771"/>
      <c r="I5" s="771"/>
    </row>
    <row r="6" spans="1:9" ht="22.5" customHeight="1" x14ac:dyDescent="0.2">
      <c r="A6" s="772" t="s">
        <v>378</v>
      </c>
      <c r="B6" s="772"/>
      <c r="C6" s="772"/>
      <c r="D6" s="772"/>
      <c r="E6" s="772"/>
      <c r="F6" s="772"/>
      <c r="G6" s="772"/>
      <c r="H6" s="772"/>
      <c r="I6" s="772"/>
    </row>
    <row r="7" spans="1:9" ht="30" customHeight="1" x14ac:dyDescent="0.2">
      <c r="A7" s="773" t="str">
        <f>Dados!$B$17&amp;" - "&amp;$D$10</f>
        <v>Operador e Editor de Áudio e Vídeo - 150</v>
      </c>
      <c r="B7" s="773"/>
      <c r="C7" s="773"/>
      <c r="D7" s="773"/>
      <c r="E7" s="773"/>
      <c r="F7" s="774" t="s">
        <v>379</v>
      </c>
      <c r="G7" s="774" t="s">
        <v>380</v>
      </c>
      <c r="H7" s="775" t="s">
        <v>381</v>
      </c>
      <c r="I7" s="776" t="s">
        <v>382</v>
      </c>
    </row>
    <row r="8" spans="1:9" ht="18" customHeight="1" x14ac:dyDescent="0.2">
      <c r="A8" s="777" t="s">
        <v>383</v>
      </c>
      <c r="B8" s="777"/>
      <c r="C8" s="777"/>
      <c r="D8" s="777"/>
      <c r="E8" s="485" t="s">
        <v>160</v>
      </c>
      <c r="F8" s="774"/>
      <c r="G8" s="774"/>
      <c r="H8" s="775"/>
      <c r="I8" s="776"/>
    </row>
    <row r="9" spans="1:9" ht="24.75" customHeight="1" x14ac:dyDescent="0.2">
      <c r="A9" s="486" t="s">
        <v>384</v>
      </c>
      <c r="B9" s="763" t="s">
        <v>385</v>
      </c>
      <c r="C9" s="763"/>
      <c r="D9" s="487" t="s">
        <v>386</v>
      </c>
      <c r="E9" s="488" t="s">
        <v>387</v>
      </c>
      <c r="F9" s="764" t="s">
        <v>388</v>
      </c>
      <c r="G9" s="764"/>
      <c r="H9" s="764"/>
      <c r="I9" s="764"/>
    </row>
    <row r="10" spans="1:9" ht="28.5" customHeight="1" x14ac:dyDescent="0.2">
      <c r="A10" s="765">
        <v>1</v>
      </c>
      <c r="B10" s="766" t="str">
        <f>A7</f>
        <v>Operador e Editor de Áudio e Vídeo - 150</v>
      </c>
      <c r="C10" s="766"/>
      <c r="D10" s="489">
        <f>Dados!$C$17</f>
        <v>150</v>
      </c>
      <c r="E10" s="490">
        <f>Dados!$E$17</f>
        <v>4789.71</v>
      </c>
      <c r="F10" s="491">
        <f>ROUND(E10/200*D10,2)</f>
        <v>3592.28</v>
      </c>
      <c r="G10" s="492"/>
      <c r="H10" s="493"/>
      <c r="I10" s="494"/>
    </row>
    <row r="11" spans="1:9" ht="24" customHeight="1" x14ac:dyDescent="0.2">
      <c r="A11" s="765"/>
      <c r="B11" s="767"/>
      <c r="C11" s="767"/>
      <c r="D11" s="495"/>
      <c r="E11" s="496"/>
      <c r="F11" s="491">
        <f>ROUND(((E11/220*D10)*C11)*D11,2)</f>
        <v>0</v>
      </c>
      <c r="G11" s="492"/>
      <c r="H11" s="493"/>
      <c r="I11" s="494"/>
    </row>
    <row r="12" spans="1:9" ht="19.5" customHeight="1" x14ac:dyDescent="0.2">
      <c r="A12" s="765"/>
      <c r="B12" s="768" t="s">
        <v>389</v>
      </c>
      <c r="C12" s="768"/>
      <c r="D12" s="768"/>
      <c r="E12" s="768"/>
      <c r="F12" s="497">
        <f>F10+F11</f>
        <v>3592.28</v>
      </c>
      <c r="G12" s="498"/>
      <c r="H12" s="499"/>
      <c r="I12" s="500"/>
    </row>
    <row r="13" spans="1:9" ht="19.5" customHeight="1" x14ac:dyDescent="0.2">
      <c r="A13" s="765"/>
      <c r="B13" s="769" t="s">
        <v>390</v>
      </c>
      <c r="C13" s="769"/>
      <c r="D13" s="769"/>
      <c r="E13" s="501">
        <f>Dados!G28</f>
        <v>0.79049999999999998</v>
      </c>
      <c r="F13" s="502">
        <f>(ROUND((E13*F12),2))</f>
        <v>2839.7</v>
      </c>
      <c r="G13" s="503"/>
      <c r="H13" s="493"/>
      <c r="I13" s="494"/>
    </row>
    <row r="14" spans="1:9" ht="24.75" customHeight="1" x14ac:dyDescent="0.2">
      <c r="A14" s="751" t="s">
        <v>391</v>
      </c>
      <c r="B14" s="751"/>
      <c r="C14" s="751"/>
      <c r="D14" s="751"/>
      <c r="E14" s="751"/>
      <c r="F14" s="497">
        <f>ROUND(SUM(F12:F13),2)</f>
        <v>6431.98</v>
      </c>
      <c r="G14" s="504"/>
      <c r="H14" s="505"/>
      <c r="I14" s="506"/>
    </row>
    <row r="15" spans="1:9" ht="19.5" customHeight="1" x14ac:dyDescent="0.2">
      <c r="A15" s="752" t="s">
        <v>392</v>
      </c>
      <c r="B15" s="752"/>
      <c r="C15" s="752"/>
      <c r="D15" s="752"/>
      <c r="E15" s="752"/>
      <c r="F15" s="752"/>
      <c r="G15" s="752"/>
      <c r="H15" s="752"/>
      <c r="I15" s="752"/>
    </row>
    <row r="16" spans="1:9" ht="19.5" customHeight="1" x14ac:dyDescent="0.2">
      <c r="A16" s="761" t="s">
        <v>393</v>
      </c>
      <c r="B16" s="761"/>
      <c r="C16" s="507" t="s">
        <v>394</v>
      </c>
      <c r="D16" s="762" t="s">
        <v>395</v>
      </c>
      <c r="E16" s="762"/>
      <c r="F16" s="762"/>
      <c r="G16" s="762"/>
      <c r="H16" s="762"/>
      <c r="I16" s="762"/>
    </row>
    <row r="17" spans="1:9" ht="19.5" customHeight="1" x14ac:dyDescent="0.2">
      <c r="A17" s="755" t="s">
        <v>396</v>
      </c>
      <c r="B17" s="755"/>
      <c r="C17" s="508"/>
      <c r="D17" s="509"/>
      <c r="E17" s="490"/>
      <c r="F17" s="502">
        <f>Dados!$I$17</f>
        <v>53.87</v>
      </c>
      <c r="G17" s="503"/>
      <c r="H17" s="493"/>
      <c r="I17" s="494"/>
    </row>
    <row r="18" spans="1:9" ht="19.5" customHeight="1" x14ac:dyDescent="0.2">
      <c r="A18" s="755" t="s">
        <v>397</v>
      </c>
      <c r="B18" s="755"/>
      <c r="C18" s="508"/>
      <c r="D18" s="509"/>
      <c r="E18" s="510"/>
      <c r="F18" s="502">
        <f>Dados!G35</f>
        <v>2.2000000000000002</v>
      </c>
      <c r="G18" s="503"/>
      <c r="H18" s="493"/>
      <c r="I18" s="494"/>
    </row>
    <row r="19" spans="1:9" ht="25.5" customHeight="1" x14ac:dyDescent="0.2">
      <c r="A19" s="759" t="s">
        <v>398</v>
      </c>
      <c r="B19" s="759"/>
      <c r="C19" s="508"/>
      <c r="D19" s="509"/>
      <c r="E19" s="511"/>
      <c r="F19" s="502">
        <f>Dados!$G$36</f>
        <v>80.72</v>
      </c>
      <c r="G19" s="503"/>
      <c r="H19" s="493"/>
      <c r="I19" s="494"/>
    </row>
    <row r="20" spans="1:9" ht="25.5" customHeight="1" x14ac:dyDescent="0.2">
      <c r="A20" s="760" t="s">
        <v>207</v>
      </c>
      <c r="B20" s="760"/>
      <c r="C20" s="493">
        <f>Dados!$G$38</f>
        <v>22</v>
      </c>
      <c r="D20" s="508">
        <f>Dados!$G$37</f>
        <v>26.14</v>
      </c>
      <c r="E20" s="512">
        <f>Dados!$G$39</f>
        <v>0.2</v>
      </c>
      <c r="F20" s="502">
        <f>ROUND((IF(D10&gt;150,((C20*D20)-(E20*(C20*D20))),0)),2)</f>
        <v>0</v>
      </c>
      <c r="G20" s="503">
        <f>F20</f>
        <v>0</v>
      </c>
      <c r="H20" s="493"/>
      <c r="I20" s="494"/>
    </row>
    <row r="21" spans="1:9" ht="19.5" customHeight="1" x14ac:dyDescent="0.2">
      <c r="A21" s="755" t="s">
        <v>413</v>
      </c>
      <c r="B21" s="755"/>
      <c r="C21" s="493">
        <f>Dados!$G$44</f>
        <v>22</v>
      </c>
      <c r="D21" s="493">
        <f>Dados!$G$43</f>
        <v>7.1</v>
      </c>
      <c r="E21" s="490">
        <f>Dados!$G$41</f>
        <v>4.5</v>
      </c>
      <c r="F21" s="502">
        <f>ROUND((($C$21*$D$21*Dados!$G$42)+($C$21*$E$21*Dados!$G$40) -(F10*Dados!$G$45)),2)</f>
        <v>294.86</v>
      </c>
      <c r="G21" s="503"/>
      <c r="H21" s="493"/>
      <c r="I21" s="494">
        <f>F21</f>
        <v>294.86</v>
      </c>
    </row>
    <row r="22" spans="1:9" ht="19.5" customHeight="1" x14ac:dyDescent="0.2">
      <c r="A22" s="755" t="str">
        <f>Dados!B46</f>
        <v>Outros (inserir somente com a justificativa legal)</v>
      </c>
      <c r="B22" s="755"/>
      <c r="C22" s="493">
        <v>1</v>
      </c>
      <c r="D22" s="493">
        <f>Dados!$G$46</f>
        <v>0</v>
      </c>
      <c r="E22" s="490"/>
      <c r="F22" s="502">
        <f>ROUND((C22*D22),2)</f>
        <v>0</v>
      </c>
      <c r="G22" s="503"/>
      <c r="H22" s="493"/>
      <c r="I22" s="494"/>
    </row>
    <row r="23" spans="1:9" ht="19.5" customHeight="1" x14ac:dyDescent="0.2">
      <c r="A23" s="755" t="str">
        <f>Dados!B47</f>
        <v>Outros (inserir somente com a justificativa legal)</v>
      </c>
      <c r="B23" s="755"/>
      <c r="C23" s="493">
        <v>1</v>
      </c>
      <c r="D23" s="493">
        <f>Dados!$G$47</f>
        <v>0</v>
      </c>
      <c r="E23" s="490"/>
      <c r="F23" s="502">
        <f>ROUND((C23*D23),2)</f>
        <v>0</v>
      </c>
      <c r="G23" s="503"/>
      <c r="H23" s="493"/>
      <c r="I23" s="494"/>
    </row>
    <row r="24" spans="1:9" ht="24.75" customHeight="1" x14ac:dyDescent="0.2">
      <c r="A24" s="751" t="s">
        <v>401</v>
      </c>
      <c r="B24" s="751"/>
      <c r="C24" s="751"/>
      <c r="D24" s="751"/>
      <c r="E24" s="751"/>
      <c r="F24" s="497">
        <f>SUM(F17:F23)</f>
        <v>431.65</v>
      </c>
      <c r="G24" s="497">
        <f>SUM(G17:G23)</f>
        <v>0</v>
      </c>
      <c r="H24" s="505">
        <f>SUM($H$17:$H$23)</f>
        <v>0</v>
      </c>
      <c r="I24" s="506">
        <f>SUM($I$17:$I$23)</f>
        <v>294.86</v>
      </c>
    </row>
    <row r="25" spans="1:9" ht="24.75" customHeight="1" x14ac:dyDescent="0.2">
      <c r="A25" s="751" t="s">
        <v>402</v>
      </c>
      <c r="B25" s="751"/>
      <c r="C25" s="751"/>
      <c r="D25" s="751"/>
      <c r="E25" s="751"/>
      <c r="F25" s="497">
        <f>$F$14+$F$24</f>
        <v>6863.6299999999992</v>
      </c>
      <c r="G25" s="497">
        <f>$G$14+$G$24</f>
        <v>0</v>
      </c>
      <c r="H25" s="505">
        <f>$H$14+$H$24</f>
        <v>0</v>
      </c>
      <c r="I25" s="506">
        <f>$I$14+$I$24</f>
        <v>294.86</v>
      </c>
    </row>
    <row r="26" spans="1:9" ht="19.5" customHeight="1" x14ac:dyDescent="0.2">
      <c r="A26" s="752" t="s">
        <v>403</v>
      </c>
      <c r="B26" s="752"/>
      <c r="C26" s="752"/>
      <c r="D26" s="752"/>
      <c r="E26" s="752"/>
      <c r="F26" s="752"/>
      <c r="G26" s="752"/>
      <c r="H26" s="752"/>
      <c r="I26" s="752"/>
    </row>
    <row r="27" spans="1:9" ht="19.5" customHeight="1" x14ac:dyDescent="0.2">
      <c r="A27" s="756" t="s">
        <v>404</v>
      </c>
      <c r="B27" s="756"/>
      <c r="C27" s="756"/>
      <c r="D27" s="757" t="s">
        <v>405</v>
      </c>
      <c r="E27" s="757"/>
      <c r="F27" s="758" t="s">
        <v>388</v>
      </c>
      <c r="G27" s="758"/>
      <c r="H27" s="758"/>
      <c r="I27" s="758"/>
    </row>
    <row r="28" spans="1:9" ht="19.5" customHeight="1" x14ac:dyDescent="0.2">
      <c r="A28" s="513" t="s">
        <v>406</v>
      </c>
      <c r="B28" s="514"/>
      <c r="C28" s="514"/>
      <c r="D28" s="509">
        <f>Dados!$G$50</f>
        <v>0.03</v>
      </c>
      <c r="E28" s="492"/>
      <c r="F28" s="502">
        <f>ROUND(($F$25*$D$28),2)</f>
        <v>205.91</v>
      </c>
      <c r="G28" s="503">
        <f>ROUND(($G$25*$D$28),2)</f>
        <v>0</v>
      </c>
      <c r="H28" s="493">
        <f>ROUND((H25*D28),2)</f>
        <v>0</v>
      </c>
      <c r="I28" s="494">
        <f>ROUND(($I$25*$D$28),2)</f>
        <v>8.85</v>
      </c>
    </row>
    <row r="29" spans="1:9" ht="19.5" customHeight="1" x14ac:dyDescent="0.2">
      <c r="A29" s="750" t="s">
        <v>407</v>
      </c>
      <c r="B29" s="750"/>
      <c r="C29" s="750"/>
      <c r="D29" s="509"/>
      <c r="E29" s="492"/>
      <c r="F29" s="502">
        <f>$F$25+$F$28</f>
        <v>7069.5399999999991</v>
      </c>
      <c r="G29" s="503">
        <f>$G$28+$G$25</f>
        <v>0</v>
      </c>
      <c r="H29" s="493">
        <f>H25+H28</f>
        <v>0</v>
      </c>
      <c r="I29" s="494">
        <f>$I$25+$I$28</f>
        <v>303.71000000000004</v>
      </c>
    </row>
    <row r="30" spans="1:9" ht="19.5" customHeight="1" x14ac:dyDescent="0.2">
      <c r="A30" s="513" t="s">
        <v>227</v>
      </c>
      <c r="B30" s="514"/>
      <c r="C30" s="514"/>
      <c r="D30" s="509">
        <f>Dados!$G$51</f>
        <v>6.7900000000000002E-2</v>
      </c>
      <c r="E30" s="492">
        <f>$F$25+$F$28</f>
        <v>7069.5399999999991</v>
      </c>
      <c r="F30" s="502">
        <f>ROUND(($E$30*$D$30),2)</f>
        <v>480.02</v>
      </c>
      <c r="G30" s="503">
        <f>ROUND(($G$29*$D$30),2)</f>
        <v>0</v>
      </c>
      <c r="H30" s="493">
        <f>ROUND((H29*D30),2)</f>
        <v>0</v>
      </c>
      <c r="I30" s="494">
        <f>ROUND(($I$29*$D$30),2)</f>
        <v>20.62</v>
      </c>
    </row>
    <row r="31" spans="1:9" ht="24.75" customHeight="1" x14ac:dyDescent="0.2">
      <c r="A31" s="515" t="s">
        <v>408</v>
      </c>
      <c r="B31" s="516"/>
      <c r="C31" s="516"/>
      <c r="D31" s="517">
        <f>SUM($D$28:$D$30)</f>
        <v>9.7900000000000001E-2</v>
      </c>
      <c r="E31" s="518"/>
      <c r="F31" s="497">
        <f>$F$28+$F$30</f>
        <v>685.93</v>
      </c>
      <c r="G31" s="504">
        <f>$G$28+$G$30</f>
        <v>0</v>
      </c>
      <c r="H31" s="505">
        <f>H28+H30</f>
        <v>0</v>
      </c>
      <c r="I31" s="506">
        <f>$I$28+$I$30</f>
        <v>29.47</v>
      </c>
    </row>
    <row r="32" spans="1:9" ht="24.75" customHeight="1" x14ac:dyDescent="0.2">
      <c r="A32" s="751" t="s">
        <v>409</v>
      </c>
      <c r="B32" s="751"/>
      <c r="C32" s="751"/>
      <c r="D32" s="751"/>
      <c r="E32" s="751"/>
      <c r="F32" s="497">
        <f>$F$14+$F$24+$F$31</f>
        <v>7549.5599999999995</v>
      </c>
      <c r="G32" s="504">
        <f>$G$14+$G$24+$G$31</f>
        <v>0</v>
      </c>
      <c r="H32" s="505">
        <f>H14+H24+H31</f>
        <v>0</v>
      </c>
      <c r="I32" s="506">
        <f>$I$14+$I$24+$I$31</f>
        <v>324.33000000000004</v>
      </c>
    </row>
    <row r="33" spans="1:9" ht="19.5" customHeight="1" x14ac:dyDescent="0.2">
      <c r="A33" s="752" t="s">
        <v>410</v>
      </c>
      <c r="B33" s="752"/>
      <c r="C33" s="752"/>
      <c r="D33" s="752"/>
      <c r="E33" s="752"/>
      <c r="F33" s="752"/>
      <c r="G33" s="752"/>
      <c r="H33" s="752"/>
      <c r="I33" s="752"/>
    </row>
    <row r="34" spans="1:9" ht="19.5" customHeight="1" x14ac:dyDescent="0.2">
      <c r="A34" s="513" t="s">
        <v>232</v>
      </c>
      <c r="B34" s="514"/>
      <c r="C34" s="519"/>
      <c r="D34" s="509">
        <f>Dados!$G$58</f>
        <v>7.5999999999999998E-2</v>
      </c>
      <c r="E34" s="490"/>
      <c r="F34" s="502">
        <f>ROUND(($F$39*$D$34),2)</f>
        <v>669.12</v>
      </c>
      <c r="G34" s="503">
        <f>ROUND(($G$39*$D$34),2)</f>
        <v>0</v>
      </c>
      <c r="H34" s="493">
        <f>ROUND(($H$39*$D$34),2)</f>
        <v>0</v>
      </c>
      <c r="I34" s="494">
        <f>ROUND(($I$39*$D$34),2)</f>
        <v>28.75</v>
      </c>
    </row>
    <row r="35" spans="1:9" ht="19.5" customHeight="1" x14ac:dyDescent="0.2">
      <c r="A35" s="513" t="s">
        <v>233</v>
      </c>
      <c r="B35" s="514"/>
      <c r="C35" s="519"/>
      <c r="D35" s="509">
        <f>Dados!$G$59</f>
        <v>1.6500000000000001E-2</v>
      </c>
      <c r="E35" s="490"/>
      <c r="F35" s="502">
        <f>ROUND(($F$39*$D$35),2)</f>
        <v>145.27000000000001</v>
      </c>
      <c r="G35" s="503">
        <f>ROUND(($G$39*$D$35),2)</f>
        <v>0</v>
      </c>
      <c r="H35" s="493">
        <f>ROUND(($H$39*$D$35),2)</f>
        <v>0</v>
      </c>
      <c r="I35" s="494">
        <f>ROUND(($I$39*$D$35),2)</f>
        <v>6.24</v>
      </c>
    </row>
    <row r="36" spans="1:9" ht="19.5" customHeight="1" x14ac:dyDescent="0.2">
      <c r="A36" s="513" t="s">
        <v>234</v>
      </c>
      <c r="B36" s="514"/>
      <c r="C36" s="519"/>
      <c r="D36" s="509">
        <f>Dados!$G$60</f>
        <v>0.05</v>
      </c>
      <c r="E36" s="490"/>
      <c r="F36" s="502">
        <f>ROUND(($F$39*$D$36),2)</f>
        <v>440.21</v>
      </c>
      <c r="G36" s="503">
        <f>ROUND(($G$39*$D$36),2)</f>
        <v>0</v>
      </c>
      <c r="H36" s="493">
        <f>ROUND(($H$39*$D$36),2)</f>
        <v>0</v>
      </c>
      <c r="I36" s="494">
        <f>ROUND(($I$39*$D$36),2)</f>
        <v>18.91</v>
      </c>
    </row>
    <row r="37" spans="1:9" ht="19.5" customHeight="1" x14ac:dyDescent="0.2">
      <c r="A37" s="513" t="str">
        <f>Dados!B61</f>
        <v>Outros (inserir somente com a justificativa legal)</v>
      </c>
      <c r="B37" s="514"/>
      <c r="C37" s="519"/>
      <c r="D37" s="509">
        <f>Dados!G61</f>
        <v>0</v>
      </c>
      <c r="E37" s="490"/>
      <c r="F37" s="502">
        <f>ROUND((F39*$D$37),2)</f>
        <v>0</v>
      </c>
      <c r="G37" s="502">
        <f>ROUND((G39*$D$37),2)</f>
        <v>0</v>
      </c>
      <c r="H37" s="502">
        <f>ROUND((H39*$D$37),2)</f>
        <v>0</v>
      </c>
      <c r="I37" s="502">
        <f>ROUND((I39*$D$37),2)</f>
        <v>0</v>
      </c>
    </row>
    <row r="38" spans="1:9" ht="30" customHeight="1" x14ac:dyDescent="0.2">
      <c r="A38" s="515" t="s">
        <v>411</v>
      </c>
      <c r="B38" s="516"/>
      <c r="C38" s="520"/>
      <c r="D38" s="517">
        <f>SUM(D34:D37)</f>
        <v>0.14250000000000002</v>
      </c>
      <c r="E38" s="521"/>
      <c r="F38" s="497">
        <f>SUM(F34:F37)</f>
        <v>1254.5999999999999</v>
      </c>
      <c r="G38" s="497">
        <f>SUM(G34:G37)</f>
        <v>0</v>
      </c>
      <c r="H38" s="497">
        <f>SUM(H34:H37)</f>
        <v>0</v>
      </c>
      <c r="I38" s="522">
        <f>SUM(I34:I37)</f>
        <v>53.900000000000006</v>
      </c>
    </row>
    <row r="39" spans="1:9" ht="34.5" hidden="1" customHeight="1" x14ac:dyDescent="0.2">
      <c r="A39" s="753" t="str">
        <f>A7</f>
        <v>Operador e Editor de Áudio e Vídeo - 150</v>
      </c>
      <c r="B39" s="753"/>
      <c r="C39" s="753"/>
      <c r="D39" s="753"/>
      <c r="E39" s="753"/>
      <c r="F39" s="523">
        <f>ROUND($F$32/(1-$D$38),2)</f>
        <v>8804.15</v>
      </c>
      <c r="G39" s="524">
        <f>ROUND($G$32/(1-$D$38),2)</f>
        <v>0</v>
      </c>
      <c r="H39" s="525">
        <f>ROUND($H$32/(1-$D$38),2)</f>
        <v>0</v>
      </c>
      <c r="I39" s="526">
        <f>ROUND($I$32/(1-$D$38),2)</f>
        <v>378.23</v>
      </c>
    </row>
    <row r="40" spans="1:9" ht="30" customHeight="1" x14ac:dyDescent="0.2">
      <c r="A40" s="754" t="str">
        <f>A7</f>
        <v>Operador e Editor de Áudio e Vídeo - 150</v>
      </c>
      <c r="B40" s="754"/>
      <c r="C40" s="754"/>
      <c r="D40" s="754"/>
      <c r="E40" s="754"/>
      <c r="F40" s="527">
        <f>$F$39</f>
        <v>8804.15</v>
      </c>
      <c r="G40" s="528">
        <f>$G$39</f>
        <v>0</v>
      </c>
      <c r="H40" s="529">
        <f>$H$39</f>
        <v>0</v>
      </c>
      <c r="I40" s="530">
        <f>$I$39</f>
        <v>378.23</v>
      </c>
    </row>
    <row r="41" spans="1:9" ht="29.25" customHeight="1" x14ac:dyDescent="0.2">
      <c r="A41" s="749" t="s">
        <v>412</v>
      </c>
      <c r="B41" s="749"/>
      <c r="C41" s="749"/>
      <c r="D41" s="749"/>
      <c r="E41" s="749"/>
      <c r="F41" s="531">
        <f>($F$40/$F$12)/100</f>
        <v>2.4508529401939715E-2</v>
      </c>
      <c r="G41" s="532"/>
      <c r="H41" s="533"/>
      <c r="I41" s="534"/>
    </row>
    <row r="42" spans="1:9" ht="24" customHeight="1" x14ac:dyDescent="0.2"/>
  </sheetData>
  <sheetProtection algorithmName="SHA-512" hashValue="gI0ghnEHXqWfRsBNEJJjfUxaOVFLZZVHBLdzCv4YamdZ4I58jVQK6Kqkh1gE9iT8IZYPjFxNfRq1mmxqmpcRwg==" saltValue="5VaHZRb+QRfDGPlGuHh2xQ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6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1" customWidth="1"/>
    <col min="4" max="5" width="17.5" customWidth="1"/>
    <col min="6" max="8" width="17.83203125" style="398" customWidth="1"/>
    <col min="9" max="9" width="17.83203125" customWidth="1"/>
  </cols>
  <sheetData>
    <row r="1" spans="1:16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  <c r="M1" s="89"/>
      <c r="N1" s="89"/>
      <c r="O1" s="89"/>
      <c r="P1" s="89"/>
    </row>
    <row r="2" spans="1:16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  <c r="M2" s="89"/>
      <c r="N2" s="89"/>
      <c r="O2" s="89"/>
      <c r="P2" s="89"/>
    </row>
    <row r="3" spans="1:16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  <c r="M3" s="89"/>
      <c r="N3" s="89"/>
      <c r="O3" s="89"/>
      <c r="P3" s="89"/>
    </row>
    <row r="4" spans="1:16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  <c r="M4" s="89"/>
      <c r="N4" s="89"/>
      <c r="O4" s="89"/>
      <c r="P4" s="89"/>
    </row>
    <row r="5" spans="1:16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  <c r="M5" s="89"/>
      <c r="N5" s="89"/>
      <c r="O5" s="89"/>
      <c r="P5" s="89"/>
    </row>
    <row r="6" spans="1:16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  <c r="M6" s="89"/>
      <c r="N6" s="89"/>
      <c r="O6" s="89"/>
      <c r="P6" s="89"/>
    </row>
    <row r="7" spans="1:16" ht="30" customHeight="1" x14ac:dyDescent="0.2">
      <c r="A7" s="735" t="str">
        <f>Dados!$B$18&amp;" - "&amp;$D$10</f>
        <v>Recepcionista  - 220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  <c r="M7" s="89"/>
      <c r="N7" s="89"/>
      <c r="O7" s="89"/>
      <c r="P7" s="89"/>
    </row>
    <row r="8" spans="1:16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  <c r="M8" s="89"/>
      <c r="N8" s="89"/>
      <c r="O8" s="89"/>
      <c r="P8" s="89"/>
    </row>
    <row r="9" spans="1:16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47" t="s">
        <v>388</v>
      </c>
      <c r="G9" s="747"/>
      <c r="H9" s="747"/>
      <c r="I9" s="747"/>
      <c r="J9" s="89"/>
      <c r="K9" s="89"/>
      <c r="L9" s="89"/>
      <c r="M9" s="89"/>
      <c r="N9" s="89"/>
      <c r="O9" s="89"/>
      <c r="P9" s="89"/>
    </row>
    <row r="10" spans="1:16" ht="26.25" customHeight="1" x14ac:dyDescent="0.2">
      <c r="A10" s="727">
        <v>1</v>
      </c>
      <c r="B10" s="728" t="str">
        <f>A7</f>
        <v>Recepcionista  - 220</v>
      </c>
      <c r="C10" s="728"/>
      <c r="D10" s="459">
        <f>Dados!$C$18</f>
        <v>220</v>
      </c>
      <c r="E10" s="414">
        <f>Dados!$E$18</f>
        <v>2472.6799999999998</v>
      </c>
      <c r="F10" s="415">
        <f>ROUND(E10/220*D10,2)</f>
        <v>2472.6799999999998</v>
      </c>
      <c r="G10" s="472"/>
      <c r="H10" s="473"/>
      <c r="I10" s="418"/>
      <c r="J10" s="89"/>
      <c r="K10" s="89"/>
      <c r="L10" s="89"/>
      <c r="M10" s="89"/>
      <c r="N10" s="89"/>
      <c r="O10" s="89"/>
      <c r="P10" s="89"/>
    </row>
    <row r="11" spans="1:16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67"/>
      <c r="J11" s="89"/>
      <c r="K11" s="89"/>
      <c r="L11" s="89"/>
      <c r="M11" s="89"/>
      <c r="N11" s="89"/>
      <c r="O11" s="89"/>
      <c r="P11" s="89"/>
    </row>
    <row r="12" spans="1:16" ht="19.5" customHeight="1" x14ac:dyDescent="0.2">
      <c r="A12" s="727"/>
      <c r="B12" s="730" t="s">
        <v>389</v>
      </c>
      <c r="C12" s="730"/>
      <c r="D12" s="730"/>
      <c r="E12" s="730"/>
      <c r="F12" s="426">
        <f>F10+F11</f>
        <v>2472.6799999999998</v>
      </c>
      <c r="G12" s="422"/>
      <c r="H12" s="423"/>
      <c r="I12" s="429"/>
      <c r="J12" s="89"/>
      <c r="K12" s="89"/>
      <c r="L12" s="89"/>
      <c r="M12" s="89"/>
      <c r="N12" s="89"/>
      <c r="O12" s="89"/>
      <c r="P12" s="89"/>
    </row>
    <row r="13" spans="1:16" ht="19.5" customHeight="1" x14ac:dyDescent="0.2">
      <c r="A13" s="727"/>
      <c r="B13" s="731" t="s">
        <v>390</v>
      </c>
      <c r="C13" s="731"/>
      <c r="D13" s="731"/>
      <c r="E13" s="425">
        <f>Dados!G28</f>
        <v>0.79049999999999998</v>
      </c>
      <c r="F13" s="415">
        <f>(ROUND((E13*F12),2))</f>
        <v>1954.65</v>
      </c>
      <c r="G13" s="416"/>
      <c r="H13" s="417"/>
      <c r="I13" s="418"/>
      <c r="J13" s="89"/>
      <c r="K13" s="89"/>
      <c r="L13" s="89"/>
      <c r="M13" s="89"/>
      <c r="N13" s="89"/>
      <c r="O13" s="89"/>
      <c r="P13" s="89"/>
    </row>
    <row r="14" spans="1:16" ht="24.75" customHeight="1" x14ac:dyDescent="0.2">
      <c r="A14" s="714" t="s">
        <v>391</v>
      </c>
      <c r="B14" s="714"/>
      <c r="C14" s="714"/>
      <c r="D14" s="714"/>
      <c r="E14" s="714"/>
      <c r="F14" s="426">
        <f>ROUND(SUM(F12:F13),2)</f>
        <v>4427.33</v>
      </c>
      <c r="G14" s="427"/>
      <c r="H14" s="428"/>
      <c r="I14" s="429"/>
      <c r="J14" s="89"/>
      <c r="K14" s="89"/>
      <c r="L14" s="89"/>
      <c r="M14" s="89"/>
      <c r="N14" s="89"/>
      <c r="O14" s="89"/>
      <c r="P14" s="89"/>
    </row>
    <row r="15" spans="1:16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  <c r="M15" s="89"/>
      <c r="N15" s="89"/>
      <c r="O15" s="89"/>
      <c r="P15" s="89"/>
    </row>
    <row r="16" spans="1:16" ht="19.5" customHeight="1" x14ac:dyDescent="0.2">
      <c r="A16" s="723" t="s">
        <v>393</v>
      </c>
      <c r="B16" s="723"/>
      <c r="C16" s="430" t="s">
        <v>394</v>
      </c>
      <c r="D16" s="724" t="s">
        <v>388</v>
      </c>
      <c r="E16" s="724"/>
      <c r="F16" s="724"/>
      <c r="G16" s="724"/>
      <c r="H16" s="724"/>
      <c r="I16" s="724"/>
      <c r="J16" s="89"/>
      <c r="K16" s="89"/>
      <c r="L16" s="89"/>
      <c r="M16" s="89"/>
      <c r="N16" s="89"/>
      <c r="O16" s="89"/>
      <c r="P16" s="89"/>
    </row>
    <row r="17" spans="1:16" ht="19.5" customHeight="1" x14ac:dyDescent="0.2">
      <c r="A17" s="718" t="s">
        <v>396</v>
      </c>
      <c r="B17" s="718"/>
      <c r="C17" s="431"/>
      <c r="D17" s="432"/>
      <c r="E17" s="414"/>
      <c r="F17" s="415">
        <f>Dados!$I$18</f>
        <v>72.650000000000006</v>
      </c>
      <c r="G17" s="416"/>
      <c r="H17" s="417"/>
      <c r="I17" s="418"/>
      <c r="J17" s="89"/>
      <c r="K17" s="89"/>
      <c r="L17" s="89"/>
      <c r="M17" s="89"/>
      <c r="N17" s="89"/>
      <c r="O17" s="89"/>
      <c r="P17" s="89"/>
    </row>
    <row r="18" spans="1:16" ht="19.5" customHeight="1" x14ac:dyDescent="0.2">
      <c r="A18" s="718" t="s">
        <v>397</v>
      </c>
      <c r="B18" s="718"/>
      <c r="C18" s="431"/>
      <c r="D18" s="432"/>
      <c r="E18" s="433"/>
      <c r="F18" s="415">
        <f>Dados!$G$35</f>
        <v>2.2000000000000002</v>
      </c>
      <c r="G18" s="416"/>
      <c r="H18" s="417"/>
      <c r="I18" s="418"/>
      <c r="J18" s="89"/>
      <c r="K18" s="89"/>
      <c r="L18" s="89"/>
      <c r="M18" s="89"/>
      <c r="N18" s="89"/>
      <c r="O18" s="89"/>
      <c r="P18" s="89"/>
    </row>
    <row r="19" spans="1:16" ht="25.5" customHeight="1" x14ac:dyDescent="0.2">
      <c r="A19" s="722" t="s">
        <v>398</v>
      </c>
      <c r="B19" s="722"/>
      <c r="C19" s="431"/>
      <c r="D19" s="432"/>
      <c r="E19" s="305"/>
      <c r="F19" s="415">
        <f>Dados!$G$36</f>
        <v>80.72</v>
      </c>
      <c r="G19" s="416"/>
      <c r="H19" s="417"/>
      <c r="I19" s="418"/>
      <c r="J19" s="89"/>
      <c r="K19" s="89"/>
      <c r="L19" s="89"/>
      <c r="M19" s="89"/>
      <c r="N19" s="89"/>
      <c r="O19" s="89"/>
      <c r="P19" s="89"/>
    </row>
    <row r="20" spans="1:16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74">
        <f>ROUND((IF(D10&gt;150,((C20*D20)-(E20*(C20*D20))),0)),2)</f>
        <v>460.06</v>
      </c>
      <c r="G20" s="475">
        <f>F20</f>
        <v>460.06</v>
      </c>
      <c r="H20" s="417"/>
      <c r="I20" s="418"/>
      <c r="J20" s="89"/>
      <c r="K20" s="89"/>
      <c r="L20" s="89"/>
      <c r="M20" s="89"/>
      <c r="N20" s="89"/>
      <c r="O20" s="89"/>
      <c r="P20" s="89"/>
    </row>
    <row r="21" spans="1:16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74">
        <f>ROUND((($C$21*$D$21*Dados!$G$42)+($C$21*$E$21*Dados!$G$40) -(F10*Dados!$G$45)),2)</f>
        <v>362.04</v>
      </c>
      <c r="G21" s="475"/>
      <c r="H21" s="417"/>
      <c r="I21" s="418">
        <f>F21</f>
        <v>362.04</v>
      </c>
      <c r="J21" s="89"/>
      <c r="K21" s="89"/>
      <c r="L21" s="89"/>
      <c r="M21" s="89"/>
      <c r="N21" s="89"/>
      <c r="O21" s="89"/>
      <c r="P21" s="89"/>
    </row>
    <row r="22" spans="1:16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74">
        <f>ROUND((C22*D22),2)</f>
        <v>0</v>
      </c>
      <c r="G22" s="475"/>
      <c r="H22" s="417"/>
      <c r="I22" s="418"/>
      <c r="J22" s="89"/>
      <c r="K22" s="89"/>
      <c r="L22" s="89"/>
      <c r="M22" s="89"/>
      <c r="N22" s="89"/>
      <c r="O22" s="89"/>
      <c r="P22" s="89"/>
    </row>
    <row r="23" spans="1:16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74">
        <f>ROUND((C23*D23),2)</f>
        <v>0</v>
      </c>
      <c r="G23" s="475"/>
      <c r="H23" s="417"/>
      <c r="I23" s="418"/>
      <c r="J23" s="89"/>
      <c r="K23" s="89"/>
      <c r="L23" s="89"/>
      <c r="M23" s="89"/>
      <c r="N23" s="89"/>
      <c r="O23" s="89"/>
      <c r="P23" s="89"/>
    </row>
    <row r="24" spans="1:16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977.67000000000007</v>
      </c>
      <c r="G24" s="426">
        <f>SUM(G17:G23)</f>
        <v>460.06</v>
      </c>
      <c r="H24" s="428">
        <f>SUM($H$17:$H$23)</f>
        <v>0</v>
      </c>
      <c r="I24" s="429">
        <f>SUM($I$17:$I$23)</f>
        <v>362.04</v>
      </c>
      <c r="J24" s="89"/>
      <c r="K24" s="89"/>
      <c r="L24" s="89"/>
      <c r="M24" s="89"/>
      <c r="N24" s="89"/>
      <c r="O24" s="89"/>
      <c r="P24" s="89"/>
    </row>
    <row r="25" spans="1:16" ht="24.75" customHeight="1" x14ac:dyDescent="0.2">
      <c r="A25" s="714" t="s">
        <v>402</v>
      </c>
      <c r="B25" s="714"/>
      <c r="C25" s="714"/>
      <c r="D25" s="714"/>
      <c r="E25" s="714"/>
      <c r="F25" s="426">
        <f>$F$14+$F$24</f>
        <v>5405</v>
      </c>
      <c r="G25" s="426">
        <f>$G$14+$G$24</f>
        <v>460.06</v>
      </c>
      <c r="H25" s="428">
        <f>$H$14+$H$24</f>
        <v>0</v>
      </c>
      <c r="I25" s="429">
        <f>$I$14+$I$24</f>
        <v>362.04</v>
      </c>
      <c r="J25" s="89"/>
      <c r="K25" s="89"/>
      <c r="L25" s="89"/>
      <c r="M25" s="89"/>
      <c r="N25" s="89"/>
      <c r="O25" s="89"/>
      <c r="P25" s="89"/>
    </row>
    <row r="26" spans="1:16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/>
      <c r="I26" s="715"/>
      <c r="J26" s="89"/>
      <c r="K26" s="89"/>
      <c r="L26" s="89"/>
      <c r="M26" s="89"/>
      <c r="N26" s="89"/>
      <c r="O26" s="89"/>
      <c r="P26" s="89"/>
    </row>
    <row r="27" spans="1:16" ht="19.5" customHeight="1" x14ac:dyDescent="0.2">
      <c r="A27" s="719" t="s">
        <v>404</v>
      </c>
      <c r="B27" s="719"/>
      <c r="C27" s="719"/>
      <c r="D27" s="748" t="s">
        <v>405</v>
      </c>
      <c r="E27" s="748"/>
      <c r="F27" s="721" t="s">
        <v>388</v>
      </c>
      <c r="G27" s="721"/>
      <c r="H27" s="721"/>
      <c r="I27" s="721"/>
      <c r="J27" s="89"/>
      <c r="K27" s="89"/>
      <c r="L27" s="89"/>
      <c r="M27" s="89"/>
      <c r="N27" s="89"/>
      <c r="O27" s="89"/>
      <c r="P27" s="89"/>
    </row>
    <row r="28" spans="1:16" ht="19.5" customHeight="1" x14ac:dyDescent="0.2">
      <c r="A28" s="435" t="s">
        <v>406</v>
      </c>
      <c r="B28" s="436"/>
      <c r="C28" s="436"/>
      <c r="D28" s="432">
        <f>Dados!$G$50</f>
        <v>0.03</v>
      </c>
      <c r="E28" s="437"/>
      <c r="F28" s="415">
        <f>ROUND(($F$25*$D$28),2)</f>
        <v>162.15</v>
      </c>
      <c r="G28" s="416">
        <f>ROUND(($G$25*$D$28),2)</f>
        <v>13.8</v>
      </c>
      <c r="H28" s="417">
        <f>ROUND((H25*D28),2)</f>
        <v>0</v>
      </c>
      <c r="I28" s="418">
        <f>ROUND(($I$25*$D$28),2)</f>
        <v>10.86</v>
      </c>
      <c r="J28" s="89"/>
      <c r="K28" s="89"/>
      <c r="L28" s="89"/>
      <c r="M28" s="89"/>
      <c r="N28" s="89"/>
      <c r="O28" s="89"/>
      <c r="P28" s="89"/>
    </row>
    <row r="29" spans="1:16" ht="19.5" customHeight="1" x14ac:dyDescent="0.2">
      <c r="A29" s="713" t="s">
        <v>407</v>
      </c>
      <c r="B29" s="713"/>
      <c r="C29" s="713"/>
      <c r="D29" s="432"/>
      <c r="E29" s="437"/>
      <c r="F29" s="415">
        <f>$F$25+$F$28</f>
        <v>5567.15</v>
      </c>
      <c r="G29" s="416">
        <f>$G$28+$G$25</f>
        <v>473.86</v>
      </c>
      <c r="H29" s="417">
        <f>H25+H28</f>
        <v>0</v>
      </c>
      <c r="I29" s="418">
        <f>$I$25+$I$28</f>
        <v>372.90000000000003</v>
      </c>
      <c r="J29" s="89"/>
      <c r="K29" s="89"/>
      <c r="L29" s="89"/>
      <c r="M29" s="89"/>
      <c r="N29" s="89"/>
      <c r="O29" s="89"/>
      <c r="P29" s="89"/>
    </row>
    <row r="30" spans="1:16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37">
        <f>$F$25+$F$28</f>
        <v>5567.15</v>
      </c>
      <c r="F30" s="415">
        <f>ROUND(($E$30*$D$30),2)</f>
        <v>378.01</v>
      </c>
      <c r="G30" s="416">
        <f>ROUND(($G$29*$D$30),2)</f>
        <v>32.18</v>
      </c>
      <c r="H30" s="417">
        <f>ROUND((H29*D30),2)</f>
        <v>0</v>
      </c>
      <c r="I30" s="418">
        <f>ROUND(($I$29*$D$30),2)</f>
        <v>25.32</v>
      </c>
      <c r="J30" s="89"/>
      <c r="K30" s="89"/>
      <c r="L30" s="89"/>
      <c r="M30" s="89"/>
      <c r="N30" s="89"/>
      <c r="O30" s="89"/>
      <c r="P30" s="89"/>
    </row>
    <row r="31" spans="1:16" ht="24.75" customHeight="1" x14ac:dyDescent="0.2">
      <c r="A31" s="438" t="s">
        <v>408</v>
      </c>
      <c r="B31" s="439"/>
      <c r="C31" s="439"/>
      <c r="D31" s="440">
        <f>SUM($D$28:$D$30)</f>
        <v>9.7900000000000001E-2</v>
      </c>
      <c r="E31" s="441"/>
      <c r="F31" s="426">
        <f>$F$28+$F$30</f>
        <v>540.16</v>
      </c>
      <c r="G31" s="427">
        <f>$G$28+$G$30</f>
        <v>45.980000000000004</v>
      </c>
      <c r="H31" s="428">
        <f>H28+H30</f>
        <v>0</v>
      </c>
      <c r="I31" s="429">
        <f>$I$28+$I$30</f>
        <v>36.18</v>
      </c>
      <c r="J31" s="89"/>
      <c r="K31" s="89"/>
      <c r="L31" s="89"/>
      <c r="M31" s="89"/>
      <c r="N31" s="89"/>
      <c r="O31" s="89"/>
      <c r="P31" s="89"/>
    </row>
    <row r="32" spans="1:16" ht="24.75" customHeight="1" x14ac:dyDescent="0.2">
      <c r="A32" s="714" t="s">
        <v>409</v>
      </c>
      <c r="B32" s="714"/>
      <c r="C32" s="714"/>
      <c r="D32" s="714"/>
      <c r="E32" s="714"/>
      <c r="F32" s="426">
        <f>$F$14+$F$24+$F$31</f>
        <v>5945.16</v>
      </c>
      <c r="G32" s="427">
        <f>$G$14+$G$24+$G$31</f>
        <v>506.04</v>
      </c>
      <c r="H32" s="428">
        <f>H14+H24+H31</f>
        <v>0</v>
      </c>
      <c r="I32" s="429">
        <f>$I$14+$I$24+$I$31</f>
        <v>398.22</v>
      </c>
      <c r="J32" s="89"/>
      <c r="K32" s="89"/>
      <c r="L32" s="89"/>
      <c r="M32" s="89"/>
      <c r="N32" s="89"/>
      <c r="O32" s="89"/>
      <c r="P32" s="89"/>
    </row>
    <row r="33" spans="1:16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  <c r="M33" s="89"/>
      <c r="N33" s="89"/>
      <c r="O33" s="89"/>
      <c r="P33" s="89"/>
    </row>
    <row r="34" spans="1:16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ROUND(($F$39*$D$34),2)</f>
        <v>526.91999999999996</v>
      </c>
      <c r="G34" s="416">
        <f>ROUND(($G$39*$D$34),2)</f>
        <v>44.85</v>
      </c>
      <c r="H34" s="417">
        <f>ROUND(($H$39*$D$34),2)</f>
        <v>0</v>
      </c>
      <c r="I34" s="418">
        <f>ROUND(($I$39*$D$34),2)</f>
        <v>35.29</v>
      </c>
      <c r="J34" s="89"/>
      <c r="K34" s="89"/>
      <c r="L34" s="89"/>
      <c r="M34" s="89"/>
      <c r="N34" s="89"/>
      <c r="O34" s="89"/>
      <c r="P34" s="89"/>
    </row>
    <row r="35" spans="1:16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ROUND(($F$39*$D$35),2)</f>
        <v>114.4</v>
      </c>
      <c r="G35" s="416">
        <f>ROUND(($G$39*$D$35),2)</f>
        <v>9.74</v>
      </c>
      <c r="H35" s="417">
        <f>ROUND(($H$39*$D$35),2)</f>
        <v>0</v>
      </c>
      <c r="I35" s="418">
        <f>ROUND(($I$39*$D$35),2)</f>
        <v>7.66</v>
      </c>
      <c r="J35" s="89"/>
      <c r="K35" s="89"/>
      <c r="L35" s="89"/>
      <c r="M35" s="89"/>
      <c r="N35" s="89"/>
      <c r="O35" s="89"/>
      <c r="P35" s="89"/>
    </row>
    <row r="36" spans="1:16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ROUND(($F$39*$D$36),2)</f>
        <v>346.66</v>
      </c>
      <c r="G36" s="416">
        <f>ROUND(($G$39*$D$36),2)</f>
        <v>29.51</v>
      </c>
      <c r="H36" s="417">
        <f>ROUND(($H$39*$D$36),2)</f>
        <v>0</v>
      </c>
      <c r="I36" s="418">
        <f>ROUND(($I$39*$D$36),2)</f>
        <v>23.22</v>
      </c>
      <c r="J36" s="89"/>
      <c r="K36" s="89"/>
      <c r="L36" s="89"/>
      <c r="M36" s="89"/>
      <c r="N36" s="89"/>
      <c r="O36" s="89"/>
      <c r="P36" s="89"/>
    </row>
    <row r="37" spans="1:16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  <c r="M37" s="89"/>
      <c r="N37" s="89"/>
      <c r="O37" s="89"/>
      <c r="P37" s="89"/>
    </row>
    <row r="38" spans="1:16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987.98</v>
      </c>
      <c r="G38" s="426">
        <f>SUM(G34:G37)</f>
        <v>84.100000000000009</v>
      </c>
      <c r="H38" s="426">
        <f>SUM(H34:H37)</f>
        <v>0</v>
      </c>
      <c r="I38" s="445">
        <f>SUM(I34:I37)</f>
        <v>66.17</v>
      </c>
      <c r="J38" s="89"/>
      <c r="K38" s="89"/>
      <c r="L38" s="89"/>
      <c r="M38" s="89"/>
      <c r="N38" s="89"/>
      <c r="O38" s="89"/>
      <c r="P38" s="89"/>
    </row>
    <row r="39" spans="1:16" ht="34.5" hidden="1" customHeight="1" x14ac:dyDescent="0.2">
      <c r="A39" s="716" t="str">
        <f>A7</f>
        <v>Recepcionista  - 220</v>
      </c>
      <c r="B39" s="716"/>
      <c r="C39" s="716"/>
      <c r="D39" s="716"/>
      <c r="E39" s="716"/>
      <c r="F39" s="446">
        <f>ROUND($F$32/(1-$D$38),2)</f>
        <v>6933.13</v>
      </c>
      <c r="G39" s="447">
        <f>ROUND($G$32/(1-$D$38),2)</f>
        <v>590.13</v>
      </c>
      <c r="H39" s="448">
        <f>ROUND($H$32/(1-$D$38),2)</f>
        <v>0</v>
      </c>
      <c r="I39" s="449">
        <f>ROUND($I$32/(1-$D$38),2)</f>
        <v>464.4</v>
      </c>
      <c r="J39" s="89"/>
      <c r="K39" s="89"/>
      <c r="L39" s="89"/>
      <c r="M39" s="89"/>
      <c r="N39" s="89"/>
      <c r="O39" s="89"/>
      <c r="P39" s="89"/>
    </row>
    <row r="40" spans="1:16" ht="30" customHeight="1" x14ac:dyDescent="0.2">
      <c r="A40" s="745" t="str">
        <f>A7</f>
        <v>Recepcionista  - 220</v>
      </c>
      <c r="B40" s="745"/>
      <c r="C40" s="745"/>
      <c r="D40" s="745"/>
      <c r="E40" s="745"/>
      <c r="F40" s="468">
        <f>$F$39</f>
        <v>6933.13</v>
      </c>
      <c r="G40" s="469">
        <f>$G$39</f>
        <v>590.13</v>
      </c>
      <c r="H40" s="462">
        <f>$H$39</f>
        <v>0</v>
      </c>
      <c r="I40" s="463">
        <f>$I$39</f>
        <v>464.4</v>
      </c>
      <c r="J40" s="89"/>
      <c r="K40" s="89"/>
      <c r="L40" s="89"/>
      <c r="M40" s="89"/>
      <c r="N40" s="89"/>
      <c r="O40" s="89"/>
      <c r="P40" s="89"/>
    </row>
    <row r="41" spans="1:16" ht="29.25" customHeight="1" x14ac:dyDescent="0.2">
      <c r="A41" s="744" t="s">
        <v>412</v>
      </c>
      <c r="B41" s="744"/>
      <c r="C41" s="744"/>
      <c r="D41" s="744"/>
      <c r="E41" s="744"/>
      <c r="F41" s="470">
        <f>($F$40/$F$12)/100</f>
        <v>2.8038929420709516E-2</v>
      </c>
      <c r="G41" s="471"/>
      <c r="H41" s="465"/>
      <c r="I41" s="466"/>
      <c r="J41" s="89"/>
      <c r="K41" s="89"/>
      <c r="L41" s="89"/>
      <c r="M41" s="89"/>
      <c r="N41" s="89"/>
      <c r="O41" s="89"/>
      <c r="P41" s="89"/>
    </row>
    <row r="42" spans="1:16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  <c r="M42" s="89"/>
      <c r="N42" s="89"/>
      <c r="O42" s="89"/>
      <c r="P42" s="89"/>
    </row>
    <row r="43" spans="1:16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  <c r="M43" s="89"/>
      <c r="N43" s="89"/>
      <c r="O43" s="89"/>
      <c r="P43" s="89"/>
    </row>
    <row r="44" spans="1:16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  <c r="M44" s="89"/>
      <c r="N44" s="89"/>
      <c r="O44" s="89"/>
      <c r="P44" s="89"/>
    </row>
    <row r="45" spans="1:16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  <c r="M45" s="89"/>
      <c r="N45" s="89"/>
      <c r="O45" s="89"/>
      <c r="P45" s="89"/>
    </row>
    <row r="46" spans="1:16" x14ac:dyDescent="0.2">
      <c r="A46" s="89"/>
      <c r="B46" s="89"/>
      <c r="C46" s="89"/>
      <c r="D46" s="89"/>
      <c r="E46" s="89"/>
      <c r="F46" s="458"/>
      <c r="G46" s="458"/>
      <c r="H46" s="458"/>
      <c r="I46" s="89"/>
      <c r="J46" s="89"/>
      <c r="K46" s="89"/>
      <c r="L46" s="89"/>
      <c r="M46" s="89"/>
      <c r="N46" s="89"/>
      <c r="O46" s="89"/>
      <c r="P46" s="89"/>
    </row>
  </sheetData>
  <sheetProtection algorithmName="SHA-512" hashValue="RRtI82QcsYDEoPBft/Aw5Kk86ESUFgmixCRYDeBbG8Gh8T0W6N7KcbaeUUB7DmVby0XO68V6qk6Wj5XMP8XTbQ==" saltValue="13kuLTbodY3gZowNCPd87Q==" spinCount="100000" sheet="1" objects="1" scenarios="1"/>
  <autoFilter ref="A1:I41" xr:uid="{00000000-0009-0000-0000-000010000000}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J33"/>
  <sheetViews>
    <sheetView showGridLines="0" view="pageBreakPreview" zoomScaleNormal="100" workbookViewId="0"/>
  </sheetViews>
  <sheetFormatPr defaultColWidth="9.33203125" defaultRowHeight="12.75" x14ac:dyDescent="0.2"/>
  <cols>
    <col min="1" max="1" width="8.5" style="81" customWidth="1"/>
    <col min="2" max="3" width="9.33203125" style="81"/>
    <col min="4" max="4" width="38.5" style="81" customWidth="1"/>
    <col min="5" max="5" width="11" style="81" customWidth="1"/>
    <col min="6" max="6" width="14.5" style="81" customWidth="1"/>
    <col min="7" max="7" width="10.33203125" style="81" customWidth="1"/>
    <col min="8" max="8" width="11.6640625" style="81" customWidth="1"/>
    <col min="9" max="9" width="19.33203125" style="81" customWidth="1"/>
    <col min="10" max="10" width="19.1640625" style="81" customWidth="1"/>
    <col min="11" max="11" width="20.83203125" style="81" customWidth="1"/>
    <col min="12" max="12" width="21.5" style="81" customWidth="1"/>
    <col min="13" max="13" width="22.1640625" style="81" customWidth="1"/>
    <col min="14" max="14" width="11.1640625" style="81" customWidth="1"/>
    <col min="15" max="15" width="15.83203125" style="81" customWidth="1"/>
    <col min="16" max="16" width="12.33203125" style="81" customWidth="1"/>
    <col min="17" max="1024" width="9.33203125" style="81"/>
  </cols>
  <sheetData>
    <row r="1" spans="1:20" x14ac:dyDescent="0.2">
      <c r="A1" s="535"/>
      <c r="B1" s="792" t="s">
        <v>0</v>
      </c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</row>
    <row r="2" spans="1:20" x14ac:dyDescent="0.2">
      <c r="A2" s="536"/>
      <c r="B2" s="793" t="s">
        <v>1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</row>
    <row r="3" spans="1:20" x14ac:dyDescent="0.2">
      <c r="A3" s="536"/>
      <c r="B3" s="793" t="s">
        <v>414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</row>
    <row r="4" spans="1:20" ht="22.5" customHeight="1" x14ac:dyDescent="0.2">
      <c r="A4" s="794" t="s">
        <v>415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537"/>
      <c r="R4" s="537"/>
      <c r="S4" s="537"/>
      <c r="T4" s="537"/>
    </row>
    <row r="5" spans="1:20" s="541" customFormat="1" ht="41.25" customHeight="1" x14ac:dyDescent="0.2">
      <c r="A5" s="795" t="s">
        <v>416</v>
      </c>
      <c r="B5" s="795"/>
      <c r="C5" s="795"/>
      <c r="D5" s="795"/>
      <c r="E5" s="796" t="s">
        <v>405</v>
      </c>
      <c r="F5" s="538" t="str">
        <f>Dados!B8</f>
        <v>Ascensorista</v>
      </c>
      <c r="G5" s="539" t="str">
        <f>Dados!$B$9</f>
        <v>Atendente</v>
      </c>
      <c r="H5" s="539" t="str">
        <f>Dados!$B$10</f>
        <v>Auxiliar de Almoxarifado</v>
      </c>
      <c r="I5" s="539" t="str">
        <f>Dados!$B$11</f>
        <v>Auxiliar Administrativo - Classe I</v>
      </c>
      <c r="J5" s="539" t="str">
        <f>Dados!$B$12</f>
        <v>Auxiliar Administrativo - Classe II</v>
      </c>
      <c r="K5" s="539" t="str">
        <f>Dados!$B$13</f>
        <v>Auxiliar Administrativo - Classe III (Nível Superior)</v>
      </c>
      <c r="L5" s="539" t="str">
        <f>Dados!$B$14</f>
        <v>Auxiliar Administrativo - Classe IV (Nível Superior)</v>
      </c>
      <c r="M5" s="539" t="str">
        <f>Dados!$B$15</f>
        <v>Assistente de Apoio Financeiro (Nível Superior)</v>
      </c>
      <c r="N5" s="539" t="str">
        <f>Dados!$B$16</f>
        <v>Encarregado Geral</v>
      </c>
      <c r="O5" s="539" t="str">
        <f>Dados!$B$17</f>
        <v>Operador e Editor de Áudio e Vídeo</v>
      </c>
      <c r="P5" s="540" t="str">
        <f>Dados!$B$18</f>
        <v xml:space="preserve">Recepcionista </v>
      </c>
    </row>
    <row r="6" spans="1:20" s="543" customFormat="1" ht="14.45" customHeight="1" x14ac:dyDescent="0.2">
      <c r="A6" s="542" t="s">
        <v>417</v>
      </c>
      <c r="B6" s="797" t="s">
        <v>309</v>
      </c>
      <c r="C6" s="797"/>
      <c r="D6" s="797"/>
      <c r="E6" s="796"/>
      <c r="F6" s="798" t="s">
        <v>418</v>
      </c>
      <c r="G6" s="798"/>
      <c r="H6" s="798"/>
      <c r="I6" s="798"/>
      <c r="J6" s="798"/>
      <c r="K6" s="798"/>
      <c r="L6" s="798"/>
      <c r="M6" s="798"/>
      <c r="N6" s="798"/>
      <c r="O6" s="798"/>
      <c r="P6" s="798"/>
    </row>
    <row r="7" spans="1:20" x14ac:dyDescent="0.2">
      <c r="A7" s="544">
        <v>1</v>
      </c>
      <c r="B7" s="788" t="s">
        <v>419</v>
      </c>
      <c r="C7" s="788"/>
      <c r="D7" s="788"/>
      <c r="E7" s="788"/>
      <c r="F7" s="545">
        <f>Dados!$H$8</f>
        <v>1418.18</v>
      </c>
      <c r="G7" s="545">
        <f>Dados!$H$9</f>
        <v>2300</v>
      </c>
      <c r="H7" s="545">
        <f>Dados!$H$10</f>
        <v>2200</v>
      </c>
      <c r="I7" s="545">
        <f>Dados!$H$11</f>
        <v>1725</v>
      </c>
      <c r="J7" s="545">
        <f>Dados!$H$12</f>
        <v>2300</v>
      </c>
      <c r="K7" s="545">
        <f>Dados!$H$13</f>
        <v>2242.5</v>
      </c>
      <c r="L7" s="545">
        <f>Dados!$H$14</f>
        <v>2990</v>
      </c>
      <c r="M7" s="545">
        <f>Dados!$H$15</f>
        <v>4875</v>
      </c>
      <c r="N7" s="545">
        <f>Dados!$H$16</f>
        <v>2753.93</v>
      </c>
      <c r="O7" s="545">
        <f>Dados!$H$17</f>
        <v>3592.28</v>
      </c>
      <c r="P7" s="546">
        <f>Dados!$H$18</f>
        <v>2472.6799999999998</v>
      </c>
    </row>
    <row r="8" spans="1:20" x14ac:dyDescent="0.2">
      <c r="A8" s="547" t="s">
        <v>420</v>
      </c>
      <c r="B8" s="789" t="s">
        <v>310</v>
      </c>
      <c r="C8" s="789"/>
      <c r="D8" s="789"/>
      <c r="E8" s="548">
        <f>Encargos!$C$37</f>
        <v>9.0899999999999995E-2</v>
      </c>
      <c r="F8" s="549">
        <f t="shared" ref="F8:P8" si="0">ROUND(F7*$E$8,2)</f>
        <v>128.91</v>
      </c>
      <c r="G8" s="549">
        <f t="shared" si="0"/>
        <v>209.07</v>
      </c>
      <c r="H8" s="549">
        <f t="shared" si="0"/>
        <v>199.98</v>
      </c>
      <c r="I8" s="549">
        <f t="shared" si="0"/>
        <v>156.80000000000001</v>
      </c>
      <c r="J8" s="549">
        <f t="shared" si="0"/>
        <v>209.07</v>
      </c>
      <c r="K8" s="549">
        <f t="shared" si="0"/>
        <v>203.84</v>
      </c>
      <c r="L8" s="549">
        <f t="shared" si="0"/>
        <v>271.79000000000002</v>
      </c>
      <c r="M8" s="549">
        <f t="shared" si="0"/>
        <v>443.14</v>
      </c>
      <c r="N8" s="549">
        <f t="shared" si="0"/>
        <v>250.33</v>
      </c>
      <c r="O8" s="549">
        <f t="shared" si="0"/>
        <v>326.54000000000002</v>
      </c>
      <c r="P8" s="550">
        <f t="shared" si="0"/>
        <v>224.77</v>
      </c>
    </row>
    <row r="9" spans="1:20" x14ac:dyDescent="0.2">
      <c r="A9" s="551" t="s">
        <v>421</v>
      </c>
      <c r="B9" s="790" t="s">
        <v>315</v>
      </c>
      <c r="C9" s="790"/>
      <c r="D9" s="790"/>
      <c r="E9" s="552">
        <f>Encargos!$C$16*E8</f>
        <v>3.6178200000000008E-2</v>
      </c>
      <c r="F9" s="553">
        <f t="shared" ref="F9:P9" si="1">ROUND(F7*$E$9,2)</f>
        <v>51.31</v>
      </c>
      <c r="G9" s="553">
        <f t="shared" si="1"/>
        <v>83.21</v>
      </c>
      <c r="H9" s="553">
        <f t="shared" si="1"/>
        <v>79.59</v>
      </c>
      <c r="I9" s="553">
        <f t="shared" si="1"/>
        <v>62.41</v>
      </c>
      <c r="J9" s="553">
        <f t="shared" si="1"/>
        <v>83.21</v>
      </c>
      <c r="K9" s="553">
        <f t="shared" si="1"/>
        <v>81.13</v>
      </c>
      <c r="L9" s="553">
        <f t="shared" si="1"/>
        <v>108.17</v>
      </c>
      <c r="M9" s="553">
        <f t="shared" si="1"/>
        <v>176.37</v>
      </c>
      <c r="N9" s="553">
        <f t="shared" si="1"/>
        <v>99.63</v>
      </c>
      <c r="O9" s="553">
        <f t="shared" si="1"/>
        <v>129.96</v>
      </c>
      <c r="P9" s="554">
        <f t="shared" si="1"/>
        <v>89.46</v>
      </c>
    </row>
    <row r="10" spans="1:20" ht="13.9" customHeight="1" x14ac:dyDescent="0.2">
      <c r="A10" s="791" t="s">
        <v>422</v>
      </c>
      <c r="B10" s="791"/>
      <c r="C10" s="791"/>
      <c r="D10" s="791"/>
      <c r="E10" s="555">
        <f t="shared" ref="E10:P10" si="2">SUM(E8:E9)</f>
        <v>0.1270782</v>
      </c>
      <c r="F10" s="556">
        <f t="shared" si="2"/>
        <v>180.22</v>
      </c>
      <c r="G10" s="556">
        <f t="shared" si="2"/>
        <v>292.27999999999997</v>
      </c>
      <c r="H10" s="556">
        <f t="shared" si="2"/>
        <v>279.57</v>
      </c>
      <c r="I10" s="556">
        <f t="shared" si="2"/>
        <v>219.21</v>
      </c>
      <c r="J10" s="556">
        <f t="shared" si="2"/>
        <v>292.27999999999997</v>
      </c>
      <c r="K10" s="556">
        <f t="shared" si="2"/>
        <v>284.97000000000003</v>
      </c>
      <c r="L10" s="556">
        <f t="shared" si="2"/>
        <v>379.96000000000004</v>
      </c>
      <c r="M10" s="556">
        <f t="shared" si="2"/>
        <v>619.51</v>
      </c>
      <c r="N10" s="556">
        <f t="shared" si="2"/>
        <v>349.96000000000004</v>
      </c>
      <c r="O10" s="556">
        <f t="shared" si="2"/>
        <v>456.5</v>
      </c>
      <c r="P10" s="557">
        <f t="shared" si="2"/>
        <v>314.23</v>
      </c>
    </row>
    <row r="11" spans="1:20" ht="13.9" customHeight="1" x14ac:dyDescent="0.2">
      <c r="A11" s="791" t="s">
        <v>423</v>
      </c>
      <c r="B11" s="791"/>
      <c r="C11" s="791"/>
      <c r="D11" s="791"/>
      <c r="E11" s="791"/>
      <c r="F11" s="556">
        <f t="shared" ref="F11:P11" si="3">F10*12</f>
        <v>2162.64</v>
      </c>
      <c r="G11" s="556">
        <f t="shared" si="3"/>
        <v>3507.3599999999997</v>
      </c>
      <c r="H11" s="556">
        <f t="shared" si="3"/>
        <v>3354.84</v>
      </c>
      <c r="I11" s="556">
        <f t="shared" si="3"/>
        <v>2630.52</v>
      </c>
      <c r="J11" s="556">
        <f t="shared" si="3"/>
        <v>3507.3599999999997</v>
      </c>
      <c r="K11" s="556">
        <f t="shared" si="3"/>
        <v>3419.6400000000003</v>
      </c>
      <c r="L11" s="556">
        <f t="shared" si="3"/>
        <v>4559.5200000000004</v>
      </c>
      <c r="M11" s="556">
        <f t="shared" si="3"/>
        <v>7434.12</v>
      </c>
      <c r="N11" s="556">
        <f t="shared" si="3"/>
        <v>4199.5200000000004</v>
      </c>
      <c r="O11" s="556">
        <f t="shared" si="3"/>
        <v>5478</v>
      </c>
      <c r="P11" s="557">
        <f t="shared" si="3"/>
        <v>3770.76</v>
      </c>
    </row>
    <row r="12" spans="1:20" x14ac:dyDescent="0.2">
      <c r="A12" s="558">
        <v>2</v>
      </c>
      <c r="B12" s="559" t="s">
        <v>424</v>
      </c>
      <c r="C12" s="559"/>
      <c r="D12" s="559"/>
      <c r="E12" s="559"/>
      <c r="F12" s="784" t="s">
        <v>160</v>
      </c>
      <c r="G12" s="784"/>
      <c r="H12" s="784"/>
      <c r="I12" s="784"/>
      <c r="J12" s="784"/>
      <c r="K12" s="784"/>
      <c r="L12" s="784"/>
      <c r="M12" s="784"/>
      <c r="N12" s="784"/>
      <c r="O12" s="784"/>
      <c r="P12" s="784"/>
    </row>
    <row r="13" spans="1:20" x14ac:dyDescent="0.2">
      <c r="A13" s="560" t="s">
        <v>420</v>
      </c>
      <c r="B13" s="785" t="s">
        <v>399</v>
      </c>
      <c r="C13" s="785"/>
      <c r="D13" s="785"/>
      <c r="E13" s="561"/>
      <c r="F13" s="562">
        <f>'Ascensorista 150'!F20</f>
        <v>0</v>
      </c>
      <c r="G13" s="563">
        <f>'Atendente 200'!F20</f>
        <v>460.06</v>
      </c>
      <c r="H13" s="563">
        <f>'Aux. Almoxarifado 200'!F20</f>
        <v>460.06</v>
      </c>
      <c r="I13" s="563">
        <f>'Aux Admin I 150'!F20</f>
        <v>0</v>
      </c>
      <c r="J13" s="563">
        <f>'Aux Admin II 200'!F20</f>
        <v>460.06</v>
      </c>
      <c r="K13" s="563">
        <f>'Aux Admin III 150'!F20</f>
        <v>0</v>
      </c>
      <c r="L13" s="563">
        <f>'Aux Admin IV 200'!F20</f>
        <v>460.06</v>
      </c>
      <c r="M13" s="563">
        <f>'Assistente Financeiro 200'!F20</f>
        <v>460.06</v>
      </c>
      <c r="N13" s="563">
        <f>'Encarregado Geral 220'!F20</f>
        <v>460.06</v>
      </c>
      <c r="O13" s="563">
        <f>'Op. Ed. Audio e Video 150'!F20</f>
        <v>0</v>
      </c>
      <c r="P13" s="564">
        <f>'Recepcionista 220'!F20</f>
        <v>460.06</v>
      </c>
    </row>
    <row r="14" spans="1:20" x14ac:dyDescent="0.2">
      <c r="A14" s="560" t="s">
        <v>425</v>
      </c>
      <c r="B14" s="785" t="s">
        <v>400</v>
      </c>
      <c r="C14" s="785"/>
      <c r="D14" s="785"/>
      <c r="E14" s="561"/>
      <c r="F14" s="562">
        <f>'Ascensorista 150'!F21</f>
        <v>425.31</v>
      </c>
      <c r="G14" s="563">
        <f>'Atendente 200'!F21</f>
        <v>372.4</v>
      </c>
      <c r="H14" s="563">
        <f>'Aux. Almoxarifado 200'!F21</f>
        <v>378.4</v>
      </c>
      <c r="I14" s="563">
        <f>'Aux Admin I 150'!F21</f>
        <v>406.9</v>
      </c>
      <c r="J14" s="563">
        <f>'Aux Admin II 200'!F21</f>
        <v>372.4</v>
      </c>
      <c r="K14" s="563">
        <f>'Aux Admin III 150'!F21</f>
        <v>375.85</v>
      </c>
      <c r="L14" s="563">
        <f>'Aux Admin IV 200'!F21</f>
        <v>331</v>
      </c>
      <c r="M14" s="563">
        <f>'Assistente Financeiro 200'!F21</f>
        <v>217.9</v>
      </c>
      <c r="N14" s="563">
        <f>'Encarregado Geral 220'!F21</f>
        <v>345.16</v>
      </c>
      <c r="O14" s="563">
        <f>'Op. Ed. Audio e Video 150'!F21</f>
        <v>294.86</v>
      </c>
      <c r="P14" s="564">
        <f>'Recepcionista 220'!F21</f>
        <v>362.04</v>
      </c>
    </row>
    <row r="15" spans="1:20" x14ac:dyDescent="0.2">
      <c r="A15" s="560" t="s">
        <v>426</v>
      </c>
      <c r="B15" s="561" t="s">
        <v>427</v>
      </c>
      <c r="C15" s="561"/>
      <c r="D15" s="561"/>
      <c r="E15" s="561"/>
      <c r="F15" s="562">
        <v>0</v>
      </c>
      <c r="G15" s="562">
        <v>0</v>
      </c>
      <c r="H15" s="562">
        <v>0</v>
      </c>
      <c r="I15" s="562">
        <v>0</v>
      </c>
      <c r="J15" s="562">
        <v>0</v>
      </c>
      <c r="K15" s="562">
        <v>0</v>
      </c>
      <c r="L15" s="562">
        <v>0</v>
      </c>
      <c r="M15" s="562">
        <v>0</v>
      </c>
      <c r="N15" s="562">
        <v>0</v>
      </c>
      <c r="O15" s="562">
        <v>0</v>
      </c>
      <c r="P15" s="565">
        <v>0</v>
      </c>
    </row>
    <row r="16" spans="1:20" x14ac:dyDescent="0.2">
      <c r="A16" s="786" t="s">
        <v>428</v>
      </c>
      <c r="B16" s="786"/>
      <c r="C16" s="786"/>
      <c r="D16" s="786"/>
      <c r="E16" s="786"/>
      <c r="F16" s="566">
        <f t="shared" ref="F16:P16" si="4">SUM(F13:F15)</f>
        <v>425.31</v>
      </c>
      <c r="G16" s="566">
        <f t="shared" si="4"/>
        <v>832.46</v>
      </c>
      <c r="H16" s="566">
        <f t="shared" si="4"/>
        <v>838.46</v>
      </c>
      <c r="I16" s="566">
        <f t="shared" si="4"/>
        <v>406.9</v>
      </c>
      <c r="J16" s="566">
        <f t="shared" si="4"/>
        <v>832.46</v>
      </c>
      <c r="K16" s="566">
        <f t="shared" si="4"/>
        <v>375.85</v>
      </c>
      <c r="L16" s="566">
        <f t="shared" si="4"/>
        <v>791.06</v>
      </c>
      <c r="M16" s="566">
        <f t="shared" si="4"/>
        <v>677.96</v>
      </c>
      <c r="N16" s="566">
        <f t="shared" si="4"/>
        <v>805.22</v>
      </c>
      <c r="O16" s="566">
        <f t="shared" si="4"/>
        <v>294.86</v>
      </c>
      <c r="P16" s="567">
        <f t="shared" si="4"/>
        <v>822.1</v>
      </c>
    </row>
    <row r="17" spans="1:16" ht="13.9" customHeight="1" x14ac:dyDescent="0.2">
      <c r="A17" s="558">
        <v>5</v>
      </c>
      <c r="B17" s="787" t="s">
        <v>429</v>
      </c>
      <c r="C17" s="787"/>
      <c r="D17" s="787"/>
      <c r="E17" s="568" t="s">
        <v>405</v>
      </c>
      <c r="F17" s="784" t="s">
        <v>160</v>
      </c>
      <c r="G17" s="784"/>
      <c r="H17" s="784"/>
      <c r="I17" s="784"/>
      <c r="J17" s="784"/>
      <c r="K17" s="784"/>
      <c r="L17" s="784"/>
      <c r="M17" s="784"/>
      <c r="N17" s="784"/>
      <c r="O17" s="784"/>
      <c r="P17" s="784"/>
    </row>
    <row r="18" spans="1:16" ht="13.9" customHeight="1" x14ac:dyDescent="0.2">
      <c r="A18" s="560" t="s">
        <v>420</v>
      </c>
      <c r="B18" s="779" t="s">
        <v>430</v>
      </c>
      <c r="C18" s="779"/>
      <c r="D18" s="779"/>
      <c r="E18" s="569">
        <f>Dados!G50</f>
        <v>0.03</v>
      </c>
      <c r="F18" s="570">
        <f t="shared" ref="F18:P18" si="5">ROUND(($E$18*F31),2)</f>
        <v>77.64</v>
      </c>
      <c r="G18" s="570">
        <f t="shared" si="5"/>
        <v>130.19</v>
      </c>
      <c r="H18" s="570">
        <f t="shared" si="5"/>
        <v>125.8</v>
      </c>
      <c r="I18" s="570">
        <f t="shared" si="5"/>
        <v>91.12</v>
      </c>
      <c r="J18" s="570">
        <f t="shared" si="5"/>
        <v>130.19</v>
      </c>
      <c r="K18" s="570">
        <f t="shared" si="5"/>
        <v>113.86</v>
      </c>
      <c r="L18" s="570">
        <f t="shared" si="5"/>
        <v>160.52000000000001</v>
      </c>
      <c r="M18" s="570">
        <f t="shared" si="5"/>
        <v>243.36</v>
      </c>
      <c r="N18" s="570">
        <f t="shared" si="5"/>
        <v>150.13999999999999</v>
      </c>
      <c r="O18" s="570">
        <f t="shared" si="5"/>
        <v>173.19</v>
      </c>
      <c r="P18" s="571">
        <f t="shared" si="5"/>
        <v>137.79</v>
      </c>
    </row>
    <row r="19" spans="1:16" ht="13.9" customHeight="1" x14ac:dyDescent="0.2">
      <c r="A19" s="560" t="s">
        <v>425</v>
      </c>
      <c r="B19" s="779" t="s">
        <v>227</v>
      </c>
      <c r="C19" s="779"/>
      <c r="D19" s="779"/>
      <c r="E19" s="569">
        <f>Dados!G51</f>
        <v>6.7900000000000002E-2</v>
      </c>
      <c r="F19" s="570">
        <f t="shared" ref="F19:P19" si="6">ROUND(($E$19*(F18+F31)),2)</f>
        <v>180.99</v>
      </c>
      <c r="G19" s="570">
        <f t="shared" si="6"/>
        <v>303.51</v>
      </c>
      <c r="H19" s="570">
        <f t="shared" si="6"/>
        <v>293.27</v>
      </c>
      <c r="I19" s="570">
        <f t="shared" si="6"/>
        <v>212.43</v>
      </c>
      <c r="J19" s="570">
        <f t="shared" si="6"/>
        <v>303.51</v>
      </c>
      <c r="K19" s="570">
        <f t="shared" si="6"/>
        <v>265.44</v>
      </c>
      <c r="L19" s="570">
        <f t="shared" si="6"/>
        <v>374.2</v>
      </c>
      <c r="M19" s="570">
        <f t="shared" si="6"/>
        <v>567.33000000000004</v>
      </c>
      <c r="N19" s="570">
        <f t="shared" si="6"/>
        <v>350.02</v>
      </c>
      <c r="O19" s="570">
        <f t="shared" si="6"/>
        <v>403.74</v>
      </c>
      <c r="P19" s="571">
        <f t="shared" si="6"/>
        <v>321.20999999999998</v>
      </c>
    </row>
    <row r="20" spans="1:16" ht="13.9" customHeight="1" x14ac:dyDescent="0.2">
      <c r="A20" s="572" t="s">
        <v>426</v>
      </c>
      <c r="B20" s="783" t="s">
        <v>431</v>
      </c>
      <c r="C20" s="783"/>
      <c r="D20" s="783"/>
      <c r="E20" s="573">
        <f>SUM(E21:E24)</f>
        <v>0.14250000000000002</v>
      </c>
      <c r="F20" s="574">
        <f t="shared" ref="F20:P20" si="7">ROUND((((F31+F18+F19)/(1-$E$20))-(F31+F18+F19)),2)</f>
        <v>473.05</v>
      </c>
      <c r="G20" s="574">
        <f t="shared" si="7"/>
        <v>793.27</v>
      </c>
      <c r="H20" s="574">
        <f t="shared" si="7"/>
        <v>766.49</v>
      </c>
      <c r="I20" s="574">
        <f t="shared" si="7"/>
        <v>555.20000000000005</v>
      </c>
      <c r="J20" s="574">
        <f t="shared" si="7"/>
        <v>793.27</v>
      </c>
      <c r="K20" s="574">
        <f t="shared" si="7"/>
        <v>693.77</v>
      </c>
      <c r="L20" s="574">
        <f t="shared" si="7"/>
        <v>978.02</v>
      </c>
      <c r="M20" s="574">
        <f t="shared" si="7"/>
        <v>1482.79</v>
      </c>
      <c r="N20" s="574">
        <f t="shared" si="7"/>
        <v>914.81</v>
      </c>
      <c r="O20" s="574">
        <f t="shared" si="7"/>
        <v>1055.21</v>
      </c>
      <c r="P20" s="575">
        <f t="shared" si="7"/>
        <v>839.52</v>
      </c>
    </row>
    <row r="21" spans="1:16" ht="13.9" customHeight="1" x14ac:dyDescent="0.2">
      <c r="A21" s="576" t="s">
        <v>432</v>
      </c>
      <c r="B21" s="779" t="s">
        <v>433</v>
      </c>
      <c r="C21" s="779"/>
      <c r="D21" s="779"/>
      <c r="E21" s="569">
        <f>Dados!G58+Dados!G59</f>
        <v>9.2499999999999999E-2</v>
      </c>
      <c r="F21" s="570">
        <f t="shared" ref="F21:P21" si="8">ROUND($E$21*F33,2)</f>
        <v>307.07</v>
      </c>
      <c r="G21" s="570">
        <f t="shared" si="8"/>
        <v>514.92999999999995</v>
      </c>
      <c r="H21" s="570">
        <f t="shared" si="8"/>
        <v>497.54</v>
      </c>
      <c r="I21" s="570">
        <f t="shared" si="8"/>
        <v>360.4</v>
      </c>
      <c r="J21" s="570">
        <f t="shared" si="8"/>
        <v>514.92999999999995</v>
      </c>
      <c r="K21" s="570">
        <f t="shared" si="8"/>
        <v>450.34</v>
      </c>
      <c r="L21" s="570">
        <f t="shared" si="8"/>
        <v>634.86</v>
      </c>
      <c r="M21" s="570">
        <f t="shared" si="8"/>
        <v>962.51</v>
      </c>
      <c r="N21" s="570">
        <f t="shared" si="8"/>
        <v>593.82000000000005</v>
      </c>
      <c r="O21" s="570">
        <f t="shared" si="8"/>
        <v>684.96</v>
      </c>
      <c r="P21" s="571">
        <f t="shared" si="8"/>
        <v>544.95000000000005</v>
      </c>
    </row>
    <row r="22" spans="1:16" ht="13.9" customHeight="1" x14ac:dyDescent="0.2">
      <c r="A22" s="560" t="s">
        <v>434</v>
      </c>
      <c r="B22" s="779" t="s">
        <v>435</v>
      </c>
      <c r="C22" s="779"/>
      <c r="D22" s="779"/>
      <c r="E22" s="569">
        <v>0</v>
      </c>
      <c r="F22" s="570">
        <f t="shared" ref="F22:P22" si="9">ROUND($E$22*F33,2)</f>
        <v>0</v>
      </c>
      <c r="G22" s="570">
        <f t="shared" si="9"/>
        <v>0</v>
      </c>
      <c r="H22" s="570">
        <f t="shared" si="9"/>
        <v>0</v>
      </c>
      <c r="I22" s="570">
        <f t="shared" si="9"/>
        <v>0</v>
      </c>
      <c r="J22" s="570">
        <f t="shared" si="9"/>
        <v>0</v>
      </c>
      <c r="K22" s="570">
        <f t="shared" si="9"/>
        <v>0</v>
      </c>
      <c r="L22" s="570">
        <f t="shared" si="9"/>
        <v>0</v>
      </c>
      <c r="M22" s="570">
        <f t="shared" si="9"/>
        <v>0</v>
      </c>
      <c r="N22" s="570">
        <f t="shared" si="9"/>
        <v>0</v>
      </c>
      <c r="O22" s="570">
        <f t="shared" si="9"/>
        <v>0</v>
      </c>
      <c r="P22" s="571">
        <f t="shared" si="9"/>
        <v>0</v>
      </c>
    </row>
    <row r="23" spans="1:16" ht="13.9" customHeight="1" x14ac:dyDescent="0.2">
      <c r="A23" s="560" t="s">
        <v>436</v>
      </c>
      <c r="B23" s="779" t="s">
        <v>437</v>
      </c>
      <c r="C23" s="779"/>
      <c r="D23" s="779"/>
      <c r="E23" s="569">
        <f>Dados!G60</f>
        <v>0.05</v>
      </c>
      <c r="F23" s="570">
        <f t="shared" ref="F23:P23" si="10">ROUND($E$23*F33,2)</f>
        <v>165.98</v>
      </c>
      <c r="G23" s="570">
        <f t="shared" si="10"/>
        <v>278.33999999999997</v>
      </c>
      <c r="H23" s="570">
        <f t="shared" si="10"/>
        <v>268.94</v>
      </c>
      <c r="I23" s="570">
        <f t="shared" si="10"/>
        <v>194.81</v>
      </c>
      <c r="J23" s="570">
        <f t="shared" si="10"/>
        <v>278.33999999999997</v>
      </c>
      <c r="K23" s="570">
        <f t="shared" si="10"/>
        <v>243.43</v>
      </c>
      <c r="L23" s="570">
        <f t="shared" si="10"/>
        <v>343.17</v>
      </c>
      <c r="M23" s="570">
        <f t="shared" si="10"/>
        <v>520.28</v>
      </c>
      <c r="N23" s="570">
        <f t="shared" si="10"/>
        <v>320.99</v>
      </c>
      <c r="O23" s="570">
        <f t="shared" si="10"/>
        <v>370.25</v>
      </c>
      <c r="P23" s="571">
        <f t="shared" si="10"/>
        <v>294.57</v>
      </c>
    </row>
    <row r="24" spans="1:16" x14ac:dyDescent="0.2">
      <c r="A24" s="560" t="s">
        <v>438</v>
      </c>
      <c r="B24" s="779" t="str">
        <f>Dados!B61</f>
        <v>Outros (inserir somente com a justificativa legal)</v>
      </c>
      <c r="C24" s="779"/>
      <c r="D24" s="779"/>
      <c r="E24" s="569">
        <f>Dados!G61</f>
        <v>0</v>
      </c>
      <c r="F24" s="570">
        <f t="shared" ref="F24:P24" si="11">ROUND($E$24*F33,2)</f>
        <v>0</v>
      </c>
      <c r="G24" s="570">
        <f t="shared" si="11"/>
        <v>0</v>
      </c>
      <c r="H24" s="570">
        <f t="shared" si="11"/>
        <v>0</v>
      </c>
      <c r="I24" s="570">
        <f t="shared" si="11"/>
        <v>0</v>
      </c>
      <c r="J24" s="570">
        <f t="shared" si="11"/>
        <v>0</v>
      </c>
      <c r="K24" s="570">
        <f t="shared" si="11"/>
        <v>0</v>
      </c>
      <c r="L24" s="570">
        <f t="shared" si="11"/>
        <v>0</v>
      </c>
      <c r="M24" s="570">
        <f t="shared" si="11"/>
        <v>0</v>
      </c>
      <c r="N24" s="570">
        <f t="shared" si="11"/>
        <v>0</v>
      </c>
      <c r="O24" s="570">
        <f t="shared" si="11"/>
        <v>0</v>
      </c>
      <c r="P24" s="571">
        <f t="shared" si="11"/>
        <v>0</v>
      </c>
    </row>
    <row r="25" spans="1:16" x14ac:dyDescent="0.2">
      <c r="A25" s="577" t="s">
        <v>439</v>
      </c>
      <c r="B25" s="578"/>
      <c r="C25" s="578"/>
      <c r="D25" s="578"/>
      <c r="E25" s="578"/>
      <c r="F25" s="579">
        <f t="shared" ref="F25:P25" si="12">SUM(F18:F20)</f>
        <v>731.68000000000006</v>
      </c>
      <c r="G25" s="579">
        <f t="shared" si="12"/>
        <v>1226.97</v>
      </c>
      <c r="H25" s="579">
        <f t="shared" si="12"/>
        <v>1185.56</v>
      </c>
      <c r="I25" s="579">
        <f t="shared" si="12"/>
        <v>858.75</v>
      </c>
      <c r="J25" s="579">
        <f t="shared" si="12"/>
        <v>1226.97</v>
      </c>
      <c r="K25" s="579">
        <f t="shared" si="12"/>
        <v>1073.07</v>
      </c>
      <c r="L25" s="579">
        <f t="shared" si="12"/>
        <v>1512.74</v>
      </c>
      <c r="M25" s="579">
        <f t="shared" si="12"/>
        <v>2293.48</v>
      </c>
      <c r="N25" s="579">
        <f t="shared" si="12"/>
        <v>1414.9699999999998</v>
      </c>
      <c r="O25" s="579">
        <f t="shared" si="12"/>
        <v>1632.14</v>
      </c>
      <c r="P25" s="580">
        <f t="shared" si="12"/>
        <v>1298.52</v>
      </c>
    </row>
    <row r="26" spans="1:16" x14ac:dyDescent="0.2">
      <c r="A26" s="780" t="s">
        <v>440</v>
      </c>
      <c r="B26" s="780"/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  <c r="O26" s="780"/>
      <c r="P26" s="780"/>
    </row>
    <row r="27" spans="1:16" x14ac:dyDescent="0.2">
      <c r="A27" s="781" t="s">
        <v>441</v>
      </c>
      <c r="B27" s="781"/>
      <c r="C27" s="781"/>
      <c r="D27" s="781"/>
      <c r="E27" s="781"/>
      <c r="F27" s="781"/>
      <c r="G27" s="781"/>
      <c r="H27" s="781"/>
      <c r="I27" s="781"/>
      <c r="J27" s="781"/>
      <c r="K27" s="781"/>
      <c r="L27" s="781"/>
      <c r="M27" s="781"/>
      <c r="N27" s="781"/>
      <c r="O27" s="781"/>
      <c r="P27" s="781"/>
    </row>
    <row r="28" spans="1:16" x14ac:dyDescent="0.2">
      <c r="A28" s="581" t="s">
        <v>442</v>
      </c>
      <c r="B28" s="582"/>
      <c r="C28" s="582"/>
      <c r="D28" s="582"/>
      <c r="E28" s="582"/>
      <c r="F28" s="782" t="s">
        <v>160</v>
      </c>
      <c r="G28" s="782"/>
      <c r="H28" s="782"/>
      <c r="I28" s="782"/>
      <c r="J28" s="782"/>
      <c r="K28" s="782"/>
      <c r="L28" s="782"/>
      <c r="M28" s="782"/>
      <c r="N28" s="782"/>
      <c r="O28" s="782"/>
      <c r="P28" s="782"/>
    </row>
    <row r="29" spans="1:16" x14ac:dyDescent="0.2">
      <c r="A29" s="551" t="s">
        <v>420</v>
      </c>
      <c r="B29" s="583" t="s">
        <v>443</v>
      </c>
      <c r="C29" s="583"/>
      <c r="D29" s="583"/>
      <c r="E29" s="583"/>
      <c r="F29" s="584">
        <f t="shared" ref="F29:P29" si="13">F11</f>
        <v>2162.64</v>
      </c>
      <c r="G29" s="584">
        <f t="shared" si="13"/>
        <v>3507.3599999999997</v>
      </c>
      <c r="H29" s="584">
        <f t="shared" si="13"/>
        <v>3354.84</v>
      </c>
      <c r="I29" s="584">
        <f t="shared" si="13"/>
        <v>2630.52</v>
      </c>
      <c r="J29" s="584">
        <f t="shared" si="13"/>
        <v>3507.3599999999997</v>
      </c>
      <c r="K29" s="584">
        <f t="shared" si="13"/>
        <v>3419.6400000000003</v>
      </c>
      <c r="L29" s="584">
        <f t="shared" si="13"/>
        <v>4559.5200000000004</v>
      </c>
      <c r="M29" s="584">
        <f t="shared" si="13"/>
        <v>7434.12</v>
      </c>
      <c r="N29" s="584">
        <f t="shared" si="13"/>
        <v>4199.5200000000004</v>
      </c>
      <c r="O29" s="584">
        <f t="shared" si="13"/>
        <v>5478</v>
      </c>
      <c r="P29" s="585">
        <f t="shared" si="13"/>
        <v>3770.76</v>
      </c>
    </row>
    <row r="30" spans="1:16" x14ac:dyDescent="0.2">
      <c r="A30" s="551" t="s">
        <v>425</v>
      </c>
      <c r="B30" s="583" t="s">
        <v>424</v>
      </c>
      <c r="C30" s="583"/>
      <c r="D30" s="583"/>
      <c r="E30" s="583"/>
      <c r="F30" s="584">
        <f t="shared" ref="F30:P30" si="14">F16</f>
        <v>425.31</v>
      </c>
      <c r="G30" s="584">
        <f t="shared" si="14"/>
        <v>832.46</v>
      </c>
      <c r="H30" s="584">
        <f t="shared" si="14"/>
        <v>838.46</v>
      </c>
      <c r="I30" s="584">
        <f t="shared" si="14"/>
        <v>406.9</v>
      </c>
      <c r="J30" s="584">
        <f t="shared" si="14"/>
        <v>832.46</v>
      </c>
      <c r="K30" s="584">
        <f t="shared" si="14"/>
        <v>375.85</v>
      </c>
      <c r="L30" s="584">
        <f t="shared" si="14"/>
        <v>791.06</v>
      </c>
      <c r="M30" s="584">
        <f t="shared" si="14"/>
        <v>677.96</v>
      </c>
      <c r="N30" s="584">
        <f t="shared" si="14"/>
        <v>805.22</v>
      </c>
      <c r="O30" s="584">
        <f t="shared" si="14"/>
        <v>294.86</v>
      </c>
      <c r="P30" s="585">
        <f t="shared" si="14"/>
        <v>822.1</v>
      </c>
    </row>
    <row r="31" spans="1:16" x14ac:dyDescent="0.2">
      <c r="A31" s="778" t="s">
        <v>444</v>
      </c>
      <c r="B31" s="778"/>
      <c r="C31" s="778"/>
      <c r="D31" s="778"/>
      <c r="E31" s="586"/>
      <c r="F31" s="587">
        <f t="shared" ref="F31:P31" si="15">SUM(F29:F30)</f>
        <v>2587.9499999999998</v>
      </c>
      <c r="G31" s="587">
        <f t="shared" si="15"/>
        <v>4339.82</v>
      </c>
      <c r="H31" s="587">
        <f t="shared" si="15"/>
        <v>4193.3</v>
      </c>
      <c r="I31" s="587">
        <f t="shared" si="15"/>
        <v>3037.42</v>
      </c>
      <c r="J31" s="587">
        <f t="shared" si="15"/>
        <v>4339.82</v>
      </c>
      <c r="K31" s="587">
        <f t="shared" si="15"/>
        <v>3795.4900000000002</v>
      </c>
      <c r="L31" s="587">
        <f t="shared" si="15"/>
        <v>5350.58</v>
      </c>
      <c r="M31" s="587">
        <f t="shared" si="15"/>
        <v>8112.08</v>
      </c>
      <c r="N31" s="587">
        <f t="shared" si="15"/>
        <v>5004.7400000000007</v>
      </c>
      <c r="O31" s="587">
        <f t="shared" si="15"/>
        <v>5772.86</v>
      </c>
      <c r="P31" s="588">
        <f t="shared" si="15"/>
        <v>4592.8600000000006</v>
      </c>
    </row>
    <row r="32" spans="1:16" x14ac:dyDescent="0.2">
      <c r="A32" s="589" t="s">
        <v>445</v>
      </c>
      <c r="B32" s="590" t="s">
        <v>446</v>
      </c>
      <c r="C32" s="590"/>
      <c r="D32" s="590"/>
      <c r="E32" s="590"/>
      <c r="F32" s="591">
        <f t="shared" ref="F32:P32" si="16">F25</f>
        <v>731.68000000000006</v>
      </c>
      <c r="G32" s="591">
        <f t="shared" si="16"/>
        <v>1226.97</v>
      </c>
      <c r="H32" s="591">
        <f t="shared" si="16"/>
        <v>1185.56</v>
      </c>
      <c r="I32" s="591">
        <f t="shared" si="16"/>
        <v>858.75</v>
      </c>
      <c r="J32" s="591">
        <f t="shared" si="16"/>
        <v>1226.97</v>
      </c>
      <c r="K32" s="591">
        <f t="shared" si="16"/>
        <v>1073.07</v>
      </c>
      <c r="L32" s="591">
        <f t="shared" si="16"/>
        <v>1512.74</v>
      </c>
      <c r="M32" s="591">
        <f t="shared" si="16"/>
        <v>2293.48</v>
      </c>
      <c r="N32" s="591">
        <f t="shared" si="16"/>
        <v>1414.9699999999998</v>
      </c>
      <c r="O32" s="591">
        <f t="shared" si="16"/>
        <v>1632.14</v>
      </c>
      <c r="P32" s="592">
        <f t="shared" si="16"/>
        <v>1298.52</v>
      </c>
    </row>
    <row r="33" spans="1:16" x14ac:dyDescent="0.2">
      <c r="A33" s="593" t="s">
        <v>447</v>
      </c>
      <c r="B33" s="594"/>
      <c r="C33" s="594"/>
      <c r="D33" s="594"/>
      <c r="E33" s="594"/>
      <c r="F33" s="595">
        <f t="shared" ref="F33:P33" si="17">SUM(F31:F32)</f>
        <v>3319.63</v>
      </c>
      <c r="G33" s="595">
        <f t="shared" si="17"/>
        <v>5566.79</v>
      </c>
      <c r="H33" s="595">
        <f t="shared" si="17"/>
        <v>5378.8600000000006</v>
      </c>
      <c r="I33" s="595">
        <f t="shared" si="17"/>
        <v>3896.17</v>
      </c>
      <c r="J33" s="595">
        <f t="shared" si="17"/>
        <v>5566.79</v>
      </c>
      <c r="K33" s="595">
        <f t="shared" si="17"/>
        <v>4868.5600000000004</v>
      </c>
      <c r="L33" s="595">
        <f t="shared" si="17"/>
        <v>6863.32</v>
      </c>
      <c r="M33" s="595">
        <f t="shared" si="17"/>
        <v>10405.56</v>
      </c>
      <c r="N33" s="595">
        <f t="shared" si="17"/>
        <v>6419.7100000000009</v>
      </c>
      <c r="O33" s="595">
        <f t="shared" si="17"/>
        <v>7405</v>
      </c>
      <c r="P33" s="596">
        <f t="shared" si="17"/>
        <v>5891.380000000001</v>
      </c>
    </row>
  </sheetData>
  <sheetProtection algorithmName="SHA-512" hashValue="sj1G8aBiB0UrrjyRVJNNReA9qJXwaW76PyEqdcspc+FbCrNHCmH2Ay/UuPjP+KBrhW25lzQEokKPNC6QWmwIMg==" saltValue="Ei42NpMJME1B6RpXIPNVQA==" spinCount="100000" sheet="1" objects="1" scenarios="1"/>
  <mergeCells count="30">
    <mergeCell ref="B1:P1"/>
    <mergeCell ref="B2:P2"/>
    <mergeCell ref="B3:P3"/>
    <mergeCell ref="A4:P4"/>
    <mergeCell ref="A5:D5"/>
    <mergeCell ref="E5:E6"/>
    <mergeCell ref="B6:D6"/>
    <mergeCell ref="F6:P6"/>
    <mergeCell ref="B7:E7"/>
    <mergeCell ref="B8:D8"/>
    <mergeCell ref="B9:D9"/>
    <mergeCell ref="A10:D10"/>
    <mergeCell ref="A11:E11"/>
    <mergeCell ref="F12:P12"/>
    <mergeCell ref="B13:D13"/>
    <mergeCell ref="B14:D14"/>
    <mergeCell ref="A16:E16"/>
    <mergeCell ref="B17:D17"/>
    <mergeCell ref="F17:P17"/>
    <mergeCell ref="B18:D18"/>
    <mergeCell ref="B19:D19"/>
    <mergeCell ref="B20:D20"/>
    <mergeCell ref="B21:D21"/>
    <mergeCell ref="B22:D22"/>
    <mergeCell ref="A31:D31"/>
    <mergeCell ref="B23:D23"/>
    <mergeCell ref="B24:D24"/>
    <mergeCell ref="A26:P26"/>
    <mergeCell ref="A27:P27"/>
    <mergeCell ref="F28:P28"/>
  </mergeCells>
  <pageMargins left="0.51180555555555496" right="0.51180555555555496" top="0.78749999999999998" bottom="0.78749999999999998" header="0.51180555555555496" footer="0.51180555555555496"/>
  <pageSetup paperSize="9" scale="59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19"/>
  <sheetViews>
    <sheetView showGridLines="0" view="pageBreakPreview" zoomScale="130" zoomScaleNormal="100" zoomScalePageLayoutView="130" workbookViewId="0"/>
  </sheetViews>
  <sheetFormatPr defaultColWidth="9.33203125" defaultRowHeight="12.75" x14ac:dyDescent="0.2"/>
  <cols>
    <col min="1" max="1" width="1.6640625" style="597" customWidth="1"/>
    <col min="2" max="2" width="8.5" style="597" customWidth="1"/>
    <col min="3" max="3" width="5.1640625" style="597" customWidth="1"/>
    <col min="4" max="4" width="8.83203125" style="597" customWidth="1"/>
    <col min="5" max="5" width="6.33203125" style="597" customWidth="1"/>
    <col min="6" max="6" width="9.6640625" style="597" customWidth="1"/>
    <col min="7" max="7" width="8.6640625" style="597" customWidth="1"/>
    <col min="8" max="8" width="3.83203125" style="597" customWidth="1"/>
    <col min="9" max="9" width="8.5" style="597" customWidth="1"/>
    <col min="10" max="10" width="5.1640625" style="597" customWidth="1"/>
    <col min="11" max="11" width="8.83203125" style="597" customWidth="1"/>
    <col min="12" max="12" width="6.33203125" style="597" customWidth="1"/>
    <col min="13" max="13" width="9.6640625" style="597" customWidth="1"/>
    <col min="14" max="14" width="8.6640625" style="597" customWidth="1"/>
    <col min="15" max="15" width="3.5" style="597" customWidth="1"/>
    <col min="16" max="16" width="8.5" style="597" customWidth="1"/>
    <col min="17" max="17" width="5.1640625" style="597" customWidth="1"/>
    <col min="18" max="18" width="8.83203125" style="597" customWidth="1"/>
    <col min="19" max="19" width="6.33203125" style="597" customWidth="1"/>
    <col min="20" max="20" width="9.6640625" style="597" customWidth="1"/>
    <col min="21" max="21" width="8.6640625" style="597" customWidth="1"/>
    <col min="22" max="22" width="3.5" style="597" customWidth="1"/>
    <col min="23" max="23" width="8.5" style="597" customWidth="1"/>
    <col min="24" max="24" width="5.1640625" style="597" customWidth="1"/>
    <col min="25" max="25" width="8.83203125" style="597" customWidth="1"/>
    <col min="26" max="26" width="6.33203125" style="597" customWidth="1"/>
    <col min="27" max="27" width="9.6640625" style="597" customWidth="1"/>
    <col min="28" max="28" width="8.6640625" style="597" customWidth="1"/>
    <col min="29" max="29" width="3.5" style="597" customWidth="1"/>
    <col min="30" max="30" width="8.5" style="597" customWidth="1"/>
    <col min="31" max="31" width="5.1640625" style="597" customWidth="1"/>
    <col min="32" max="256" width="9.33203125" style="597"/>
    <col min="257" max="257" width="1.6640625" style="597" customWidth="1"/>
    <col min="258" max="258" width="8.5" style="597" customWidth="1"/>
    <col min="259" max="259" width="5.1640625" style="597" customWidth="1"/>
    <col min="260" max="260" width="8.83203125" style="597" customWidth="1"/>
    <col min="261" max="261" width="6.33203125" style="597" customWidth="1"/>
    <col min="262" max="262" width="9.6640625" style="597" customWidth="1"/>
    <col min="263" max="263" width="8.6640625" style="597" customWidth="1"/>
    <col min="264" max="264" width="3.83203125" style="597" customWidth="1"/>
    <col min="265" max="265" width="8.5" style="597" customWidth="1"/>
    <col min="266" max="266" width="5.1640625" style="597" customWidth="1"/>
    <col min="267" max="267" width="8.83203125" style="597" customWidth="1"/>
    <col min="268" max="268" width="6.33203125" style="597" customWidth="1"/>
    <col min="269" max="269" width="9.6640625" style="597" customWidth="1"/>
    <col min="270" max="270" width="8.6640625" style="597" customWidth="1"/>
    <col min="271" max="271" width="3.5" style="597" customWidth="1"/>
    <col min="272" max="272" width="8.5" style="597" customWidth="1"/>
    <col min="273" max="273" width="5.1640625" style="597" customWidth="1"/>
    <col min="274" max="274" width="8.83203125" style="597" customWidth="1"/>
    <col min="275" max="275" width="6.33203125" style="597" customWidth="1"/>
    <col min="276" max="276" width="9.6640625" style="597" customWidth="1"/>
    <col min="277" max="277" width="8.6640625" style="597" customWidth="1"/>
    <col min="278" max="278" width="3.5" style="597" customWidth="1"/>
    <col min="279" max="279" width="8.5" style="597" customWidth="1"/>
    <col min="280" max="280" width="5.1640625" style="597" customWidth="1"/>
    <col min="281" max="281" width="8.83203125" style="597" customWidth="1"/>
    <col min="282" max="282" width="6.33203125" style="597" customWidth="1"/>
    <col min="283" max="283" width="9.6640625" style="597" customWidth="1"/>
    <col min="284" max="284" width="8.6640625" style="597" customWidth="1"/>
    <col min="285" max="285" width="3.5" style="597" customWidth="1"/>
    <col min="286" max="286" width="8.5" style="597" customWidth="1"/>
    <col min="287" max="287" width="5.1640625" style="597" customWidth="1"/>
    <col min="288" max="512" width="9.33203125" style="597"/>
    <col min="513" max="513" width="1.6640625" style="597" customWidth="1"/>
    <col min="514" max="514" width="8.5" style="597" customWidth="1"/>
    <col min="515" max="515" width="5.1640625" style="597" customWidth="1"/>
    <col min="516" max="516" width="8.83203125" style="597" customWidth="1"/>
    <col min="517" max="517" width="6.33203125" style="597" customWidth="1"/>
    <col min="518" max="518" width="9.6640625" style="597" customWidth="1"/>
    <col min="519" max="519" width="8.6640625" style="597" customWidth="1"/>
    <col min="520" max="520" width="3.83203125" style="597" customWidth="1"/>
    <col min="521" max="521" width="8.5" style="597" customWidth="1"/>
    <col min="522" max="522" width="5.1640625" style="597" customWidth="1"/>
    <col min="523" max="523" width="8.83203125" style="597" customWidth="1"/>
    <col min="524" max="524" width="6.33203125" style="597" customWidth="1"/>
    <col min="525" max="525" width="9.6640625" style="597" customWidth="1"/>
    <col min="526" max="526" width="8.6640625" style="597" customWidth="1"/>
    <col min="527" max="527" width="3.5" style="597" customWidth="1"/>
    <col min="528" max="528" width="8.5" style="597" customWidth="1"/>
    <col min="529" max="529" width="5.1640625" style="597" customWidth="1"/>
    <col min="530" max="530" width="8.83203125" style="597" customWidth="1"/>
    <col min="531" max="531" width="6.33203125" style="597" customWidth="1"/>
    <col min="532" max="532" width="9.6640625" style="597" customWidth="1"/>
    <col min="533" max="533" width="8.6640625" style="597" customWidth="1"/>
    <col min="534" max="534" width="3.5" style="597" customWidth="1"/>
    <col min="535" max="535" width="8.5" style="597" customWidth="1"/>
    <col min="536" max="536" width="5.1640625" style="597" customWidth="1"/>
    <col min="537" max="537" width="8.83203125" style="597" customWidth="1"/>
    <col min="538" max="538" width="6.33203125" style="597" customWidth="1"/>
    <col min="539" max="539" width="9.6640625" style="597" customWidth="1"/>
    <col min="540" max="540" width="8.6640625" style="597" customWidth="1"/>
    <col min="541" max="541" width="3.5" style="597" customWidth="1"/>
    <col min="542" max="542" width="8.5" style="597" customWidth="1"/>
    <col min="543" max="543" width="5.1640625" style="597" customWidth="1"/>
    <col min="544" max="768" width="9.33203125" style="597"/>
    <col min="769" max="769" width="1.6640625" style="597" customWidth="1"/>
    <col min="770" max="770" width="8.5" style="597" customWidth="1"/>
    <col min="771" max="771" width="5.1640625" style="597" customWidth="1"/>
    <col min="772" max="772" width="8.83203125" style="597" customWidth="1"/>
    <col min="773" max="773" width="6.33203125" style="597" customWidth="1"/>
    <col min="774" max="774" width="9.6640625" style="597" customWidth="1"/>
    <col min="775" max="775" width="8.6640625" style="597" customWidth="1"/>
    <col min="776" max="776" width="3.83203125" style="597" customWidth="1"/>
    <col min="777" max="777" width="8.5" style="597" customWidth="1"/>
    <col min="778" max="778" width="5.1640625" style="597" customWidth="1"/>
    <col min="779" max="779" width="8.83203125" style="597" customWidth="1"/>
    <col min="780" max="780" width="6.33203125" style="597" customWidth="1"/>
    <col min="781" max="781" width="9.6640625" style="597" customWidth="1"/>
    <col min="782" max="782" width="8.6640625" style="597" customWidth="1"/>
    <col min="783" max="783" width="3.5" style="597" customWidth="1"/>
    <col min="784" max="784" width="8.5" style="597" customWidth="1"/>
    <col min="785" max="785" width="5.1640625" style="597" customWidth="1"/>
    <col min="786" max="786" width="8.83203125" style="597" customWidth="1"/>
    <col min="787" max="787" width="6.33203125" style="597" customWidth="1"/>
    <col min="788" max="788" width="9.6640625" style="597" customWidth="1"/>
    <col min="789" max="789" width="8.6640625" style="597" customWidth="1"/>
    <col min="790" max="790" width="3.5" style="597" customWidth="1"/>
    <col min="791" max="791" width="8.5" style="597" customWidth="1"/>
    <col min="792" max="792" width="5.1640625" style="597" customWidth="1"/>
    <col min="793" max="793" width="8.83203125" style="597" customWidth="1"/>
    <col min="794" max="794" width="6.33203125" style="597" customWidth="1"/>
    <col min="795" max="795" width="9.6640625" style="597" customWidth="1"/>
    <col min="796" max="796" width="8.6640625" style="597" customWidth="1"/>
    <col min="797" max="797" width="3.5" style="597" customWidth="1"/>
    <col min="798" max="798" width="8.5" style="597" customWidth="1"/>
    <col min="799" max="799" width="5.1640625" style="597" customWidth="1"/>
    <col min="800" max="1024" width="9.33203125" style="597"/>
  </cols>
  <sheetData>
    <row r="1" spans="2:35" ht="7.5" customHeight="1" x14ac:dyDescent="0.2"/>
    <row r="2" spans="2:35" ht="15.75" customHeight="1" x14ac:dyDescent="0.2">
      <c r="B2" s="802" t="s">
        <v>242</v>
      </c>
      <c r="C2" s="802"/>
      <c r="D2" s="802"/>
      <c r="E2" s="802"/>
      <c r="F2" s="802"/>
      <c r="G2" s="802"/>
      <c r="I2" s="802" t="s">
        <v>246</v>
      </c>
      <c r="J2" s="802"/>
      <c r="K2" s="802"/>
      <c r="L2" s="802"/>
      <c r="M2" s="802"/>
      <c r="N2" s="802"/>
      <c r="P2" s="802" t="s">
        <v>247</v>
      </c>
      <c r="Q2" s="802"/>
      <c r="R2" s="802"/>
      <c r="S2" s="802"/>
      <c r="T2" s="802"/>
      <c r="U2" s="802"/>
      <c r="W2" s="802" t="s">
        <v>248</v>
      </c>
      <c r="X2" s="802"/>
      <c r="Y2" s="802"/>
      <c r="Z2" s="802"/>
      <c r="AA2" s="802"/>
      <c r="AB2" s="802"/>
      <c r="AD2" s="802" t="s">
        <v>249</v>
      </c>
      <c r="AE2" s="802"/>
      <c r="AF2" s="802"/>
      <c r="AG2" s="802"/>
      <c r="AH2" s="802"/>
      <c r="AI2" s="802"/>
    </row>
    <row r="3" spans="2:35" x14ac:dyDescent="0.2">
      <c r="B3" s="598" t="s">
        <v>448</v>
      </c>
      <c r="C3" s="801"/>
      <c r="D3" s="801"/>
      <c r="E3" s="801"/>
      <c r="F3" s="801"/>
      <c r="G3" s="801"/>
      <c r="I3" s="598" t="s">
        <v>448</v>
      </c>
      <c r="J3" s="801"/>
      <c r="K3" s="801"/>
      <c r="L3" s="801"/>
      <c r="M3" s="801"/>
      <c r="N3" s="801"/>
      <c r="P3" s="598" t="s">
        <v>448</v>
      </c>
      <c r="Q3" s="801"/>
      <c r="R3" s="801"/>
      <c r="S3" s="801"/>
      <c r="T3" s="801"/>
      <c r="U3" s="801"/>
      <c r="W3" s="598" t="s">
        <v>448</v>
      </c>
      <c r="X3" s="801"/>
      <c r="Y3" s="801"/>
      <c r="Z3" s="801"/>
      <c r="AA3" s="801"/>
      <c r="AB3" s="801"/>
      <c r="AD3" s="598" t="s">
        <v>448</v>
      </c>
      <c r="AE3" s="801"/>
      <c r="AF3" s="801"/>
      <c r="AG3" s="801"/>
      <c r="AH3" s="801"/>
      <c r="AI3" s="801"/>
    </row>
    <row r="4" spans="2:35" ht="28.5" customHeight="1" x14ac:dyDescent="0.2">
      <c r="B4" s="800" t="s">
        <v>449</v>
      </c>
      <c r="C4" s="800"/>
      <c r="D4" s="599" t="s">
        <v>450</v>
      </c>
      <c r="E4" s="599" t="s">
        <v>451</v>
      </c>
      <c r="F4" s="599" t="s">
        <v>452</v>
      </c>
      <c r="G4" s="599" t="s">
        <v>453</v>
      </c>
      <c r="I4" s="800" t="s">
        <v>449</v>
      </c>
      <c r="J4" s="800"/>
      <c r="K4" s="599" t="s">
        <v>450</v>
      </c>
      <c r="L4" s="599" t="s">
        <v>451</v>
      </c>
      <c r="M4" s="599" t="s">
        <v>452</v>
      </c>
      <c r="N4" s="599" t="s">
        <v>453</v>
      </c>
      <c r="P4" s="800" t="s">
        <v>449</v>
      </c>
      <c r="Q4" s="800"/>
      <c r="R4" s="599" t="s">
        <v>450</v>
      </c>
      <c r="S4" s="599" t="s">
        <v>451</v>
      </c>
      <c r="T4" s="599" t="s">
        <v>452</v>
      </c>
      <c r="U4" s="599" t="s">
        <v>453</v>
      </c>
      <c r="W4" s="800" t="s">
        <v>449</v>
      </c>
      <c r="X4" s="800"/>
      <c r="Y4" s="599" t="s">
        <v>450</v>
      </c>
      <c r="Z4" s="599" t="s">
        <v>451</v>
      </c>
      <c r="AA4" s="599" t="s">
        <v>452</v>
      </c>
      <c r="AB4" s="599" t="s">
        <v>453</v>
      </c>
      <c r="AD4" s="800" t="s">
        <v>449</v>
      </c>
      <c r="AE4" s="800"/>
      <c r="AF4" s="599" t="s">
        <v>450</v>
      </c>
      <c r="AG4" s="599" t="s">
        <v>451</v>
      </c>
      <c r="AH4" s="599" t="s">
        <v>452</v>
      </c>
      <c r="AI4" s="599" t="s">
        <v>453</v>
      </c>
    </row>
    <row r="5" spans="2:35" ht="15" x14ac:dyDescent="0.2">
      <c r="B5" s="600" t="s">
        <v>454</v>
      </c>
      <c r="C5" s="600" t="s">
        <v>455</v>
      </c>
      <c r="D5" s="600" t="s">
        <v>456</v>
      </c>
      <c r="E5" s="600"/>
      <c r="F5" s="600" t="s">
        <v>457</v>
      </c>
      <c r="G5" s="601">
        <v>100</v>
      </c>
      <c r="I5" s="600" t="s">
        <v>454</v>
      </c>
      <c r="J5" s="600" t="s">
        <v>455</v>
      </c>
      <c r="K5" s="600" t="s">
        <v>456</v>
      </c>
      <c r="L5" s="600"/>
      <c r="M5" s="600" t="s">
        <v>457</v>
      </c>
      <c r="N5" s="601">
        <v>100</v>
      </c>
      <c r="P5" s="600" t="s">
        <v>454</v>
      </c>
      <c r="Q5" s="600" t="s">
        <v>455</v>
      </c>
      <c r="R5" s="600" t="s">
        <v>456</v>
      </c>
      <c r="S5" s="600"/>
      <c r="T5" s="600" t="s">
        <v>457</v>
      </c>
      <c r="U5" s="601">
        <v>100</v>
      </c>
      <c r="W5" s="600" t="s">
        <v>454</v>
      </c>
      <c r="X5" s="600" t="s">
        <v>455</v>
      </c>
      <c r="Y5" s="600" t="s">
        <v>456</v>
      </c>
      <c r="Z5" s="600"/>
      <c r="AA5" s="600" t="s">
        <v>457</v>
      </c>
      <c r="AB5" s="601">
        <v>100</v>
      </c>
      <c r="AD5" s="600" t="s">
        <v>454</v>
      </c>
      <c r="AE5" s="600" t="s">
        <v>455</v>
      </c>
      <c r="AF5" s="600" t="s">
        <v>456</v>
      </c>
      <c r="AG5" s="600"/>
      <c r="AH5" s="600" t="s">
        <v>457</v>
      </c>
      <c r="AI5" s="601">
        <v>100</v>
      </c>
    </row>
    <row r="6" spans="2:35" ht="16.5" customHeight="1" x14ac:dyDescent="0.3">
      <c r="B6" s="600">
        <v>2023</v>
      </c>
      <c r="C6" s="602" t="s">
        <v>458</v>
      </c>
      <c r="D6" s="603"/>
      <c r="E6" s="604">
        <v>25</v>
      </c>
      <c r="F6" s="603">
        <f>D6/30*E6</f>
        <v>0</v>
      </c>
      <c r="G6" s="605">
        <f t="shared" ref="G6:G18" si="0">(G5*F6)+G5</f>
        <v>100</v>
      </c>
      <c r="I6" s="600">
        <f t="shared" ref="I6:I18" si="1">B6+1</f>
        <v>2024</v>
      </c>
      <c r="J6" s="602" t="str">
        <f t="shared" ref="J6:J18" si="2">C6</f>
        <v>AGO</v>
      </c>
      <c r="K6" s="603"/>
      <c r="L6" s="604">
        <f>$E$6</f>
        <v>25</v>
      </c>
      <c r="M6" s="603">
        <f>K6/30*L6</f>
        <v>0</v>
      </c>
      <c r="N6" s="605">
        <f t="shared" ref="N6:N18" si="3">(N5*M6)+N5</f>
        <v>100</v>
      </c>
      <c r="P6" s="600">
        <f t="shared" ref="P6:P18" si="4">I6+1</f>
        <v>2025</v>
      </c>
      <c r="Q6" s="602" t="s">
        <v>458</v>
      </c>
      <c r="R6" s="603"/>
      <c r="S6" s="604">
        <f>$E$6</f>
        <v>25</v>
      </c>
      <c r="T6" s="603">
        <f>R6/30*S6</f>
        <v>0</v>
      </c>
      <c r="U6" s="605">
        <f t="shared" ref="U6:U18" si="5">(U5*T6)+U5</f>
        <v>100</v>
      </c>
      <c r="W6" s="600">
        <f t="shared" ref="W6:W18" si="6">P6+1</f>
        <v>2026</v>
      </c>
      <c r="X6" s="602" t="s">
        <v>458</v>
      </c>
      <c r="Y6" s="603"/>
      <c r="Z6" s="604">
        <f>$E$6</f>
        <v>25</v>
      </c>
      <c r="AA6" s="603">
        <f>Y6/30*Z6</f>
        <v>0</v>
      </c>
      <c r="AB6" s="605">
        <f t="shared" ref="AB6:AB18" si="7">(AB5*AA6)+AB5</f>
        <v>100</v>
      </c>
      <c r="AD6" s="600">
        <f t="shared" ref="AD6:AD18" si="8">W6+1</f>
        <v>2027</v>
      </c>
      <c r="AE6" s="602" t="s">
        <v>458</v>
      </c>
      <c r="AF6" s="603"/>
      <c r="AG6" s="604">
        <f>$E$6</f>
        <v>25</v>
      </c>
      <c r="AH6" s="603">
        <f>AF6/30*AG6</f>
        <v>0</v>
      </c>
      <c r="AI6" s="605">
        <f t="shared" ref="AI6:AI18" si="9">(AI5*AH6)+AI5</f>
        <v>100</v>
      </c>
    </row>
    <row r="7" spans="2:35" ht="16.5" x14ac:dyDescent="0.3">
      <c r="B7" s="600">
        <v>2023</v>
      </c>
      <c r="C7" s="602" t="s">
        <v>459</v>
      </c>
      <c r="D7" s="603"/>
      <c r="E7" s="604"/>
      <c r="F7" s="603">
        <f t="shared" ref="F7:F17" si="10">D7</f>
        <v>0</v>
      </c>
      <c r="G7" s="605">
        <f t="shared" si="0"/>
        <v>100</v>
      </c>
      <c r="I7" s="600">
        <f t="shared" si="1"/>
        <v>2024</v>
      </c>
      <c r="J7" s="602" t="str">
        <f t="shared" si="2"/>
        <v>SET</v>
      </c>
      <c r="K7" s="603"/>
      <c r="L7" s="604"/>
      <c r="M7" s="603">
        <f t="shared" ref="M7:M17" si="11">K7</f>
        <v>0</v>
      </c>
      <c r="N7" s="605">
        <f t="shared" si="3"/>
        <v>100</v>
      </c>
      <c r="P7" s="600">
        <f t="shared" si="4"/>
        <v>2025</v>
      </c>
      <c r="Q7" s="602" t="s">
        <v>459</v>
      </c>
      <c r="R7" s="603"/>
      <c r="S7" s="604"/>
      <c r="T7" s="603">
        <f t="shared" ref="T7:T17" si="12">R7</f>
        <v>0</v>
      </c>
      <c r="U7" s="605">
        <f t="shared" si="5"/>
        <v>100</v>
      </c>
      <c r="W7" s="600">
        <f t="shared" si="6"/>
        <v>2026</v>
      </c>
      <c r="X7" s="602" t="s">
        <v>459</v>
      </c>
      <c r="Y7" s="603"/>
      <c r="Z7" s="604"/>
      <c r="AA7" s="603">
        <f t="shared" ref="AA7:AA17" si="13">Y7</f>
        <v>0</v>
      </c>
      <c r="AB7" s="605">
        <f t="shared" si="7"/>
        <v>100</v>
      </c>
      <c r="AD7" s="600">
        <f t="shared" si="8"/>
        <v>2027</v>
      </c>
      <c r="AE7" s="602" t="s">
        <v>459</v>
      </c>
      <c r="AF7" s="603"/>
      <c r="AG7" s="604"/>
      <c r="AH7" s="603">
        <f t="shared" ref="AH7:AH17" si="14">AF7</f>
        <v>0</v>
      </c>
      <c r="AI7" s="605">
        <f t="shared" si="9"/>
        <v>100</v>
      </c>
    </row>
    <row r="8" spans="2:35" ht="16.5" x14ac:dyDescent="0.3">
      <c r="B8" s="600">
        <v>2023</v>
      </c>
      <c r="C8" s="602" t="s">
        <v>460</v>
      </c>
      <c r="D8" s="603"/>
      <c r="E8" s="604"/>
      <c r="F8" s="603">
        <f t="shared" si="10"/>
        <v>0</v>
      </c>
      <c r="G8" s="605">
        <f t="shared" si="0"/>
        <v>100</v>
      </c>
      <c r="I8" s="600">
        <f t="shared" si="1"/>
        <v>2024</v>
      </c>
      <c r="J8" s="602" t="str">
        <f t="shared" si="2"/>
        <v>OUT</v>
      </c>
      <c r="K8" s="603"/>
      <c r="L8" s="604"/>
      <c r="M8" s="603">
        <f t="shared" si="11"/>
        <v>0</v>
      </c>
      <c r="N8" s="605">
        <f t="shared" si="3"/>
        <v>100</v>
      </c>
      <c r="P8" s="600">
        <f t="shared" si="4"/>
        <v>2025</v>
      </c>
      <c r="Q8" s="602" t="s">
        <v>460</v>
      </c>
      <c r="R8" s="603"/>
      <c r="S8" s="604"/>
      <c r="T8" s="603">
        <f t="shared" si="12"/>
        <v>0</v>
      </c>
      <c r="U8" s="605">
        <f t="shared" si="5"/>
        <v>100</v>
      </c>
      <c r="W8" s="600">
        <f t="shared" si="6"/>
        <v>2026</v>
      </c>
      <c r="X8" s="602" t="s">
        <v>460</v>
      </c>
      <c r="Y8" s="603"/>
      <c r="Z8" s="604"/>
      <c r="AA8" s="603">
        <f t="shared" si="13"/>
        <v>0</v>
      </c>
      <c r="AB8" s="605">
        <f t="shared" si="7"/>
        <v>100</v>
      </c>
      <c r="AD8" s="600">
        <f t="shared" si="8"/>
        <v>2027</v>
      </c>
      <c r="AE8" s="602" t="s">
        <v>460</v>
      </c>
      <c r="AF8" s="603"/>
      <c r="AG8" s="604"/>
      <c r="AH8" s="603">
        <f t="shared" si="14"/>
        <v>0</v>
      </c>
      <c r="AI8" s="605">
        <f t="shared" si="9"/>
        <v>100</v>
      </c>
    </row>
    <row r="9" spans="2:35" ht="16.5" x14ac:dyDescent="0.3">
      <c r="B9" s="600">
        <v>2023</v>
      </c>
      <c r="C9" s="602" t="s">
        <v>461</v>
      </c>
      <c r="D9" s="603"/>
      <c r="E9" s="604"/>
      <c r="F9" s="603">
        <f t="shared" si="10"/>
        <v>0</v>
      </c>
      <c r="G9" s="605">
        <f t="shared" si="0"/>
        <v>100</v>
      </c>
      <c r="I9" s="600">
        <f t="shared" si="1"/>
        <v>2024</v>
      </c>
      <c r="J9" s="602" t="str">
        <f t="shared" si="2"/>
        <v>NOV</v>
      </c>
      <c r="K9" s="603"/>
      <c r="L9" s="604"/>
      <c r="M9" s="603">
        <f t="shared" si="11"/>
        <v>0</v>
      </c>
      <c r="N9" s="605">
        <f t="shared" si="3"/>
        <v>100</v>
      </c>
      <c r="P9" s="600">
        <f t="shared" si="4"/>
        <v>2025</v>
      </c>
      <c r="Q9" s="602" t="s">
        <v>461</v>
      </c>
      <c r="R9" s="603"/>
      <c r="S9" s="604"/>
      <c r="T9" s="603">
        <f t="shared" si="12"/>
        <v>0</v>
      </c>
      <c r="U9" s="605">
        <f t="shared" si="5"/>
        <v>100</v>
      </c>
      <c r="W9" s="600">
        <f t="shared" si="6"/>
        <v>2026</v>
      </c>
      <c r="X9" s="602" t="s">
        <v>461</v>
      </c>
      <c r="Y9" s="603"/>
      <c r="Z9" s="604"/>
      <c r="AA9" s="603">
        <f t="shared" si="13"/>
        <v>0</v>
      </c>
      <c r="AB9" s="605">
        <f t="shared" si="7"/>
        <v>100</v>
      </c>
      <c r="AD9" s="600">
        <f t="shared" si="8"/>
        <v>2027</v>
      </c>
      <c r="AE9" s="602" t="s">
        <v>461</v>
      </c>
      <c r="AF9" s="603"/>
      <c r="AG9" s="604"/>
      <c r="AH9" s="603">
        <f t="shared" si="14"/>
        <v>0</v>
      </c>
      <c r="AI9" s="605">
        <f t="shared" si="9"/>
        <v>100</v>
      </c>
    </row>
    <row r="10" spans="2:35" ht="16.5" x14ac:dyDescent="0.3">
      <c r="B10" s="600">
        <v>2023</v>
      </c>
      <c r="C10" s="602" t="s">
        <v>462</v>
      </c>
      <c r="D10" s="603"/>
      <c r="E10" s="604"/>
      <c r="F10" s="603">
        <f t="shared" si="10"/>
        <v>0</v>
      </c>
      <c r="G10" s="605">
        <f t="shared" si="0"/>
        <v>100</v>
      </c>
      <c r="I10" s="600">
        <f t="shared" si="1"/>
        <v>2024</v>
      </c>
      <c r="J10" s="602" t="str">
        <f t="shared" si="2"/>
        <v>DEZ</v>
      </c>
      <c r="K10" s="603"/>
      <c r="L10" s="604"/>
      <c r="M10" s="603">
        <f t="shared" si="11"/>
        <v>0</v>
      </c>
      <c r="N10" s="605">
        <f t="shared" si="3"/>
        <v>100</v>
      </c>
      <c r="P10" s="600">
        <f t="shared" si="4"/>
        <v>2025</v>
      </c>
      <c r="Q10" s="602" t="s">
        <v>462</v>
      </c>
      <c r="R10" s="603"/>
      <c r="S10" s="604"/>
      <c r="T10" s="603">
        <f t="shared" si="12"/>
        <v>0</v>
      </c>
      <c r="U10" s="605">
        <f t="shared" si="5"/>
        <v>100</v>
      </c>
      <c r="W10" s="600">
        <f t="shared" si="6"/>
        <v>2026</v>
      </c>
      <c r="X10" s="602" t="s">
        <v>462</v>
      </c>
      <c r="Y10" s="603"/>
      <c r="Z10" s="604"/>
      <c r="AA10" s="603">
        <f t="shared" si="13"/>
        <v>0</v>
      </c>
      <c r="AB10" s="605">
        <f t="shared" si="7"/>
        <v>100</v>
      </c>
      <c r="AD10" s="600">
        <f t="shared" si="8"/>
        <v>2027</v>
      </c>
      <c r="AE10" s="602" t="s">
        <v>462</v>
      </c>
      <c r="AF10" s="603"/>
      <c r="AG10" s="604"/>
      <c r="AH10" s="603">
        <f t="shared" si="14"/>
        <v>0</v>
      </c>
      <c r="AI10" s="605">
        <f t="shared" si="9"/>
        <v>100</v>
      </c>
    </row>
    <row r="11" spans="2:35" ht="16.5" x14ac:dyDescent="0.3">
      <c r="B11" s="600">
        <v>2023</v>
      </c>
      <c r="C11" s="602" t="s">
        <v>462</v>
      </c>
      <c r="D11" s="603"/>
      <c r="E11" s="604"/>
      <c r="F11" s="603">
        <f t="shared" si="10"/>
        <v>0</v>
      </c>
      <c r="G11" s="605">
        <f t="shared" si="0"/>
        <v>100</v>
      </c>
      <c r="I11" s="600">
        <f t="shared" si="1"/>
        <v>2024</v>
      </c>
      <c r="J11" s="602" t="str">
        <f t="shared" si="2"/>
        <v>DEZ</v>
      </c>
      <c r="K11" s="603"/>
      <c r="L11" s="604"/>
      <c r="M11" s="603">
        <f t="shared" si="11"/>
        <v>0</v>
      </c>
      <c r="N11" s="605">
        <f t="shared" si="3"/>
        <v>100</v>
      </c>
      <c r="P11" s="600">
        <f t="shared" si="4"/>
        <v>2025</v>
      </c>
      <c r="Q11" s="602" t="s">
        <v>462</v>
      </c>
      <c r="R11" s="603"/>
      <c r="S11" s="604"/>
      <c r="T11" s="603">
        <f t="shared" si="12"/>
        <v>0</v>
      </c>
      <c r="U11" s="605">
        <f t="shared" si="5"/>
        <v>100</v>
      </c>
      <c r="W11" s="600">
        <f t="shared" si="6"/>
        <v>2026</v>
      </c>
      <c r="X11" s="602" t="s">
        <v>462</v>
      </c>
      <c r="Y11" s="603"/>
      <c r="Z11" s="604"/>
      <c r="AA11" s="603">
        <f t="shared" si="13"/>
        <v>0</v>
      </c>
      <c r="AB11" s="605">
        <f t="shared" si="7"/>
        <v>100</v>
      </c>
      <c r="AD11" s="600">
        <f t="shared" si="8"/>
        <v>2027</v>
      </c>
      <c r="AE11" s="602" t="s">
        <v>462</v>
      </c>
      <c r="AF11" s="603"/>
      <c r="AG11" s="604"/>
      <c r="AH11" s="603">
        <f t="shared" si="14"/>
        <v>0</v>
      </c>
      <c r="AI11" s="605">
        <f t="shared" si="9"/>
        <v>100</v>
      </c>
    </row>
    <row r="12" spans="2:35" ht="16.5" customHeight="1" x14ac:dyDescent="0.3">
      <c r="B12" s="600">
        <v>2024</v>
      </c>
      <c r="C12" s="606" t="s">
        <v>463</v>
      </c>
      <c r="D12" s="607"/>
      <c r="E12" s="608"/>
      <c r="F12" s="603">
        <f t="shared" si="10"/>
        <v>0</v>
      </c>
      <c r="G12" s="605">
        <f t="shared" si="0"/>
        <v>100</v>
      </c>
      <c r="I12" s="600">
        <f t="shared" si="1"/>
        <v>2025</v>
      </c>
      <c r="J12" s="602" t="str">
        <f t="shared" si="2"/>
        <v>JAN</v>
      </c>
      <c r="K12" s="607"/>
      <c r="L12" s="604"/>
      <c r="M12" s="603">
        <f t="shared" si="11"/>
        <v>0</v>
      </c>
      <c r="N12" s="605">
        <f t="shared" si="3"/>
        <v>100</v>
      </c>
      <c r="P12" s="600">
        <f t="shared" si="4"/>
        <v>2026</v>
      </c>
      <c r="Q12" s="606" t="s">
        <v>463</v>
      </c>
      <c r="R12" s="607"/>
      <c r="S12" s="608"/>
      <c r="T12" s="603">
        <f t="shared" si="12"/>
        <v>0</v>
      </c>
      <c r="U12" s="605">
        <f t="shared" si="5"/>
        <v>100</v>
      </c>
      <c r="W12" s="600">
        <f t="shared" si="6"/>
        <v>2027</v>
      </c>
      <c r="X12" s="606" t="s">
        <v>463</v>
      </c>
      <c r="Y12" s="607"/>
      <c r="Z12" s="608"/>
      <c r="AA12" s="603">
        <f t="shared" si="13"/>
        <v>0</v>
      </c>
      <c r="AB12" s="605">
        <f t="shared" si="7"/>
        <v>100</v>
      </c>
      <c r="AD12" s="600">
        <f t="shared" si="8"/>
        <v>2028</v>
      </c>
      <c r="AE12" s="606" t="s">
        <v>463</v>
      </c>
      <c r="AF12" s="607"/>
      <c r="AG12" s="608"/>
      <c r="AH12" s="603">
        <f t="shared" si="14"/>
        <v>0</v>
      </c>
      <c r="AI12" s="605">
        <f t="shared" si="9"/>
        <v>100</v>
      </c>
    </row>
    <row r="13" spans="2:35" ht="16.5" x14ac:dyDescent="0.3">
      <c r="B13" s="600">
        <v>2024</v>
      </c>
      <c r="C13" s="602" t="s">
        <v>464</v>
      </c>
      <c r="D13" s="603"/>
      <c r="E13" s="604"/>
      <c r="F13" s="603">
        <f t="shared" si="10"/>
        <v>0</v>
      </c>
      <c r="G13" s="605">
        <f t="shared" si="0"/>
        <v>100</v>
      </c>
      <c r="I13" s="600">
        <f t="shared" si="1"/>
        <v>2025</v>
      </c>
      <c r="J13" s="602" t="str">
        <f t="shared" si="2"/>
        <v>FEV</v>
      </c>
      <c r="K13" s="603"/>
      <c r="L13" s="604"/>
      <c r="M13" s="603">
        <f t="shared" si="11"/>
        <v>0</v>
      </c>
      <c r="N13" s="605">
        <f t="shared" si="3"/>
        <v>100</v>
      </c>
      <c r="P13" s="600">
        <f t="shared" si="4"/>
        <v>2026</v>
      </c>
      <c r="Q13" s="602" t="s">
        <v>464</v>
      </c>
      <c r="R13" s="603"/>
      <c r="S13" s="604"/>
      <c r="T13" s="603">
        <f t="shared" si="12"/>
        <v>0</v>
      </c>
      <c r="U13" s="605">
        <f t="shared" si="5"/>
        <v>100</v>
      </c>
      <c r="W13" s="600">
        <f t="shared" si="6"/>
        <v>2027</v>
      </c>
      <c r="X13" s="602" t="s">
        <v>464</v>
      </c>
      <c r="Y13" s="603"/>
      <c r="Z13" s="604"/>
      <c r="AA13" s="603">
        <f t="shared" si="13"/>
        <v>0</v>
      </c>
      <c r="AB13" s="605">
        <f t="shared" si="7"/>
        <v>100</v>
      </c>
      <c r="AD13" s="600">
        <f t="shared" si="8"/>
        <v>2028</v>
      </c>
      <c r="AE13" s="602" t="s">
        <v>464</v>
      </c>
      <c r="AF13" s="603"/>
      <c r="AG13" s="604"/>
      <c r="AH13" s="603">
        <f t="shared" si="14"/>
        <v>0</v>
      </c>
      <c r="AI13" s="605">
        <f t="shared" si="9"/>
        <v>100</v>
      </c>
    </row>
    <row r="14" spans="2:35" ht="16.5" x14ac:dyDescent="0.3">
      <c r="B14" s="600">
        <v>2024</v>
      </c>
      <c r="C14" s="606" t="s">
        <v>465</v>
      </c>
      <c r="D14" s="603"/>
      <c r="E14" s="604"/>
      <c r="F14" s="603">
        <f t="shared" si="10"/>
        <v>0</v>
      </c>
      <c r="G14" s="605">
        <f t="shared" si="0"/>
        <v>100</v>
      </c>
      <c r="I14" s="600">
        <f t="shared" si="1"/>
        <v>2025</v>
      </c>
      <c r="J14" s="602" t="str">
        <f t="shared" si="2"/>
        <v>MAR</v>
      </c>
      <c r="K14" s="603"/>
      <c r="L14" s="604"/>
      <c r="M14" s="603">
        <f t="shared" si="11"/>
        <v>0</v>
      </c>
      <c r="N14" s="605">
        <f t="shared" si="3"/>
        <v>100</v>
      </c>
      <c r="P14" s="600">
        <f t="shared" si="4"/>
        <v>2026</v>
      </c>
      <c r="Q14" s="606" t="s">
        <v>465</v>
      </c>
      <c r="R14" s="603"/>
      <c r="S14" s="604"/>
      <c r="T14" s="603">
        <f t="shared" si="12"/>
        <v>0</v>
      </c>
      <c r="U14" s="605">
        <f t="shared" si="5"/>
        <v>100</v>
      </c>
      <c r="W14" s="600">
        <f t="shared" si="6"/>
        <v>2027</v>
      </c>
      <c r="X14" s="606" t="s">
        <v>465</v>
      </c>
      <c r="Y14" s="603"/>
      <c r="Z14" s="604"/>
      <c r="AA14" s="603">
        <f t="shared" si="13"/>
        <v>0</v>
      </c>
      <c r="AB14" s="605">
        <f t="shared" si="7"/>
        <v>100</v>
      </c>
      <c r="AD14" s="600">
        <f t="shared" si="8"/>
        <v>2028</v>
      </c>
      <c r="AE14" s="606" t="s">
        <v>465</v>
      </c>
      <c r="AF14" s="603"/>
      <c r="AG14" s="604"/>
      <c r="AH14" s="603">
        <f t="shared" si="14"/>
        <v>0</v>
      </c>
      <c r="AI14" s="605">
        <f t="shared" si="9"/>
        <v>100</v>
      </c>
    </row>
    <row r="15" spans="2:35" ht="16.5" x14ac:dyDescent="0.3">
      <c r="B15" s="600">
        <v>2024</v>
      </c>
      <c r="C15" s="602" t="s">
        <v>466</v>
      </c>
      <c r="D15" s="603"/>
      <c r="E15" s="604"/>
      <c r="F15" s="603">
        <f t="shared" si="10"/>
        <v>0</v>
      </c>
      <c r="G15" s="605">
        <f t="shared" si="0"/>
        <v>100</v>
      </c>
      <c r="I15" s="600">
        <f t="shared" si="1"/>
        <v>2025</v>
      </c>
      <c r="J15" s="602" t="str">
        <f t="shared" si="2"/>
        <v>ABR</v>
      </c>
      <c r="K15" s="603"/>
      <c r="L15" s="604"/>
      <c r="M15" s="603">
        <f t="shared" si="11"/>
        <v>0</v>
      </c>
      <c r="N15" s="605">
        <f t="shared" si="3"/>
        <v>100</v>
      </c>
      <c r="P15" s="600">
        <f t="shared" si="4"/>
        <v>2026</v>
      </c>
      <c r="Q15" s="602" t="s">
        <v>466</v>
      </c>
      <c r="R15" s="603"/>
      <c r="S15" s="604"/>
      <c r="T15" s="603">
        <f t="shared" si="12"/>
        <v>0</v>
      </c>
      <c r="U15" s="605">
        <f t="shared" si="5"/>
        <v>100</v>
      </c>
      <c r="W15" s="600">
        <f t="shared" si="6"/>
        <v>2027</v>
      </c>
      <c r="X15" s="602" t="s">
        <v>466</v>
      </c>
      <c r="Y15" s="603"/>
      <c r="Z15" s="604"/>
      <c r="AA15" s="603">
        <f t="shared" si="13"/>
        <v>0</v>
      </c>
      <c r="AB15" s="605">
        <f t="shared" si="7"/>
        <v>100</v>
      </c>
      <c r="AD15" s="600">
        <f t="shared" si="8"/>
        <v>2028</v>
      </c>
      <c r="AE15" s="602" t="s">
        <v>466</v>
      </c>
      <c r="AF15" s="603"/>
      <c r="AG15" s="604"/>
      <c r="AH15" s="603">
        <f t="shared" si="14"/>
        <v>0</v>
      </c>
      <c r="AI15" s="605">
        <f t="shared" si="9"/>
        <v>100</v>
      </c>
    </row>
    <row r="16" spans="2:35" ht="16.5" x14ac:dyDescent="0.3">
      <c r="B16" s="600">
        <v>2024</v>
      </c>
      <c r="C16" s="606" t="s">
        <v>467</v>
      </c>
      <c r="D16" s="603"/>
      <c r="E16" s="604"/>
      <c r="F16" s="603">
        <f t="shared" si="10"/>
        <v>0</v>
      </c>
      <c r="G16" s="605">
        <f t="shared" si="0"/>
        <v>100</v>
      </c>
      <c r="I16" s="600">
        <f t="shared" si="1"/>
        <v>2025</v>
      </c>
      <c r="J16" s="602" t="str">
        <f t="shared" si="2"/>
        <v>MAI</v>
      </c>
      <c r="K16" s="603"/>
      <c r="L16" s="604"/>
      <c r="M16" s="603">
        <f t="shared" si="11"/>
        <v>0</v>
      </c>
      <c r="N16" s="605">
        <f t="shared" si="3"/>
        <v>100</v>
      </c>
      <c r="P16" s="600">
        <f t="shared" si="4"/>
        <v>2026</v>
      </c>
      <c r="Q16" s="606" t="s">
        <v>467</v>
      </c>
      <c r="R16" s="603"/>
      <c r="S16" s="604"/>
      <c r="T16" s="603">
        <f t="shared" si="12"/>
        <v>0</v>
      </c>
      <c r="U16" s="605">
        <f t="shared" si="5"/>
        <v>100</v>
      </c>
      <c r="W16" s="600">
        <f t="shared" si="6"/>
        <v>2027</v>
      </c>
      <c r="X16" s="606" t="s">
        <v>467</v>
      </c>
      <c r="Y16" s="603"/>
      <c r="Z16" s="604"/>
      <c r="AA16" s="603">
        <f t="shared" si="13"/>
        <v>0</v>
      </c>
      <c r="AB16" s="605">
        <f t="shared" si="7"/>
        <v>100</v>
      </c>
      <c r="AD16" s="600">
        <f t="shared" si="8"/>
        <v>2028</v>
      </c>
      <c r="AE16" s="606" t="s">
        <v>467</v>
      </c>
      <c r="AF16" s="603"/>
      <c r="AG16" s="604"/>
      <c r="AH16" s="603">
        <f t="shared" si="14"/>
        <v>0</v>
      </c>
      <c r="AI16" s="605">
        <f t="shared" si="9"/>
        <v>100</v>
      </c>
    </row>
    <row r="17" spans="2:35" ht="16.5" x14ac:dyDescent="0.3">
      <c r="B17" s="600">
        <v>2024</v>
      </c>
      <c r="C17" s="602" t="s">
        <v>468</v>
      </c>
      <c r="D17" s="603"/>
      <c r="E17" s="604"/>
      <c r="F17" s="603">
        <f t="shared" si="10"/>
        <v>0</v>
      </c>
      <c r="G17" s="605">
        <f t="shared" si="0"/>
        <v>100</v>
      </c>
      <c r="I17" s="600">
        <f t="shared" si="1"/>
        <v>2025</v>
      </c>
      <c r="J17" s="602" t="str">
        <f t="shared" si="2"/>
        <v>JUN</v>
      </c>
      <c r="K17" s="603"/>
      <c r="L17" s="604"/>
      <c r="M17" s="603">
        <f t="shared" si="11"/>
        <v>0</v>
      </c>
      <c r="N17" s="605">
        <f t="shared" si="3"/>
        <v>100</v>
      </c>
      <c r="P17" s="600">
        <f t="shared" si="4"/>
        <v>2026</v>
      </c>
      <c r="Q17" s="602" t="s">
        <v>468</v>
      </c>
      <c r="R17" s="603"/>
      <c r="S17" s="604"/>
      <c r="T17" s="603">
        <f t="shared" si="12"/>
        <v>0</v>
      </c>
      <c r="U17" s="605">
        <f t="shared" si="5"/>
        <v>100</v>
      </c>
      <c r="W17" s="600">
        <f t="shared" si="6"/>
        <v>2027</v>
      </c>
      <c r="X17" s="602" t="s">
        <v>468</v>
      </c>
      <c r="Y17" s="603"/>
      <c r="Z17" s="604"/>
      <c r="AA17" s="603">
        <f t="shared" si="13"/>
        <v>0</v>
      </c>
      <c r="AB17" s="605">
        <f t="shared" si="7"/>
        <v>100</v>
      </c>
      <c r="AD17" s="600">
        <f t="shared" si="8"/>
        <v>2028</v>
      </c>
      <c r="AE17" s="602" t="s">
        <v>468</v>
      </c>
      <c r="AF17" s="603"/>
      <c r="AG17" s="604"/>
      <c r="AH17" s="603">
        <f t="shared" si="14"/>
        <v>0</v>
      </c>
      <c r="AI17" s="605">
        <f t="shared" si="9"/>
        <v>100</v>
      </c>
    </row>
    <row r="18" spans="2:35" ht="16.5" x14ac:dyDescent="0.3">
      <c r="B18" s="600">
        <v>2024</v>
      </c>
      <c r="C18" s="606" t="s">
        <v>469</v>
      </c>
      <c r="D18" s="603"/>
      <c r="E18" s="604">
        <v>5</v>
      </c>
      <c r="F18" s="603">
        <f>D18/30*E18</f>
        <v>0</v>
      </c>
      <c r="G18" s="605">
        <f t="shared" si="0"/>
        <v>100</v>
      </c>
      <c r="I18" s="600">
        <f t="shared" si="1"/>
        <v>2025</v>
      </c>
      <c r="J18" s="602" t="str">
        <f t="shared" si="2"/>
        <v>JUL</v>
      </c>
      <c r="K18" s="603"/>
      <c r="L18" s="604">
        <f>$E$18</f>
        <v>5</v>
      </c>
      <c r="M18" s="603">
        <f>K18/30*L18</f>
        <v>0</v>
      </c>
      <c r="N18" s="605">
        <f t="shared" si="3"/>
        <v>100</v>
      </c>
      <c r="P18" s="600">
        <f t="shared" si="4"/>
        <v>2026</v>
      </c>
      <c r="Q18" s="606" t="s">
        <v>469</v>
      </c>
      <c r="R18" s="603"/>
      <c r="S18" s="604">
        <f>$E$18</f>
        <v>5</v>
      </c>
      <c r="T18" s="603">
        <f>R18/30*S18</f>
        <v>0</v>
      </c>
      <c r="U18" s="605">
        <f t="shared" si="5"/>
        <v>100</v>
      </c>
      <c r="W18" s="600">
        <f t="shared" si="6"/>
        <v>2027</v>
      </c>
      <c r="X18" s="606" t="s">
        <v>469</v>
      </c>
      <c r="Y18" s="603"/>
      <c r="Z18" s="604">
        <f>$E$18</f>
        <v>5</v>
      </c>
      <c r="AA18" s="603">
        <f>Y18/30*Z18</f>
        <v>0</v>
      </c>
      <c r="AB18" s="605">
        <f t="shared" si="7"/>
        <v>100</v>
      </c>
      <c r="AD18" s="600">
        <f t="shared" si="8"/>
        <v>2028</v>
      </c>
      <c r="AE18" s="606" t="s">
        <v>469</v>
      </c>
      <c r="AF18" s="603"/>
      <c r="AG18" s="604">
        <f>$E$18</f>
        <v>5</v>
      </c>
      <c r="AH18" s="603">
        <f>AF18/30*AG18</f>
        <v>0</v>
      </c>
      <c r="AI18" s="605">
        <f t="shared" si="9"/>
        <v>100</v>
      </c>
    </row>
    <row r="19" spans="2:35" x14ac:dyDescent="0.2">
      <c r="B19" s="799" t="s">
        <v>470</v>
      </c>
      <c r="C19" s="799"/>
      <c r="D19" s="799"/>
      <c r="E19" s="799"/>
      <c r="F19" s="799"/>
      <c r="G19" s="609">
        <f>ROUND(((G18-G5)/G5),4)</f>
        <v>0</v>
      </c>
      <c r="I19" s="799" t="s">
        <v>470</v>
      </c>
      <c r="J19" s="799"/>
      <c r="K19" s="799"/>
      <c r="L19" s="799"/>
      <c r="M19" s="799"/>
      <c r="N19" s="609">
        <f>ROUND(((N18-N5)/N5),4)</f>
        <v>0</v>
      </c>
      <c r="P19" s="799" t="s">
        <v>470</v>
      </c>
      <c r="Q19" s="799"/>
      <c r="R19" s="799"/>
      <c r="S19" s="799"/>
      <c r="T19" s="799"/>
      <c r="U19" s="609">
        <f>ROUND(((U18-U5)/U5),4)</f>
        <v>0</v>
      </c>
      <c r="W19" s="799" t="s">
        <v>470</v>
      </c>
      <c r="X19" s="799"/>
      <c r="Y19" s="799"/>
      <c r="Z19" s="799"/>
      <c r="AA19" s="799"/>
      <c r="AB19" s="609">
        <f>ROUND(((AB18-AB5)/AB5),4)</f>
        <v>0</v>
      </c>
      <c r="AD19" s="799" t="s">
        <v>470</v>
      </c>
      <c r="AE19" s="799"/>
      <c r="AF19" s="799"/>
      <c r="AG19" s="799"/>
      <c r="AH19" s="799"/>
      <c r="AI19" s="609">
        <f>ROUND(((AI18-AI5)/AI5),4)</f>
        <v>0</v>
      </c>
    </row>
  </sheetData>
  <sheetProtection algorithmName="SHA-512" hashValue="uGbDlPySxjTQj+SsWE5iW8L2DpxoQ1X16wZCoo8G1+dhguBQVnuq3eTIiG/syWDIJlLrMAajdnZoRcfUq8/tUA==" saltValue="rV0Atm+0UZvdFpb23of3Ow==" spinCount="100000" sheet="1" objects="1" scenarios="1"/>
  <mergeCells count="20">
    <mergeCell ref="B2:G2"/>
    <mergeCell ref="I2:N2"/>
    <mergeCell ref="P2:U2"/>
    <mergeCell ref="W2:AB2"/>
    <mergeCell ref="AD2:AI2"/>
    <mergeCell ref="C3:G3"/>
    <mergeCell ref="J3:N3"/>
    <mergeCell ref="Q3:U3"/>
    <mergeCell ref="X3:AB3"/>
    <mergeCell ref="AE3:AI3"/>
    <mergeCell ref="B4:C4"/>
    <mergeCell ref="I4:J4"/>
    <mergeCell ref="P4:Q4"/>
    <mergeCell ref="W4:X4"/>
    <mergeCell ref="AD4:AE4"/>
    <mergeCell ref="B19:F19"/>
    <mergeCell ref="I19:M19"/>
    <mergeCell ref="P19:T19"/>
    <mergeCell ref="W19:AA19"/>
    <mergeCell ref="AD19:AH19"/>
  </mergeCells>
  <pageMargins left="0.51180555555555496" right="0.51180555555555496" top="0.78749999999999998" bottom="0.78749999999999998" header="0.51180555555555496" footer="0.51180555555555496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J54"/>
  <sheetViews>
    <sheetView showGridLines="0" tabSelected="1" view="pageBreakPreview" topLeftCell="A6" zoomScaleNormal="100" workbookViewId="0">
      <selection activeCell="L27" sqref="L27"/>
    </sheetView>
  </sheetViews>
  <sheetFormatPr defaultColWidth="9.33203125" defaultRowHeight="12.75" x14ac:dyDescent="0.2"/>
  <cols>
    <col min="1" max="1024" width="9.33203125" style="58"/>
  </cols>
  <sheetData>
    <row r="1" spans="1:27" s="59" customFormat="1" ht="25.5" customHeight="1" x14ac:dyDescent="0.3">
      <c r="A1" s="624" t="s">
        <v>74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</row>
    <row r="2" spans="1:27" ht="1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</row>
    <row r="3" spans="1:27" ht="15" x14ac:dyDescent="0.25">
      <c r="A3" s="62" t="s">
        <v>75</v>
      </c>
      <c r="B3" s="62" t="s">
        <v>76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</row>
    <row r="4" spans="1:27" ht="1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</row>
    <row r="5" spans="1:27" ht="15" x14ac:dyDescent="0.25">
      <c r="A5" s="60"/>
      <c r="B5" s="63"/>
      <c r="C5" s="60" t="s">
        <v>77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1"/>
    </row>
    <row r="6" spans="1:27" ht="15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</row>
    <row r="7" spans="1:27" ht="15" x14ac:dyDescent="0.25">
      <c r="A7" s="60" t="s">
        <v>78</v>
      </c>
      <c r="B7" s="60" t="s">
        <v>79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1"/>
    </row>
    <row r="8" spans="1:27" ht="15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/>
    </row>
    <row r="9" spans="1:27" s="66" customFormat="1" ht="21.75" customHeight="1" x14ac:dyDescent="0.2">
      <c r="A9" s="64" t="s">
        <v>80</v>
      </c>
      <c r="B9" s="64" t="s">
        <v>81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</row>
    <row r="10" spans="1:27" s="66" customFormat="1" ht="23.25" customHeight="1" x14ac:dyDescent="0.2">
      <c r="A10" s="64"/>
      <c r="B10" s="64" t="s">
        <v>82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5"/>
    </row>
    <row r="11" spans="1:27" s="70" customFormat="1" ht="19.5" customHeight="1" x14ac:dyDescent="0.2">
      <c r="A11" s="67"/>
      <c r="B11" s="67" t="s">
        <v>83</v>
      </c>
      <c r="C11" s="68" t="s">
        <v>84</v>
      </c>
      <c r="D11" s="68"/>
      <c r="E11" s="68"/>
      <c r="F11" s="68"/>
      <c r="G11" s="68"/>
      <c r="H11" s="68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9"/>
    </row>
    <row r="12" spans="1:27" ht="15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</row>
    <row r="13" spans="1:27" ht="15" x14ac:dyDescent="0.25">
      <c r="A13" s="60"/>
      <c r="B13" s="60"/>
      <c r="C13" s="71" t="s">
        <v>85</v>
      </c>
      <c r="D13" s="71" t="s">
        <v>86</v>
      </c>
      <c r="E13" s="71"/>
      <c r="F13" s="71"/>
      <c r="G13" s="71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1"/>
    </row>
    <row r="14" spans="1:27" ht="15" x14ac:dyDescent="0.25">
      <c r="A14" s="60"/>
      <c r="B14" s="60"/>
      <c r="C14" s="60"/>
      <c r="D14" s="60" t="s">
        <v>87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</row>
    <row r="15" spans="1:27" ht="15" x14ac:dyDescent="0.25">
      <c r="A15" s="60"/>
      <c r="B15" s="60"/>
      <c r="C15" s="60"/>
      <c r="D15" s="60" t="s">
        <v>88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</row>
    <row r="16" spans="1:27" ht="15" x14ac:dyDescent="0.25">
      <c r="A16" s="60"/>
      <c r="B16" s="60"/>
      <c r="C16" s="60"/>
      <c r="D16" s="60" t="s">
        <v>89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1"/>
    </row>
    <row r="17" spans="1:27" ht="15" x14ac:dyDescent="0.25">
      <c r="A17" s="60"/>
      <c r="B17" s="60"/>
      <c r="C17" s="60"/>
      <c r="D17" s="60" t="s">
        <v>471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1"/>
    </row>
    <row r="18" spans="1:27" ht="15" x14ac:dyDescent="0.25">
      <c r="A18" s="60"/>
      <c r="B18" s="60"/>
      <c r="C18" s="60"/>
      <c r="D18" s="60" t="s">
        <v>90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</row>
    <row r="19" spans="1:27" ht="15" x14ac:dyDescent="0.25">
      <c r="A19" s="60"/>
      <c r="B19" s="60"/>
      <c r="C19" s="60"/>
      <c r="D19" s="60" t="s">
        <v>91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</row>
    <row r="20" spans="1:27" ht="15" x14ac:dyDescent="0.25">
      <c r="A20" s="60"/>
      <c r="B20" s="60"/>
      <c r="C20" s="60"/>
      <c r="D20" s="60" t="s">
        <v>92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</row>
    <row r="21" spans="1:27" ht="15" x14ac:dyDescent="0.25">
      <c r="A21" s="60"/>
      <c r="B21" s="60"/>
      <c r="C21" s="60"/>
      <c r="D21" s="60" t="s">
        <v>93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</row>
    <row r="22" spans="1:27" ht="15" x14ac:dyDescent="0.25">
      <c r="A22" s="60"/>
      <c r="B22" s="60"/>
      <c r="C22" s="60"/>
      <c r="D22" s="60" t="s">
        <v>94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</row>
    <row r="23" spans="1:27" ht="15" x14ac:dyDescent="0.25">
      <c r="A23" s="60"/>
      <c r="B23" s="60"/>
      <c r="C23" s="60"/>
      <c r="D23" s="60" t="s">
        <v>95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1"/>
    </row>
    <row r="24" spans="1:27" ht="15" x14ac:dyDescent="0.25">
      <c r="A24" s="60"/>
      <c r="B24" s="60"/>
      <c r="C24" s="60"/>
      <c r="D24" s="60" t="s">
        <v>96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</row>
    <row r="25" spans="1:27" ht="15" x14ac:dyDescent="0.25">
      <c r="A25" s="60"/>
      <c r="B25" s="60"/>
      <c r="C25" s="60"/>
      <c r="D25" s="60" t="s">
        <v>97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</row>
    <row r="26" spans="1:27" ht="15" x14ac:dyDescent="0.25">
      <c r="A26" s="60"/>
      <c r="B26" s="60"/>
      <c r="C26" s="60"/>
      <c r="D26" s="60" t="s">
        <v>98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</row>
    <row r="27" spans="1:27" ht="15" x14ac:dyDescent="0.25">
      <c r="A27" s="60"/>
      <c r="B27" s="60"/>
      <c r="C27" s="60"/>
      <c r="D27" s="60" t="s">
        <v>99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/>
    </row>
    <row r="28" spans="1:27" ht="15" x14ac:dyDescent="0.25">
      <c r="A28" s="60"/>
      <c r="B28" s="60"/>
      <c r="C28" s="60"/>
      <c r="D28" s="60" t="s">
        <v>100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</row>
    <row r="29" spans="1:27" ht="15" x14ac:dyDescent="0.25">
      <c r="A29" s="60"/>
      <c r="B29" s="60"/>
      <c r="C29" s="60"/>
      <c r="D29" s="60" t="s">
        <v>101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</row>
    <row r="30" spans="1:27" ht="15" x14ac:dyDescent="0.25">
      <c r="A30" s="60"/>
      <c r="B30" s="60"/>
      <c r="C30" s="60"/>
      <c r="D30" s="60" t="s">
        <v>102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</row>
    <row r="31" spans="1:27" ht="15" x14ac:dyDescent="0.25">
      <c r="A31" s="60"/>
      <c r="B31" s="60"/>
      <c r="C31" s="60"/>
      <c r="D31" s="60" t="s">
        <v>103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</row>
    <row r="32" spans="1:27" ht="15" x14ac:dyDescent="0.25">
      <c r="A32" s="60"/>
      <c r="B32" s="60"/>
      <c r="C32" s="60"/>
      <c r="D32" s="60" t="s">
        <v>104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1"/>
    </row>
    <row r="33" spans="1:27" ht="15" x14ac:dyDescent="0.25">
      <c r="A33" s="60"/>
      <c r="B33" s="60"/>
      <c r="C33" s="60"/>
      <c r="D33" s="72" t="s">
        <v>105</v>
      </c>
      <c r="E33" s="72"/>
      <c r="F33" s="72"/>
      <c r="G33" s="72"/>
      <c r="H33" s="72"/>
      <c r="I33" s="72"/>
      <c r="J33" s="7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1"/>
    </row>
    <row r="34" spans="1:27" ht="15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1"/>
    </row>
    <row r="35" spans="1:27" s="74" customFormat="1" ht="15" x14ac:dyDescent="0.25">
      <c r="A35" s="71"/>
      <c r="B35" s="71"/>
      <c r="C35" s="71" t="s">
        <v>106</v>
      </c>
      <c r="D35" s="71" t="s">
        <v>107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3"/>
    </row>
    <row r="36" spans="1:27" ht="15" x14ac:dyDescent="0.25">
      <c r="A36" s="60"/>
      <c r="B36" s="60"/>
      <c r="C36" s="60"/>
      <c r="D36" s="60" t="s">
        <v>108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1"/>
    </row>
    <row r="37" spans="1:27" ht="15" x14ac:dyDescent="0.25">
      <c r="A37" s="60"/>
      <c r="B37" s="60"/>
      <c r="C37" s="60"/>
      <c r="D37" s="60" t="s">
        <v>109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1"/>
    </row>
    <row r="38" spans="1:27" ht="15" x14ac:dyDescent="0.25">
      <c r="A38" s="60"/>
      <c r="B38" s="60"/>
      <c r="C38" s="60"/>
      <c r="D38" s="72" t="s">
        <v>105</v>
      </c>
      <c r="E38" s="72"/>
      <c r="F38" s="72"/>
      <c r="G38" s="72"/>
      <c r="H38" s="72"/>
      <c r="I38" s="72"/>
      <c r="J38" s="72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1"/>
    </row>
    <row r="39" spans="1:27" ht="14.2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1"/>
    </row>
    <row r="40" spans="1:27" s="74" customFormat="1" ht="14.25" customHeight="1" x14ac:dyDescent="0.25">
      <c r="A40" s="71"/>
      <c r="B40" s="71"/>
      <c r="C40" s="71" t="s">
        <v>110</v>
      </c>
      <c r="D40" s="71" t="s">
        <v>111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3"/>
    </row>
    <row r="41" spans="1:27" ht="15" x14ac:dyDescent="0.25">
      <c r="A41" s="60"/>
      <c r="B41" s="60"/>
      <c r="C41" s="60"/>
      <c r="D41" s="60" t="s">
        <v>112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1"/>
    </row>
    <row r="42" spans="1:27" ht="15" x14ac:dyDescent="0.25">
      <c r="A42" s="60"/>
      <c r="B42" s="60"/>
      <c r="C42" s="60"/>
      <c r="D42" s="72" t="s">
        <v>105</v>
      </c>
      <c r="E42" s="72"/>
      <c r="F42" s="72"/>
      <c r="G42" s="72"/>
      <c r="H42" s="72"/>
      <c r="I42" s="72"/>
      <c r="J42" s="72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1"/>
    </row>
    <row r="43" spans="1:27" ht="15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1"/>
    </row>
    <row r="44" spans="1:27" ht="15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1"/>
    </row>
    <row r="45" spans="1:27" ht="32.25" customHeight="1" x14ac:dyDescent="0.25">
      <c r="A45" s="75" t="s">
        <v>113</v>
      </c>
      <c r="B45" s="625" t="s">
        <v>114</v>
      </c>
      <c r="C45" s="625"/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1"/>
    </row>
    <row r="46" spans="1:27" s="78" customFormat="1" ht="19.5" customHeight="1" x14ac:dyDescent="0.2">
      <c r="A46" s="76"/>
      <c r="B46" s="67" t="s">
        <v>115</v>
      </c>
      <c r="C46" s="76" t="s">
        <v>116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</row>
    <row r="47" spans="1:27" s="74" customFormat="1" ht="15" x14ac:dyDescent="0.25">
      <c r="A47" s="71"/>
      <c r="B47" s="71" t="s">
        <v>117</v>
      </c>
      <c r="C47" s="79" t="s">
        <v>118</v>
      </c>
      <c r="D47" s="79"/>
      <c r="E47" s="79"/>
      <c r="F47" s="79"/>
      <c r="G47" s="79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3"/>
    </row>
    <row r="48" spans="1:27" ht="1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1"/>
    </row>
    <row r="49" spans="1:27" s="70" customFormat="1" ht="16.5" customHeight="1" x14ac:dyDescent="0.2">
      <c r="A49" s="67" t="s">
        <v>119</v>
      </c>
      <c r="B49" s="67" t="s">
        <v>120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9"/>
    </row>
    <row r="50" spans="1:27" s="66" customFormat="1" ht="18.75" customHeight="1" x14ac:dyDescent="0.2">
      <c r="A50" s="64"/>
      <c r="B50" s="64" t="s">
        <v>121</v>
      </c>
      <c r="C50" s="64" t="s">
        <v>122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</row>
    <row r="51" spans="1:27" s="74" customFormat="1" ht="15" x14ac:dyDescent="0.25">
      <c r="A51" s="71"/>
      <c r="B51" s="71" t="s">
        <v>123</v>
      </c>
      <c r="C51" s="610" t="s">
        <v>124</v>
      </c>
      <c r="D51" s="610"/>
      <c r="E51" s="610"/>
      <c r="F51" s="610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3"/>
    </row>
    <row r="52" spans="1:27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7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7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</sheetData>
  <sheetProtection algorithmName="SHA-512" hashValue="mVRO38kvZ/YwLVKOMLiUn7s9W4cXu5W1RcU0wb9lHlxs8fhxVQgs4VHdASsQFXluQ15CTuZaihNYIi/4lfCS0A==" saltValue="YpZnoaFGNjXnf/eXKt+qww==" spinCount="100000" sheet="1" objects="1" scenarios="1"/>
  <mergeCells count="2">
    <mergeCell ref="A1:Z1"/>
    <mergeCell ref="B45:Z4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IZ26"/>
  <sheetViews>
    <sheetView view="pageBreakPreview" topLeftCell="A6" zoomScale="80" zoomScaleNormal="80" zoomScalePageLayoutView="80" workbookViewId="0">
      <selection activeCell="C20" sqref="C20"/>
    </sheetView>
  </sheetViews>
  <sheetFormatPr defaultColWidth="9.1640625" defaultRowHeight="14.25" x14ac:dyDescent="0.2"/>
  <cols>
    <col min="1" max="1" width="10" style="82" customWidth="1"/>
    <col min="2" max="2" width="43.5" style="82" customWidth="1"/>
    <col min="3" max="3" width="8.33203125" style="82" customWidth="1"/>
    <col min="4" max="4" width="8" style="82" customWidth="1"/>
    <col min="5" max="5" width="14.33203125" style="82" customWidth="1"/>
    <col min="6" max="6" width="17.83203125" style="82" customWidth="1"/>
    <col min="7" max="7" width="12.5" style="82" customWidth="1"/>
    <col min="8" max="8" width="11.6640625" style="82" customWidth="1"/>
    <col min="9" max="9" width="12.83203125" style="82" customWidth="1"/>
    <col min="10" max="10" width="14.1640625" style="82" customWidth="1"/>
    <col min="11" max="11" width="10.83203125" style="82" customWidth="1"/>
    <col min="12" max="13" width="12.83203125" style="82" customWidth="1"/>
    <col min="14" max="14" width="8.83203125" style="82" customWidth="1"/>
    <col min="15" max="18" width="12.83203125" style="82" customWidth="1"/>
    <col min="19" max="19" width="16.33203125" style="82" customWidth="1"/>
    <col min="20" max="20" width="18.33203125" style="82" customWidth="1"/>
    <col min="21" max="21" width="20.33203125" style="82" customWidth="1"/>
    <col min="22" max="22" width="9.33203125" style="82" customWidth="1"/>
    <col min="23" max="23" width="14.33203125" style="82" customWidth="1"/>
    <col min="24" max="25" width="16.6640625" style="82" customWidth="1"/>
    <col min="26" max="26" width="15.6640625" style="82" customWidth="1"/>
    <col min="27" max="27" width="13.33203125" style="82" customWidth="1"/>
    <col min="28" max="28" width="15.1640625" style="82" customWidth="1"/>
    <col min="29" max="30" width="13.33203125" style="82" customWidth="1"/>
    <col min="31" max="31" width="14.33203125" style="82" customWidth="1"/>
    <col min="32" max="260" width="9.33203125" style="82" customWidth="1"/>
  </cols>
  <sheetData>
    <row r="1" spans="1:23" ht="15" x14ac:dyDescent="0.25">
      <c r="A1" s="83"/>
      <c r="B1" s="5" t="s">
        <v>0</v>
      </c>
      <c r="C1" s="84"/>
      <c r="D1" s="84"/>
      <c r="E1" s="84"/>
      <c r="F1" s="84"/>
      <c r="G1" s="84"/>
      <c r="H1" s="84"/>
      <c r="I1" s="84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  <c r="V1" s="87"/>
      <c r="W1" s="87"/>
    </row>
    <row r="2" spans="1:23" ht="15" x14ac:dyDescent="0.25">
      <c r="A2" s="88"/>
      <c r="B2" s="9" t="s">
        <v>1</v>
      </c>
      <c r="C2" s="89"/>
      <c r="D2" s="89"/>
      <c r="E2" s="89"/>
      <c r="F2" s="89"/>
      <c r="G2" s="89"/>
      <c r="H2" s="89"/>
      <c r="I2" s="8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90"/>
      <c r="V2" s="87"/>
      <c r="W2" s="87"/>
    </row>
    <row r="3" spans="1:23" ht="15" x14ac:dyDescent="0.25">
      <c r="A3" s="91"/>
      <c r="B3" s="92" t="s">
        <v>2</v>
      </c>
      <c r="C3" s="93"/>
      <c r="D3" s="93"/>
      <c r="E3" s="93"/>
      <c r="F3" s="93"/>
      <c r="G3" s="93"/>
      <c r="H3" s="93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5"/>
      <c r="V3" s="87"/>
      <c r="W3" s="87"/>
    </row>
    <row r="4" spans="1:23" s="96" customFormat="1" ht="30.75" customHeight="1" x14ac:dyDescent="0.2">
      <c r="A4" s="634" t="s">
        <v>125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</row>
    <row r="5" spans="1:23" s="96" customFormat="1" ht="21.75" customHeight="1" x14ac:dyDescent="0.2">
      <c r="A5" s="635" t="s">
        <v>126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</row>
    <row r="6" spans="1:23" s="96" customFormat="1" ht="42.75" customHeight="1" x14ac:dyDescent="0.2">
      <c r="A6" s="636" t="str">
        <f>Dados!A5</f>
        <v>Sindicato utilizado - SINDEAC/MG. Vigência: 01/01/2023 à 31/12/2023
Sendo a data base da categoria 01º de Janeiro. Com número de registro no MTE MG000001/2023.</v>
      </c>
      <c r="B6" s="636"/>
      <c r="C6" s="636"/>
      <c r="D6" s="636"/>
      <c r="E6" s="636"/>
      <c r="F6" s="636"/>
      <c r="G6" s="636"/>
      <c r="H6" s="636"/>
      <c r="I6" s="97" t="s">
        <v>127</v>
      </c>
      <c r="J6" s="98"/>
      <c r="K6" s="99"/>
      <c r="L6" s="99"/>
      <c r="M6" s="99"/>
      <c r="N6" s="99"/>
      <c r="O6" s="100"/>
      <c r="P6" s="99"/>
      <c r="Q6" s="99"/>
      <c r="R6" s="99"/>
      <c r="S6" s="637" t="s">
        <v>128</v>
      </c>
      <c r="T6" s="637"/>
      <c r="U6" s="101"/>
    </row>
    <row r="7" spans="1:23" s="96" customFormat="1" ht="12.75" customHeight="1" x14ac:dyDescent="0.2">
      <c r="A7" s="638" t="s">
        <v>129</v>
      </c>
      <c r="B7" s="639" t="s">
        <v>130</v>
      </c>
      <c r="C7" s="639"/>
      <c r="D7" s="640" t="s">
        <v>47</v>
      </c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1" t="s">
        <v>131</v>
      </c>
      <c r="U7" s="642" t="s">
        <v>132</v>
      </c>
    </row>
    <row r="8" spans="1:23" s="96" customFormat="1" ht="15" customHeight="1" x14ac:dyDescent="0.2">
      <c r="A8" s="638"/>
      <c r="B8" s="639"/>
      <c r="C8" s="639"/>
      <c r="D8" s="643" t="s">
        <v>133</v>
      </c>
      <c r="E8" s="643"/>
      <c r="F8" s="643"/>
      <c r="G8" s="644" t="s">
        <v>134</v>
      </c>
      <c r="H8" s="644"/>
      <c r="I8" s="644"/>
      <c r="J8" s="644" t="s">
        <v>135</v>
      </c>
      <c r="K8" s="644"/>
      <c r="L8" s="644"/>
      <c r="M8" s="644"/>
      <c r="N8" s="644"/>
      <c r="O8" s="644"/>
      <c r="P8" s="645" t="s">
        <v>136</v>
      </c>
      <c r="Q8" s="645"/>
      <c r="R8" s="645"/>
      <c r="S8" s="102"/>
      <c r="T8" s="641"/>
      <c r="U8" s="642"/>
    </row>
    <row r="9" spans="1:23" s="96" customFormat="1" ht="29.25" customHeight="1" x14ac:dyDescent="0.2">
      <c r="A9" s="638"/>
      <c r="B9" s="639"/>
      <c r="C9" s="639"/>
      <c r="D9" s="646" t="s">
        <v>137</v>
      </c>
      <c r="E9" s="646"/>
      <c r="F9" s="646"/>
      <c r="G9" s="647" t="s">
        <v>138</v>
      </c>
      <c r="H9" s="648" t="s">
        <v>139</v>
      </c>
      <c r="I9" s="648"/>
      <c r="J9" s="629" t="s">
        <v>140</v>
      </c>
      <c r="K9" s="629"/>
      <c r="L9" s="629"/>
      <c r="M9" s="630" t="s">
        <v>141</v>
      </c>
      <c r="N9" s="630"/>
      <c r="O9" s="630"/>
      <c r="P9" s="631" t="s">
        <v>142</v>
      </c>
      <c r="Q9" s="631"/>
      <c r="R9" s="631"/>
      <c r="S9" s="632" t="s">
        <v>143</v>
      </c>
      <c r="T9" s="641"/>
      <c r="U9" s="642"/>
    </row>
    <row r="10" spans="1:23" s="96" customFormat="1" ht="84" customHeight="1" x14ac:dyDescent="0.2">
      <c r="A10" s="638"/>
      <c r="B10" s="103" t="s">
        <v>28</v>
      </c>
      <c r="C10" s="104" t="s">
        <v>29</v>
      </c>
      <c r="D10" s="105" t="s">
        <v>27</v>
      </c>
      <c r="E10" s="106" t="s">
        <v>144</v>
      </c>
      <c r="F10" s="107" t="s">
        <v>145</v>
      </c>
      <c r="G10" s="647"/>
      <c r="H10" s="108" t="s">
        <v>146</v>
      </c>
      <c r="I10" s="107" t="s">
        <v>147</v>
      </c>
      <c r="J10" s="109" t="s">
        <v>148</v>
      </c>
      <c r="K10" s="106" t="s">
        <v>36</v>
      </c>
      <c r="L10" s="110" t="s">
        <v>149</v>
      </c>
      <c r="M10" s="109" t="s">
        <v>150</v>
      </c>
      <c r="N10" s="106" t="s">
        <v>37</v>
      </c>
      <c r="O10" s="111" t="s">
        <v>151</v>
      </c>
      <c r="P10" s="112" t="s">
        <v>152</v>
      </c>
      <c r="Q10" s="113" t="s">
        <v>153</v>
      </c>
      <c r="R10" s="114" t="s">
        <v>154</v>
      </c>
      <c r="S10" s="632"/>
      <c r="T10" s="641"/>
      <c r="U10" s="642"/>
    </row>
    <row r="11" spans="1:23" s="96" customFormat="1" ht="34.5" customHeight="1" x14ac:dyDescent="0.2">
      <c r="A11" s="633">
        <v>333903701</v>
      </c>
      <c r="B11" s="115" t="str">
        <f>Dados!B8</f>
        <v>Ascensorista</v>
      </c>
      <c r="C11" s="116">
        <f>Dados!C8</f>
        <v>150</v>
      </c>
      <c r="D11" s="117">
        <f>Dados!D8</f>
        <v>2</v>
      </c>
      <c r="E11" s="118">
        <f>'Ascensorista 150'!F40</f>
        <v>4006.87</v>
      </c>
      <c r="F11" s="119">
        <f t="shared" ref="F11:F21" si="0">ROUND(D11*E11,2)</f>
        <v>8013.74</v>
      </c>
      <c r="G11" s="120">
        <f>'Ascensorista 150'!I40</f>
        <v>545.54999999999995</v>
      </c>
      <c r="H11" s="121">
        <f>'Ocorrências Mensais - FAT'!F14+'Ocorrências Mensais - FAT'!G14</f>
        <v>0</v>
      </c>
      <c r="I11" s="122">
        <f>(ROUND(G11/Dados!$G$38*H11,2)-(G11/'Ocorrências Mensais - FAT'!$E$8*'Ocorrências Mensais - FAT'!H14))</f>
        <v>0</v>
      </c>
      <c r="J11" s="123">
        <f>'Ascensorista 150'!F40-'Ascensorista 150'!H40</f>
        <v>4006.87</v>
      </c>
      <c r="K11" s="124">
        <f>'Ocorrências Mensais - FAT'!K14</f>
        <v>0</v>
      </c>
      <c r="L11" s="125">
        <f>J11/'Ocorrências Mensais - FAT'!$E$8*K11</f>
        <v>0</v>
      </c>
      <c r="M11" s="126">
        <f>'Custo Estimativo Substituto'!F33</f>
        <v>3319.63</v>
      </c>
      <c r="N11" s="127">
        <f>'Ocorrências Mensais - FAT'!L14</f>
        <v>0</v>
      </c>
      <c r="O11" s="128">
        <f>ROUND((M11/'Ocorrências Mensais - FAT'!$E$8*N11),2)</f>
        <v>0</v>
      </c>
      <c r="P11" s="129">
        <f>'Ascensorista 150'!G39</f>
        <v>0</v>
      </c>
      <c r="Q11" s="130">
        <f>'Ocorrências Mensais - FAT'!M14</f>
        <v>0</v>
      </c>
      <c r="R11" s="131">
        <f>ROUND((P11/Dados!$G$38*Q11),2)</f>
        <v>0</v>
      </c>
      <c r="S11" s="132">
        <f t="shared" ref="S11:S21" si="1">I11+L11+O11+R11</f>
        <v>0</v>
      </c>
      <c r="T11" s="133">
        <f t="shared" ref="T11:T21" si="2">(((F11-S11)))</f>
        <v>8013.74</v>
      </c>
      <c r="U11" s="626">
        <f>SUM(T11:T21)</f>
        <v>1131678.3999999999</v>
      </c>
    </row>
    <row r="12" spans="1:23" s="96" customFormat="1" ht="34.5" customHeight="1" x14ac:dyDescent="0.2">
      <c r="A12" s="633"/>
      <c r="B12" s="134" t="str">
        <f>Dados!B9</f>
        <v>Atendente</v>
      </c>
      <c r="C12" s="135">
        <f>Dados!C9</f>
        <v>200</v>
      </c>
      <c r="D12" s="117">
        <f>Dados!D9</f>
        <v>15</v>
      </c>
      <c r="E12" s="118">
        <f>'Atendente 200'!F40</f>
        <v>6549.83</v>
      </c>
      <c r="F12" s="119">
        <f t="shared" si="0"/>
        <v>98247.45</v>
      </c>
      <c r="G12" s="120">
        <f>'Atendente 200'!I40</f>
        <v>477.68</v>
      </c>
      <c r="H12" s="121">
        <f>'Ocorrências Mensais - FAT'!F15+'Ocorrências Mensais - FAT'!G15</f>
        <v>0</v>
      </c>
      <c r="I12" s="122">
        <f>(ROUND(G12/Dados!$G$38*H12,2)-(G12/'Ocorrências Mensais - FAT'!$E$8*'Ocorrências Mensais - FAT'!H15))</f>
        <v>0</v>
      </c>
      <c r="J12" s="123">
        <f>'Atendente 200'!F40-'Atendente 200'!H40</f>
        <v>6549.83</v>
      </c>
      <c r="K12" s="124">
        <f>'Ocorrências Mensais - FAT'!K15</f>
        <v>0</v>
      </c>
      <c r="L12" s="125">
        <f>J12/'Ocorrências Mensais - FAT'!$E$8*K12</f>
        <v>0</v>
      </c>
      <c r="M12" s="126">
        <f>'Custo Estimativo Substituto'!G33</f>
        <v>5566.79</v>
      </c>
      <c r="N12" s="127">
        <f>'Ocorrências Mensais - FAT'!L15</f>
        <v>0</v>
      </c>
      <c r="O12" s="128">
        <f>ROUND((M12/'Ocorrências Mensais - FAT'!$E$8*N12),2)</f>
        <v>0</v>
      </c>
      <c r="P12" s="136">
        <f>'Atendente 200'!G39</f>
        <v>590.13</v>
      </c>
      <c r="Q12" s="137">
        <f>'Ocorrências Mensais - FAT'!M15</f>
        <v>0</v>
      </c>
      <c r="R12" s="138">
        <f>ROUND((P12/Dados!$G$38*Q12),2)</f>
        <v>0</v>
      </c>
      <c r="S12" s="132">
        <f t="shared" si="1"/>
        <v>0</v>
      </c>
      <c r="T12" s="139">
        <f t="shared" si="2"/>
        <v>98247.45</v>
      </c>
      <c r="U12" s="626"/>
    </row>
    <row r="13" spans="1:23" s="96" customFormat="1" ht="34.5" customHeight="1" x14ac:dyDescent="0.2">
      <c r="A13" s="633"/>
      <c r="B13" s="134" t="str">
        <f>Dados!B10</f>
        <v>Auxiliar de Almoxarifado</v>
      </c>
      <c r="C13" s="135">
        <f>Dados!C10</f>
        <v>200</v>
      </c>
      <c r="D13" s="117">
        <f>Dados!D10</f>
        <v>3</v>
      </c>
      <c r="E13" s="140">
        <f>'Aux. Almoxarifado 200'!F40</f>
        <v>6286.88</v>
      </c>
      <c r="F13" s="119">
        <f t="shared" si="0"/>
        <v>18860.64</v>
      </c>
      <c r="G13" s="141">
        <f>'Aux. Almoxarifado 200'!I40</f>
        <v>485.38</v>
      </c>
      <c r="H13" s="121">
        <f>'Ocorrências Mensais - FAT'!F16+'Ocorrências Mensais - FAT'!G16</f>
        <v>0</v>
      </c>
      <c r="I13" s="122">
        <f>(ROUND(G13/Dados!$G$38*H13,2)-(G13/'Ocorrências Mensais - FAT'!$E$8*'Ocorrências Mensais - FAT'!H16))</f>
        <v>0</v>
      </c>
      <c r="J13" s="142">
        <f>'Aux. Almoxarifado 200'!F40-'Aux. Almoxarifado 200'!H40</f>
        <v>6286.88</v>
      </c>
      <c r="K13" s="124">
        <f>'Ocorrências Mensais - FAT'!K16</f>
        <v>0</v>
      </c>
      <c r="L13" s="125">
        <f>J13/'Ocorrências Mensais - FAT'!$E$8*K13</f>
        <v>0</v>
      </c>
      <c r="M13" s="143">
        <f>'Custo Estimativo Substituto'!H33</f>
        <v>5378.8600000000006</v>
      </c>
      <c r="N13" s="127">
        <f>'Ocorrências Mensais - FAT'!L16</f>
        <v>0</v>
      </c>
      <c r="O13" s="128">
        <f>ROUND((M13/'Ocorrências Mensais - FAT'!$E$8*N13),2)</f>
        <v>0</v>
      </c>
      <c r="P13" s="136">
        <f>'Aux. Almoxarifado 200'!G39</f>
        <v>590.13</v>
      </c>
      <c r="Q13" s="137">
        <f>'Ocorrências Mensais - FAT'!M16</f>
        <v>0</v>
      </c>
      <c r="R13" s="138">
        <f>ROUND((P13/Dados!$G$38*Q13),2)</f>
        <v>0</v>
      </c>
      <c r="S13" s="132">
        <f t="shared" si="1"/>
        <v>0</v>
      </c>
      <c r="T13" s="144">
        <f t="shared" si="2"/>
        <v>18860.64</v>
      </c>
      <c r="U13" s="626"/>
    </row>
    <row r="14" spans="1:23" ht="32.25" customHeight="1" x14ac:dyDescent="0.25">
      <c r="A14" s="633"/>
      <c r="B14" s="134" t="str">
        <f>Dados!B11</f>
        <v>Auxiliar Administrativo - Classe I</v>
      </c>
      <c r="C14" s="135">
        <f>Dados!C11</f>
        <v>150</v>
      </c>
      <c r="D14" s="117">
        <f>Dados!D11</f>
        <v>27</v>
      </c>
      <c r="E14" s="145">
        <f>'Aux Admin I 150'!F40</f>
        <v>4683.34</v>
      </c>
      <c r="F14" s="146">
        <f t="shared" si="0"/>
        <v>126450.18</v>
      </c>
      <c r="G14" s="147">
        <f>'Aux Admin I 150'!I40</f>
        <v>521.95000000000005</v>
      </c>
      <c r="H14" s="121">
        <f>'Ocorrências Mensais - FAT'!F17+'Ocorrências Mensais - FAT'!G17</f>
        <v>0</v>
      </c>
      <c r="I14" s="122">
        <f>(ROUND(G14/Dados!$G$38*H14,2)-(G14/'Ocorrências Mensais - FAT'!$E$8*'Ocorrências Mensais - FAT'!H17))</f>
        <v>0</v>
      </c>
      <c r="J14" s="148">
        <f>'Aux Admin I 150'!F40-'Aux Admin I 150'!H40</f>
        <v>4683.34</v>
      </c>
      <c r="K14" s="124">
        <f>'Ocorrências Mensais - FAT'!K17</f>
        <v>0</v>
      </c>
      <c r="L14" s="125">
        <f>J14/'Ocorrências Mensais - FAT'!$E$8*K14</f>
        <v>0</v>
      </c>
      <c r="M14" s="149">
        <f>'Custo Estimativo Substituto'!I33</f>
        <v>3896.17</v>
      </c>
      <c r="N14" s="127">
        <f>'Ocorrências Mensais - FAT'!L17</f>
        <v>0</v>
      </c>
      <c r="O14" s="128">
        <f>ROUND((M14/'Ocorrências Mensais - FAT'!$E$8*N14),2)</f>
        <v>0</v>
      </c>
      <c r="P14" s="136">
        <f>'Aux Admin I 150'!G39</f>
        <v>0</v>
      </c>
      <c r="Q14" s="137">
        <f>'Ocorrências Mensais - FAT'!M17</f>
        <v>0</v>
      </c>
      <c r="R14" s="138">
        <f>ROUND((P14/Dados!$G$38*Q14),2)</f>
        <v>0</v>
      </c>
      <c r="S14" s="132">
        <f t="shared" si="1"/>
        <v>0</v>
      </c>
      <c r="T14" s="139">
        <f t="shared" si="2"/>
        <v>126450.18</v>
      </c>
      <c r="U14" s="626"/>
      <c r="V14" s="87"/>
      <c r="W14" s="87"/>
    </row>
    <row r="15" spans="1:23" ht="32.25" customHeight="1" x14ac:dyDescent="0.25">
      <c r="A15" s="633"/>
      <c r="B15" s="134" t="str">
        <f>Dados!B12</f>
        <v>Auxiliar Administrativo - Classe II</v>
      </c>
      <c r="C15" s="135">
        <f>Dados!C12</f>
        <v>200</v>
      </c>
      <c r="D15" s="117">
        <f>Dados!D12</f>
        <v>71</v>
      </c>
      <c r="E15" s="145">
        <f>'Aux Admin II 200'!F40</f>
        <v>6549.83</v>
      </c>
      <c r="F15" s="150">
        <f t="shared" si="0"/>
        <v>465037.93</v>
      </c>
      <c r="G15" s="147">
        <f>'Aux Admin II 200'!I40</f>
        <v>477.68</v>
      </c>
      <c r="H15" s="121">
        <f>'Ocorrências Mensais - FAT'!F18+'Ocorrências Mensais - FAT'!G18</f>
        <v>0</v>
      </c>
      <c r="I15" s="122">
        <f>(ROUND(G15/Dados!$G$38*H15,2)-(G15/'Ocorrências Mensais - FAT'!$E$8*'Ocorrências Mensais - FAT'!H18))</f>
        <v>0</v>
      </c>
      <c r="J15" s="151">
        <f>'Aux Admin II 200'!F40-'Aux Admin II 200'!H40</f>
        <v>6549.83</v>
      </c>
      <c r="K15" s="124">
        <f>'Ocorrências Mensais - FAT'!K18</f>
        <v>0</v>
      </c>
      <c r="L15" s="125">
        <f>J15/'Ocorrências Mensais - FAT'!$E$8*K15</f>
        <v>0</v>
      </c>
      <c r="M15" s="152">
        <f>'Custo Estimativo Substituto'!J33</f>
        <v>5566.79</v>
      </c>
      <c r="N15" s="127">
        <f>'Ocorrências Mensais - FAT'!L18</f>
        <v>0</v>
      </c>
      <c r="O15" s="128">
        <f>ROUND((M15/'Ocorrências Mensais - FAT'!$E$8*N15),2)</f>
        <v>0</v>
      </c>
      <c r="P15" s="136">
        <f>'Aux Admin II 200'!G39</f>
        <v>590.13</v>
      </c>
      <c r="Q15" s="137">
        <f>'Ocorrências Mensais - FAT'!M18</f>
        <v>0</v>
      </c>
      <c r="R15" s="138">
        <f>ROUND((P15/Dados!$G$38*Q15),2)</f>
        <v>0</v>
      </c>
      <c r="S15" s="132">
        <f t="shared" si="1"/>
        <v>0</v>
      </c>
      <c r="T15" s="139">
        <f t="shared" si="2"/>
        <v>465037.93</v>
      </c>
      <c r="U15" s="626"/>
      <c r="V15" s="87"/>
      <c r="W15" s="153"/>
    </row>
    <row r="16" spans="1:23" ht="32.25" customHeight="1" x14ac:dyDescent="0.25">
      <c r="A16" s="633"/>
      <c r="B16" s="134" t="str">
        <f>Dados!B13</f>
        <v>Auxiliar Administrativo - Classe III (Nível Superior)</v>
      </c>
      <c r="C16" s="135">
        <f>Dados!C13</f>
        <v>150</v>
      </c>
      <c r="D16" s="117">
        <f>Dados!D13</f>
        <v>3</v>
      </c>
      <c r="E16" s="154">
        <f>'Aux Admin III 150'!F40</f>
        <v>5832.07</v>
      </c>
      <c r="F16" s="150">
        <f t="shared" si="0"/>
        <v>17496.21</v>
      </c>
      <c r="G16" s="151">
        <f>'Aux Admin III 150'!I40</f>
        <v>482.12</v>
      </c>
      <c r="H16" s="121">
        <f>'Ocorrências Mensais - FAT'!F19+'Ocorrências Mensais - FAT'!G19</f>
        <v>0</v>
      </c>
      <c r="I16" s="122">
        <f>(ROUND(G16/Dados!$G$38*H16,2)-(G16/'Ocorrências Mensais - FAT'!$E$8*'Ocorrências Mensais - FAT'!H19))</f>
        <v>0</v>
      </c>
      <c r="J16" s="151">
        <f>'Aux Admin III 150'!F40-'Aux Admin III 150'!H40</f>
        <v>5832.07</v>
      </c>
      <c r="K16" s="124">
        <f>'Ocorrências Mensais - FAT'!K19</f>
        <v>0</v>
      </c>
      <c r="L16" s="125">
        <f>J16/'Ocorrências Mensais - FAT'!$E$8*K16</f>
        <v>0</v>
      </c>
      <c r="M16" s="152">
        <f>'Custo Estimativo Substituto'!K33</f>
        <v>4868.5600000000004</v>
      </c>
      <c r="N16" s="127">
        <f>'Ocorrências Mensais - FAT'!L19</f>
        <v>0</v>
      </c>
      <c r="O16" s="128">
        <f>ROUND((M16/'Ocorrências Mensais - FAT'!$E$8*N16),2)</f>
        <v>0</v>
      </c>
      <c r="P16" s="136">
        <f>'Aux Admin III 150'!G39</f>
        <v>0</v>
      </c>
      <c r="Q16" s="137">
        <f>'Ocorrências Mensais - FAT'!M19</f>
        <v>0</v>
      </c>
      <c r="R16" s="138">
        <f>ROUND((P16/Dados!$G$38*Q16),2)</f>
        <v>0</v>
      </c>
      <c r="S16" s="132">
        <f t="shared" si="1"/>
        <v>0</v>
      </c>
      <c r="T16" s="139">
        <f t="shared" si="2"/>
        <v>17496.21</v>
      </c>
      <c r="U16" s="626"/>
      <c r="V16" s="87"/>
      <c r="W16" s="87"/>
    </row>
    <row r="17" spans="1:33" ht="32.25" customHeight="1" x14ac:dyDescent="0.25">
      <c r="A17" s="633"/>
      <c r="B17" s="134" t="str">
        <f>Dados!B14</f>
        <v>Auxiliar Administrativo - Classe IV (Nível Superior)</v>
      </c>
      <c r="C17" s="135">
        <f>Dados!C14</f>
        <v>200</v>
      </c>
      <c r="D17" s="117">
        <f>Dados!D14</f>
        <v>21</v>
      </c>
      <c r="E17" s="154">
        <f>'Aux Admin IV 200'!F40</f>
        <v>8081.47</v>
      </c>
      <c r="F17" s="150">
        <f t="shared" si="0"/>
        <v>169710.87</v>
      </c>
      <c r="G17" s="151">
        <f>'Aux Admin IV 200'!I40</f>
        <v>424.58</v>
      </c>
      <c r="H17" s="121">
        <f>'Ocorrências Mensais - FAT'!F20+'Ocorrências Mensais - FAT'!G20</f>
        <v>0</v>
      </c>
      <c r="I17" s="122">
        <f>(ROUND(G17/Dados!$G$38*H17,2)-(G17/'Ocorrências Mensais - FAT'!$E$8*'Ocorrências Mensais - FAT'!H20))</f>
        <v>0</v>
      </c>
      <c r="J17" s="151">
        <f>'Aux Admin IV 200'!F40-'Aux Admin IV 200'!H40</f>
        <v>8081.47</v>
      </c>
      <c r="K17" s="124">
        <f>'Ocorrências Mensais - FAT'!K20</f>
        <v>0</v>
      </c>
      <c r="L17" s="125">
        <f>J17/'Ocorrências Mensais - FAT'!$E$8*K17</f>
        <v>0</v>
      </c>
      <c r="M17" s="152">
        <f>'Custo Estimativo Substituto'!L33</f>
        <v>6863.32</v>
      </c>
      <c r="N17" s="127">
        <f>'Ocorrências Mensais - FAT'!L20</f>
        <v>0</v>
      </c>
      <c r="O17" s="128">
        <f>ROUND((M17/'Ocorrências Mensais - FAT'!$E$8*N17),2)</f>
        <v>0</v>
      </c>
      <c r="P17" s="136">
        <f>'Aux Admin IV 200'!G39</f>
        <v>590.13</v>
      </c>
      <c r="Q17" s="137">
        <f>'Ocorrências Mensais - FAT'!M20</f>
        <v>0</v>
      </c>
      <c r="R17" s="138">
        <f>ROUND((P17/Dados!$G$38*Q17),2)</f>
        <v>0</v>
      </c>
      <c r="S17" s="132">
        <f t="shared" si="1"/>
        <v>0</v>
      </c>
      <c r="T17" s="139">
        <f t="shared" si="2"/>
        <v>169710.87</v>
      </c>
      <c r="U17" s="626"/>
      <c r="V17" s="87"/>
      <c r="W17" s="87"/>
    </row>
    <row r="18" spans="1:33" ht="32.25" customHeight="1" x14ac:dyDescent="0.25">
      <c r="A18" s="633"/>
      <c r="B18" s="134" t="str">
        <f>Dados!B15</f>
        <v>Assistente de Apoio Financeiro (Nível Superior)</v>
      </c>
      <c r="C18" s="135">
        <f>Dados!C15</f>
        <v>200</v>
      </c>
      <c r="D18" s="117">
        <f>Dados!D15</f>
        <v>6</v>
      </c>
      <c r="E18" s="154">
        <f>'Assistente Financeiro 200'!F40</f>
        <v>12267.72</v>
      </c>
      <c r="F18" s="150">
        <f t="shared" si="0"/>
        <v>73606.320000000007</v>
      </c>
      <c r="G18" s="151">
        <f>'Assistente Financeiro 200'!I40</f>
        <v>279.51</v>
      </c>
      <c r="H18" s="121">
        <f>'Ocorrências Mensais - FAT'!F21+'Ocorrências Mensais - FAT'!G21</f>
        <v>0</v>
      </c>
      <c r="I18" s="122">
        <f>(ROUND(G18/Dados!$G$38*H18,2)-(G18/'Ocorrências Mensais - FAT'!$E$8*'Ocorrências Mensais - FAT'!H21))</f>
        <v>0</v>
      </c>
      <c r="J18" s="151">
        <f>'Assistente Financeiro 200'!F40-'Assistente Financeiro 200'!H40</f>
        <v>12267.72</v>
      </c>
      <c r="K18" s="124">
        <f>'Ocorrências Mensais - FAT'!K21</f>
        <v>0</v>
      </c>
      <c r="L18" s="125">
        <f>J18/'Ocorrências Mensais - FAT'!$E$8*K18</f>
        <v>0</v>
      </c>
      <c r="M18" s="152">
        <f>'Custo Estimativo Substituto'!M33</f>
        <v>10405.56</v>
      </c>
      <c r="N18" s="127">
        <f>'Ocorrências Mensais - FAT'!L21</f>
        <v>0</v>
      </c>
      <c r="O18" s="128">
        <f>ROUND((M18/'Ocorrências Mensais - FAT'!$E$8*N18),2)</f>
        <v>0</v>
      </c>
      <c r="P18" s="136">
        <f>'Assistente Financeiro 200'!G39</f>
        <v>590.13</v>
      </c>
      <c r="Q18" s="137">
        <f>'Ocorrências Mensais - FAT'!M21</f>
        <v>0</v>
      </c>
      <c r="R18" s="138">
        <f>ROUND((P18/Dados!$G$38*Q18),2)</f>
        <v>0</v>
      </c>
      <c r="S18" s="132">
        <f t="shared" si="1"/>
        <v>0</v>
      </c>
      <c r="T18" s="139">
        <f t="shared" si="2"/>
        <v>73606.320000000007</v>
      </c>
      <c r="U18" s="626"/>
      <c r="V18" s="87"/>
      <c r="W18" s="87"/>
    </row>
    <row r="19" spans="1:33" ht="32.25" customHeight="1" x14ac:dyDescent="0.25">
      <c r="A19" s="633"/>
      <c r="B19" s="134" t="str">
        <f>Dados!B16</f>
        <v>Encarregado Geral</v>
      </c>
      <c r="C19" s="135">
        <f>Dados!C16</f>
        <v>220</v>
      </c>
      <c r="D19" s="117">
        <f>Dados!D16</f>
        <v>1</v>
      </c>
      <c r="E19" s="154">
        <f>'Encarregado Geral 220'!F40</f>
        <v>7557.43</v>
      </c>
      <c r="F19" s="150">
        <f t="shared" si="0"/>
        <v>7557.43</v>
      </c>
      <c r="G19" s="151">
        <f>'Encarregado Geral 220'!I40</f>
        <v>442.74</v>
      </c>
      <c r="H19" s="121">
        <f>'Ocorrências Mensais - FAT'!F22+'Ocorrências Mensais - FAT'!G22</f>
        <v>0</v>
      </c>
      <c r="I19" s="122">
        <f>(ROUND(G19/Dados!$G$38*H19,2)-(G19/'Ocorrências Mensais - FAT'!$E$8*'Ocorrências Mensais - FAT'!H22))</f>
        <v>0</v>
      </c>
      <c r="J19" s="151">
        <f>'Encarregado Geral 220'!F40-'Encarregado Geral 220'!H40</f>
        <v>7557.43</v>
      </c>
      <c r="K19" s="124">
        <f>'Ocorrências Mensais - FAT'!K22</f>
        <v>0</v>
      </c>
      <c r="L19" s="125">
        <f>J19/'Ocorrências Mensais - FAT'!$E$8*K19</f>
        <v>0</v>
      </c>
      <c r="M19" s="152">
        <f>'Custo Estimativo Substituto'!N33</f>
        <v>6419.7100000000009</v>
      </c>
      <c r="N19" s="127">
        <f>'Ocorrências Mensais - FAT'!L22</f>
        <v>0</v>
      </c>
      <c r="O19" s="128">
        <f>ROUND((M19/'Ocorrências Mensais - FAT'!$E$8*N19),2)</f>
        <v>0</v>
      </c>
      <c r="P19" s="136">
        <f>'Encarregado Geral 220'!G39</f>
        <v>590.13</v>
      </c>
      <c r="Q19" s="137">
        <f>'Ocorrências Mensais - FAT'!M22</f>
        <v>0</v>
      </c>
      <c r="R19" s="138">
        <f>ROUND((P19/Dados!$G$38*Q19),2)</f>
        <v>0</v>
      </c>
      <c r="S19" s="132">
        <f t="shared" si="1"/>
        <v>0</v>
      </c>
      <c r="T19" s="139">
        <f t="shared" si="2"/>
        <v>7557.43</v>
      </c>
      <c r="U19" s="626"/>
      <c r="V19" s="87"/>
      <c r="W19" s="87"/>
    </row>
    <row r="20" spans="1:33" ht="32.25" customHeight="1" x14ac:dyDescent="0.25">
      <c r="A20" s="633"/>
      <c r="B20" s="134" t="str">
        <f>Dados!B17</f>
        <v>Operador e Editor de Áudio e Vídeo</v>
      </c>
      <c r="C20" s="135">
        <f>Dados!C17</f>
        <v>150</v>
      </c>
      <c r="D20" s="117">
        <f>Dados!D17</f>
        <v>8</v>
      </c>
      <c r="E20" s="154">
        <f>'Op. Ed. Audio e Video 150'!F40</f>
        <v>8804.15</v>
      </c>
      <c r="F20" s="150">
        <f t="shared" si="0"/>
        <v>70433.2</v>
      </c>
      <c r="G20" s="151">
        <f>'Op. Ed. Audio e Video 150'!I40</f>
        <v>378.23</v>
      </c>
      <c r="H20" s="121">
        <f>'Ocorrências Mensais - FAT'!F23+'Ocorrências Mensais - FAT'!G23</f>
        <v>0</v>
      </c>
      <c r="I20" s="122">
        <f>(ROUND(G20/Dados!$G$38*H20,2)-(G20/'Ocorrências Mensais - FAT'!$E$8*'Ocorrências Mensais - FAT'!H23))</f>
        <v>0</v>
      </c>
      <c r="J20" s="151">
        <f>'Op. Ed. Audio e Video 150'!F40-'Op. Ed. Audio e Video 150'!H40</f>
        <v>8804.15</v>
      </c>
      <c r="K20" s="124">
        <f>'Ocorrências Mensais - FAT'!K23</f>
        <v>0</v>
      </c>
      <c r="L20" s="125">
        <f>J20/'Ocorrências Mensais - FAT'!$E$8*K20</f>
        <v>0</v>
      </c>
      <c r="M20" s="152">
        <f>'Custo Estimativo Substituto'!O33</f>
        <v>7405</v>
      </c>
      <c r="N20" s="127">
        <f>'Ocorrências Mensais - FAT'!L23</f>
        <v>0</v>
      </c>
      <c r="O20" s="128">
        <f>ROUND((M20/'Ocorrências Mensais - FAT'!$E$8*N20),2)</f>
        <v>0</v>
      </c>
      <c r="P20" s="136">
        <f>'Op. Ed. Audio e Video 150'!G39</f>
        <v>0</v>
      </c>
      <c r="Q20" s="137">
        <f>'Ocorrências Mensais - FAT'!M23</f>
        <v>0</v>
      </c>
      <c r="R20" s="138">
        <f>ROUND((P20/Dados!$G$38*Q20),2)</f>
        <v>0</v>
      </c>
      <c r="S20" s="132">
        <f t="shared" si="1"/>
        <v>0</v>
      </c>
      <c r="T20" s="139">
        <f t="shared" si="2"/>
        <v>70433.2</v>
      </c>
      <c r="U20" s="626"/>
      <c r="V20" s="87"/>
      <c r="W20" s="155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</row>
    <row r="21" spans="1:33" ht="32.25" customHeight="1" x14ac:dyDescent="0.25">
      <c r="A21" s="633"/>
      <c r="B21" s="157" t="str">
        <f>Dados!B18</f>
        <v xml:space="preserve">Recepcionista </v>
      </c>
      <c r="C21" s="158">
        <f>Dados!C18</f>
        <v>220</v>
      </c>
      <c r="D21" s="159">
        <f>Dados!D18</f>
        <v>11</v>
      </c>
      <c r="E21" s="160">
        <f>'Recepcionista 220'!F40</f>
        <v>6933.13</v>
      </c>
      <c r="F21" s="161">
        <f t="shared" si="0"/>
        <v>76264.429999999993</v>
      </c>
      <c r="G21" s="162">
        <f>'Recepcionista 220'!I40</f>
        <v>464.4</v>
      </c>
      <c r="H21" s="121">
        <f>'Ocorrências Mensais - FAT'!F24+'Ocorrências Mensais - FAT'!G24</f>
        <v>0</v>
      </c>
      <c r="I21" s="122">
        <f>(ROUND(G21/Dados!$G$38*H21,2)-(G21/'Ocorrências Mensais - FAT'!$E$8*'Ocorrências Mensais - FAT'!H24))</f>
        <v>0</v>
      </c>
      <c r="J21" s="162">
        <f>'Recepcionista 220'!F40-'Recepcionista 220'!H40</f>
        <v>6933.13</v>
      </c>
      <c r="K21" s="124">
        <f>'Ocorrências Mensais - FAT'!K24</f>
        <v>0</v>
      </c>
      <c r="L21" s="125">
        <f>J21/'Ocorrências Mensais - FAT'!$E$8*K21</f>
        <v>0</v>
      </c>
      <c r="M21" s="163">
        <f>'Custo Estimativo Substituto'!P33</f>
        <v>5891.380000000001</v>
      </c>
      <c r="N21" s="127">
        <f>'Ocorrências Mensais - FAT'!L24</f>
        <v>0</v>
      </c>
      <c r="O21" s="128">
        <f>ROUND((M21/'Ocorrências Mensais - FAT'!$E$8*N21),2)</f>
        <v>0</v>
      </c>
      <c r="P21" s="164">
        <f>'Recepcionista 220'!G39</f>
        <v>590.13</v>
      </c>
      <c r="Q21" s="165">
        <f>'Ocorrências Mensais - FAT'!M24</f>
        <v>0</v>
      </c>
      <c r="R21" s="166">
        <f>ROUND((P21/Dados!$G$38*Q21),2)</f>
        <v>0</v>
      </c>
      <c r="S21" s="132">
        <f t="shared" si="1"/>
        <v>0</v>
      </c>
      <c r="T21" s="167">
        <f t="shared" si="2"/>
        <v>76264.429999999993</v>
      </c>
      <c r="U21" s="626"/>
      <c r="V21" s="87"/>
      <c r="W21" s="155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</row>
    <row r="22" spans="1:33" s="182" customFormat="1" ht="55.5" customHeight="1" x14ac:dyDescent="0.25">
      <c r="A22" s="627" t="s">
        <v>155</v>
      </c>
      <c r="B22" s="627"/>
      <c r="C22" s="627"/>
      <c r="D22" s="168">
        <f>SUM(D11:D21)</f>
        <v>168</v>
      </c>
      <c r="E22" s="169"/>
      <c r="F22" s="170">
        <f>SUM(F11:F21)</f>
        <v>1131678.3999999999</v>
      </c>
      <c r="G22" s="171"/>
      <c r="H22" s="172">
        <f t="shared" ref="H22:O22" si="3">SUM(H11:H21)</f>
        <v>0</v>
      </c>
      <c r="I22" s="173">
        <f t="shared" si="3"/>
        <v>0</v>
      </c>
      <c r="J22" s="174">
        <f t="shared" si="3"/>
        <v>77552.72</v>
      </c>
      <c r="K22" s="172">
        <f t="shared" si="3"/>
        <v>0</v>
      </c>
      <c r="L22" s="173">
        <f t="shared" si="3"/>
        <v>0</v>
      </c>
      <c r="M22" s="174">
        <f t="shared" si="3"/>
        <v>65581.77</v>
      </c>
      <c r="N22" s="172">
        <f t="shared" si="3"/>
        <v>0</v>
      </c>
      <c r="O22" s="175">
        <f t="shared" si="3"/>
        <v>0</v>
      </c>
      <c r="P22" s="176"/>
      <c r="Q22" s="177">
        <f>SUM(Q11:Q21)</f>
        <v>0</v>
      </c>
      <c r="R22" s="178">
        <f>SUM(R11:R21)</f>
        <v>0</v>
      </c>
      <c r="S22" s="179">
        <f>SUM(S11:S21)</f>
        <v>0</v>
      </c>
      <c r="T22" s="180">
        <f>SUM(T11:T21)</f>
        <v>1131678.3999999999</v>
      </c>
      <c r="U22" s="181"/>
      <c r="V22" s="182" t="s">
        <v>156</v>
      </c>
      <c r="W22" s="183"/>
      <c r="X22" s="184"/>
      <c r="Y22" s="184"/>
      <c r="Z22" s="185"/>
      <c r="AA22" s="184"/>
      <c r="AB22" s="184"/>
      <c r="AC22" s="184"/>
      <c r="AD22" s="184"/>
      <c r="AE22" s="186"/>
      <c r="AF22" s="187"/>
      <c r="AG22" s="187"/>
    </row>
    <row r="23" spans="1:33" s="182" customFormat="1" ht="55.5" customHeight="1" x14ac:dyDescent="0.25">
      <c r="A23" s="628" t="s">
        <v>157</v>
      </c>
      <c r="B23" s="628"/>
      <c r="C23" s="628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188">
        <f>T22*12</f>
        <v>13580140.799999999</v>
      </c>
      <c r="U23" s="189"/>
      <c r="W23" s="190"/>
      <c r="X23" s="191"/>
      <c r="Y23" s="191"/>
      <c r="Z23" s="191"/>
      <c r="AA23" s="191"/>
      <c r="AB23" s="191"/>
      <c r="AC23" s="191"/>
      <c r="AD23" s="191"/>
      <c r="AE23" s="192"/>
      <c r="AF23" s="187"/>
      <c r="AG23" s="187"/>
    </row>
    <row r="24" spans="1:33" ht="18" customHeight="1" x14ac:dyDescent="0.25">
      <c r="A24" s="87"/>
      <c r="B24" s="87"/>
      <c r="C24" s="87"/>
      <c r="D24" s="87"/>
      <c r="E24" s="153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90"/>
      <c r="X24" s="191"/>
      <c r="Y24" s="191"/>
      <c r="Z24" s="191"/>
      <c r="AA24" s="191"/>
      <c r="AB24" s="191"/>
      <c r="AC24" s="191"/>
      <c r="AD24" s="191"/>
      <c r="AE24" s="192"/>
      <c r="AF24" s="156"/>
      <c r="AG24" s="156"/>
    </row>
    <row r="25" spans="1:33" ht="18" customHeight="1" x14ac:dyDescent="0.2"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</row>
    <row r="26" spans="1:33" ht="18" customHeight="1" x14ac:dyDescent="0.2"/>
  </sheetData>
  <sheetProtection password="C494" sheet="1" objects="1" scenarios="1"/>
  <mergeCells count="24">
    <mergeCell ref="A4:U4"/>
    <mergeCell ref="A5:U5"/>
    <mergeCell ref="A6:H6"/>
    <mergeCell ref="S6:T6"/>
    <mergeCell ref="A7:A10"/>
    <mergeCell ref="B7:C9"/>
    <mergeCell ref="D7:S7"/>
    <mergeCell ref="T7:T10"/>
    <mergeCell ref="U7:U10"/>
    <mergeCell ref="D8:F8"/>
    <mergeCell ref="G8:I8"/>
    <mergeCell ref="J8:O8"/>
    <mergeCell ref="P8:R8"/>
    <mergeCell ref="D9:F9"/>
    <mergeCell ref="G9:G10"/>
    <mergeCell ref="H9:I9"/>
    <mergeCell ref="U11:U21"/>
    <mergeCell ref="A22:C22"/>
    <mergeCell ref="A23:S23"/>
    <mergeCell ref="J9:L9"/>
    <mergeCell ref="M9:O9"/>
    <mergeCell ref="P9:R9"/>
    <mergeCell ref="S9:S10"/>
    <mergeCell ref="A11:A21"/>
  </mergeCells>
  <printOptions horizontalCentered="1"/>
  <pageMargins left="0.196527777777778" right="0.196527777777778" top="0.196527777777778" bottom="0.39374999999999999" header="0.51180555555555496" footer="0.51180555555555496"/>
  <pageSetup paperSize="9" scale="5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85"/>
  <sheetViews>
    <sheetView showGridLines="0" view="pageBreakPreview" topLeftCell="A36" zoomScaleNormal="115" workbookViewId="0">
      <selection activeCell="F15" sqref="F15"/>
    </sheetView>
  </sheetViews>
  <sheetFormatPr defaultColWidth="13.83203125" defaultRowHeight="15" x14ac:dyDescent="0.25"/>
  <cols>
    <col min="1" max="1" width="10" style="87" customWidth="1"/>
    <col min="2" max="2" width="39.1640625" style="87" customWidth="1"/>
    <col min="3" max="3" width="10" style="87" customWidth="1"/>
    <col min="4" max="4" width="6.6640625" style="87" customWidth="1"/>
    <col min="5" max="7" width="14.1640625" style="87" customWidth="1"/>
    <col min="8" max="8" width="18.1640625" style="87" customWidth="1"/>
    <col min="9" max="9" width="16" style="87" customWidth="1"/>
    <col min="10" max="10" width="15.33203125" style="87" customWidth="1"/>
    <col min="11" max="11" width="14.83203125" style="87" customWidth="1"/>
    <col min="12" max="12" width="14.6640625" style="87" customWidth="1"/>
    <col min="13" max="246" width="9.33203125" style="87" customWidth="1"/>
    <col min="247" max="247" width="7" style="87" customWidth="1"/>
    <col min="248" max="248" width="45.83203125" style="87" customWidth="1"/>
    <col min="249" max="249" width="10" style="87" customWidth="1"/>
    <col min="250" max="253" width="14.1640625" style="87" customWidth="1"/>
    <col min="254" max="1020" width="13.83203125" style="87"/>
    <col min="1021" max="1024" width="12.83203125" style="87" customWidth="1"/>
  </cols>
  <sheetData>
    <row r="1" spans="1:12" ht="12.6" customHeight="1" x14ac:dyDescent="0.25">
      <c r="A1" s="193"/>
      <c r="B1" s="194" t="s">
        <v>0</v>
      </c>
      <c r="C1" s="195"/>
      <c r="D1" s="85"/>
      <c r="E1" s="85"/>
      <c r="F1" s="85"/>
      <c r="G1" s="85"/>
      <c r="H1" s="85"/>
      <c r="I1" s="85"/>
    </row>
    <row r="2" spans="1:12" ht="12.75" customHeight="1" x14ac:dyDescent="0.25">
      <c r="A2" s="196"/>
      <c r="B2" s="194" t="s">
        <v>1</v>
      </c>
      <c r="C2" s="197"/>
    </row>
    <row r="3" spans="1:12" ht="12.75" customHeight="1" x14ac:dyDescent="0.25">
      <c r="A3" s="196"/>
      <c r="B3" s="194" t="s">
        <v>158</v>
      </c>
      <c r="C3" s="197"/>
    </row>
    <row r="4" spans="1:12" s="199" customFormat="1" ht="18" customHeight="1" x14ac:dyDescent="0.2">
      <c r="A4" s="673" t="s">
        <v>159</v>
      </c>
      <c r="B4" s="673"/>
      <c r="C4" s="673"/>
      <c r="D4" s="673"/>
      <c r="E4" s="673"/>
      <c r="F4" s="673"/>
      <c r="G4" s="673"/>
      <c r="H4" s="673"/>
      <c r="I4" s="673"/>
      <c r="J4" s="198"/>
    </row>
    <row r="5" spans="1:12" s="199" customFormat="1" ht="40.5" customHeight="1" x14ac:dyDescent="0.2">
      <c r="A5" s="674" t="str">
        <f>CONCATENATE("Sindicato utilizado - ",E22,". Vigência: ",E24,"
Sendo a data base da categoria ",E25,". Com número de registro no MTE ",E23,".")</f>
        <v>Sindicato utilizado - SINDEAC/MG. Vigência: 01/01/2023 à 31/12/2023
Sendo a data base da categoria 01º de Janeiro. Com número de registro no MTE MG000001/2023.</v>
      </c>
      <c r="B5" s="674"/>
      <c r="C5" s="674"/>
      <c r="D5" s="674"/>
      <c r="E5" s="674"/>
      <c r="F5" s="674"/>
      <c r="G5" s="674"/>
      <c r="H5" s="674"/>
      <c r="I5" s="674"/>
      <c r="J5" s="198"/>
    </row>
    <row r="6" spans="1:12" s="199" customFormat="1" ht="24.75" customHeight="1" x14ac:dyDescent="0.2">
      <c r="A6" s="675"/>
      <c r="B6" s="675"/>
      <c r="C6" s="675"/>
      <c r="D6" s="675"/>
      <c r="E6" s="676" t="s">
        <v>160</v>
      </c>
      <c r="F6" s="676"/>
      <c r="G6" s="676"/>
      <c r="H6" s="676"/>
      <c r="I6" s="676"/>
    </row>
    <row r="7" spans="1:12" s="199" customFormat="1" ht="96" customHeight="1" x14ac:dyDescent="0.2">
      <c r="A7" s="200" t="s">
        <v>161</v>
      </c>
      <c r="B7" s="201" t="s">
        <v>28</v>
      </c>
      <c r="C7" s="202" t="s">
        <v>29</v>
      </c>
      <c r="D7" s="202" t="s">
        <v>27</v>
      </c>
      <c r="E7" s="202" t="s">
        <v>162</v>
      </c>
      <c r="F7" s="202" t="s">
        <v>163</v>
      </c>
      <c r="G7" s="202" t="s">
        <v>164</v>
      </c>
      <c r="H7" s="202" t="s">
        <v>165</v>
      </c>
      <c r="I7" s="203" t="s">
        <v>166</v>
      </c>
      <c r="L7" s="204"/>
    </row>
    <row r="8" spans="1:12" s="199" customFormat="1" ht="24.75" customHeight="1" x14ac:dyDescent="0.2">
      <c r="A8" s="677">
        <v>333903701</v>
      </c>
      <c r="B8" s="205" t="s">
        <v>167</v>
      </c>
      <c r="C8" s="206">
        <v>150</v>
      </c>
      <c r="D8" s="206">
        <v>2</v>
      </c>
      <c r="E8" s="207">
        <v>2080</v>
      </c>
      <c r="F8" s="208">
        <f t="shared" ref="F8:F16" si="0">ROUND(((E8/220)*C8),2)</f>
        <v>1418.18</v>
      </c>
      <c r="G8" s="30">
        <v>0</v>
      </c>
      <c r="H8" s="208">
        <f t="shared" ref="H8:H18" si="1">SUM(F8:G8)</f>
        <v>1418.18</v>
      </c>
      <c r="I8" s="209">
        <f>Uniforme!F14</f>
        <v>76.239999999999995</v>
      </c>
      <c r="J8" s="649" t="s">
        <v>472</v>
      </c>
      <c r="K8" s="650"/>
      <c r="L8" s="650"/>
    </row>
    <row r="9" spans="1:12" s="199" customFormat="1" ht="24.75" customHeight="1" x14ac:dyDescent="0.2">
      <c r="A9" s="677"/>
      <c r="B9" s="205" t="s">
        <v>168</v>
      </c>
      <c r="C9" s="206">
        <v>200</v>
      </c>
      <c r="D9" s="206">
        <v>15</v>
      </c>
      <c r="E9" s="207">
        <f>E12</f>
        <v>2530</v>
      </c>
      <c r="F9" s="208">
        <f t="shared" si="0"/>
        <v>2300</v>
      </c>
      <c r="G9" s="30">
        <v>0</v>
      </c>
      <c r="H9" s="208">
        <f t="shared" si="1"/>
        <v>2300</v>
      </c>
      <c r="I9" s="210">
        <f>Uniforme!F21</f>
        <v>72.650000000000006</v>
      </c>
      <c r="J9" s="649"/>
      <c r="K9" s="650"/>
      <c r="L9" s="650"/>
    </row>
    <row r="10" spans="1:12" s="199" customFormat="1" ht="24.75" customHeight="1" x14ac:dyDescent="0.2">
      <c r="A10" s="677"/>
      <c r="B10" s="211" t="s">
        <v>169</v>
      </c>
      <c r="C10" s="212">
        <v>200</v>
      </c>
      <c r="D10" s="212">
        <v>3</v>
      </c>
      <c r="E10" s="213">
        <v>2420</v>
      </c>
      <c r="F10" s="208">
        <f t="shared" si="0"/>
        <v>2200</v>
      </c>
      <c r="G10" s="30">
        <v>0</v>
      </c>
      <c r="H10" s="208">
        <f t="shared" si="1"/>
        <v>2200</v>
      </c>
      <c r="I10" s="210">
        <f>Uniforme!F28</f>
        <v>40.71</v>
      </c>
      <c r="J10" s="649"/>
      <c r="K10" s="650"/>
      <c r="L10" s="650"/>
    </row>
    <row r="11" spans="1:12" ht="24" customHeight="1" x14ac:dyDescent="0.25">
      <c r="A11" s="677"/>
      <c r="B11" s="214" t="s">
        <v>170</v>
      </c>
      <c r="C11" s="215">
        <v>150</v>
      </c>
      <c r="D11" s="215">
        <v>27</v>
      </c>
      <c r="E11" s="216">
        <v>2530</v>
      </c>
      <c r="F11" s="217">
        <f t="shared" si="0"/>
        <v>1725</v>
      </c>
      <c r="G11" s="30">
        <v>0</v>
      </c>
      <c r="H11" s="208">
        <f t="shared" si="1"/>
        <v>1725</v>
      </c>
      <c r="I11" s="218">
        <f>Uniforme!F35</f>
        <v>72.650000000000006</v>
      </c>
      <c r="J11" s="649"/>
      <c r="K11" s="650"/>
      <c r="L11" s="650"/>
    </row>
    <row r="12" spans="1:12" ht="24" customHeight="1" x14ac:dyDescent="0.25">
      <c r="A12" s="677"/>
      <c r="B12" s="214" t="s">
        <v>171</v>
      </c>
      <c r="C12" s="219">
        <v>200</v>
      </c>
      <c r="D12" s="219">
        <v>71</v>
      </c>
      <c r="E12" s="220">
        <v>2530</v>
      </c>
      <c r="F12" s="221">
        <f t="shared" si="0"/>
        <v>2300</v>
      </c>
      <c r="G12" s="30">
        <v>0</v>
      </c>
      <c r="H12" s="208">
        <f t="shared" si="1"/>
        <v>2300</v>
      </c>
      <c r="I12" s="218">
        <f>Uniforme!F35</f>
        <v>72.650000000000006</v>
      </c>
      <c r="J12" s="649"/>
      <c r="K12" s="650"/>
      <c r="L12" s="650"/>
    </row>
    <row r="13" spans="1:12" ht="27.75" customHeight="1" x14ac:dyDescent="0.25">
      <c r="A13" s="677"/>
      <c r="B13" s="222" t="s">
        <v>172</v>
      </c>
      <c r="C13" s="223">
        <v>150</v>
      </c>
      <c r="D13" s="223">
        <v>3</v>
      </c>
      <c r="E13" s="220">
        <v>3289</v>
      </c>
      <c r="F13" s="221">
        <f t="shared" si="0"/>
        <v>2242.5</v>
      </c>
      <c r="G13" s="30">
        <v>0</v>
      </c>
      <c r="H13" s="208">
        <f t="shared" si="1"/>
        <v>2242.5</v>
      </c>
      <c r="I13" s="218">
        <f>Uniforme!F35</f>
        <v>72.650000000000006</v>
      </c>
      <c r="J13" s="649"/>
      <c r="K13" s="650"/>
      <c r="L13" s="650"/>
    </row>
    <row r="14" spans="1:12" ht="27.75" customHeight="1" x14ac:dyDescent="0.25">
      <c r="A14" s="677"/>
      <c r="B14" s="224" t="s">
        <v>173</v>
      </c>
      <c r="C14" s="223">
        <v>200</v>
      </c>
      <c r="D14" s="223">
        <v>21</v>
      </c>
      <c r="E14" s="220">
        <v>3289</v>
      </c>
      <c r="F14" s="221">
        <f t="shared" si="0"/>
        <v>2990</v>
      </c>
      <c r="G14" s="30">
        <v>0</v>
      </c>
      <c r="H14" s="208">
        <f t="shared" si="1"/>
        <v>2990</v>
      </c>
      <c r="I14" s="218">
        <f>Uniforme!F35</f>
        <v>72.650000000000006</v>
      </c>
      <c r="J14" s="649"/>
      <c r="K14" s="650"/>
      <c r="L14" s="650"/>
    </row>
    <row r="15" spans="1:12" ht="27.75" customHeight="1" x14ac:dyDescent="0.25">
      <c r="A15" s="677"/>
      <c r="B15" s="222" t="s">
        <v>174</v>
      </c>
      <c r="C15" s="223">
        <v>200</v>
      </c>
      <c r="D15" s="223">
        <v>6</v>
      </c>
      <c r="E15" s="220">
        <v>5362.5</v>
      </c>
      <c r="F15" s="221">
        <f t="shared" si="0"/>
        <v>4875</v>
      </c>
      <c r="G15" s="30">
        <v>0</v>
      </c>
      <c r="H15" s="208">
        <f t="shared" si="1"/>
        <v>4875</v>
      </c>
      <c r="I15" s="225">
        <f>Uniforme!F43</f>
        <v>74.23</v>
      </c>
      <c r="J15" s="649"/>
      <c r="K15" s="650"/>
      <c r="L15" s="650"/>
    </row>
    <row r="16" spans="1:12" ht="27.75" customHeight="1" x14ac:dyDescent="0.25">
      <c r="A16" s="677"/>
      <c r="B16" s="222" t="s">
        <v>175</v>
      </c>
      <c r="C16" s="223">
        <v>220</v>
      </c>
      <c r="D16" s="223">
        <v>1</v>
      </c>
      <c r="E16" s="220">
        <v>2753.93</v>
      </c>
      <c r="F16" s="221">
        <f t="shared" si="0"/>
        <v>2753.93</v>
      </c>
      <c r="G16" s="30">
        <v>0</v>
      </c>
      <c r="H16" s="208">
        <f t="shared" si="1"/>
        <v>2753.93</v>
      </c>
      <c r="I16" s="225">
        <f>Uniforme!F50</f>
        <v>72.650000000000006</v>
      </c>
      <c r="J16" s="649"/>
      <c r="K16" s="650"/>
      <c r="L16" s="650"/>
    </row>
    <row r="17" spans="1:13" ht="24" customHeight="1" x14ac:dyDescent="0.25">
      <c r="A17" s="677"/>
      <c r="B17" s="226" t="s">
        <v>176</v>
      </c>
      <c r="C17" s="227">
        <v>150</v>
      </c>
      <c r="D17" s="227">
        <v>8</v>
      </c>
      <c r="E17" s="220">
        <v>4789.71</v>
      </c>
      <c r="F17" s="221">
        <f>ROUND(((E17/200)*C17),2)</f>
        <v>3592.28</v>
      </c>
      <c r="G17" s="30">
        <v>0</v>
      </c>
      <c r="H17" s="208">
        <f t="shared" si="1"/>
        <v>3592.28</v>
      </c>
      <c r="I17" s="218">
        <f>Uniforme!F58</f>
        <v>53.87</v>
      </c>
      <c r="J17" s="649"/>
      <c r="K17" s="650"/>
      <c r="L17" s="650"/>
    </row>
    <row r="18" spans="1:13" ht="24" customHeight="1" x14ac:dyDescent="0.25">
      <c r="A18" s="677"/>
      <c r="B18" s="228" t="s">
        <v>177</v>
      </c>
      <c r="C18" s="229">
        <v>220</v>
      </c>
      <c r="D18" s="229">
        <v>11</v>
      </c>
      <c r="E18" s="230">
        <v>2472.6799999999998</v>
      </c>
      <c r="F18" s="231">
        <f>ROUND(((E18/220)*C18),2)</f>
        <v>2472.6799999999998</v>
      </c>
      <c r="G18" s="232">
        <v>0</v>
      </c>
      <c r="H18" s="233">
        <f t="shared" si="1"/>
        <v>2472.6799999999998</v>
      </c>
      <c r="I18" s="234">
        <f>Uniforme!F65</f>
        <v>72.650000000000006</v>
      </c>
      <c r="J18" s="649"/>
      <c r="K18" s="650"/>
      <c r="L18" s="650"/>
    </row>
    <row r="19" spans="1:13" ht="24" customHeight="1" x14ac:dyDescent="0.25">
      <c r="E19" s="235" t="s">
        <v>178</v>
      </c>
    </row>
    <row r="20" spans="1:13" x14ac:dyDescent="0.25">
      <c r="A20" s="672" t="s">
        <v>179</v>
      </c>
      <c r="B20" s="672"/>
      <c r="C20" s="672"/>
      <c r="D20" s="672"/>
      <c r="E20" s="672"/>
      <c r="F20" s="672"/>
      <c r="G20" s="672"/>
      <c r="H20" s="1"/>
      <c r="I20" s="1"/>
    </row>
    <row r="21" spans="1:13" ht="30.75" customHeight="1" x14ac:dyDescent="0.25">
      <c r="A21" s="236">
        <v>1</v>
      </c>
      <c r="B21" s="664" t="s">
        <v>180</v>
      </c>
      <c r="C21" s="664"/>
      <c r="D21" s="664"/>
      <c r="E21" s="665" t="s">
        <v>181</v>
      </c>
      <c r="F21" s="665"/>
      <c r="G21" s="665"/>
      <c r="H21" s="669" t="s">
        <v>182</v>
      </c>
      <c r="I21" s="669"/>
      <c r="J21" s="669"/>
      <c r="K21" s="669"/>
      <c r="L21" s="669"/>
    </row>
    <row r="22" spans="1:13" ht="30.75" customHeight="1" x14ac:dyDescent="0.25">
      <c r="A22" s="236">
        <v>2</v>
      </c>
      <c r="B22" s="664" t="s">
        <v>183</v>
      </c>
      <c r="C22" s="664"/>
      <c r="D22" s="664"/>
      <c r="E22" s="665" t="s">
        <v>184</v>
      </c>
      <c r="F22" s="665"/>
      <c r="G22" s="665"/>
      <c r="H22" s="669" t="s">
        <v>185</v>
      </c>
      <c r="I22" s="669"/>
      <c r="J22" s="669"/>
      <c r="K22" s="669"/>
      <c r="L22" s="669"/>
    </row>
    <row r="23" spans="1:13" ht="30.75" customHeight="1" x14ac:dyDescent="0.25">
      <c r="A23" s="236">
        <v>3</v>
      </c>
      <c r="B23" s="664" t="s">
        <v>186</v>
      </c>
      <c r="C23" s="664"/>
      <c r="D23" s="664"/>
      <c r="E23" s="665" t="s">
        <v>187</v>
      </c>
      <c r="F23" s="665"/>
      <c r="G23" s="665"/>
      <c r="H23" s="669" t="s">
        <v>188</v>
      </c>
      <c r="I23" s="669"/>
      <c r="J23" s="669"/>
      <c r="K23" s="669"/>
      <c r="L23" s="669"/>
    </row>
    <row r="24" spans="1:13" ht="30.75" customHeight="1" x14ac:dyDescent="0.25">
      <c r="A24" s="236">
        <v>4</v>
      </c>
      <c r="B24" s="664" t="s">
        <v>189</v>
      </c>
      <c r="C24" s="664"/>
      <c r="D24" s="664"/>
      <c r="E24" s="665" t="s">
        <v>190</v>
      </c>
      <c r="F24" s="665"/>
      <c r="G24" s="665"/>
      <c r="H24" s="669" t="s">
        <v>191</v>
      </c>
      <c r="I24" s="669"/>
      <c r="J24" s="669"/>
      <c r="K24" s="669"/>
      <c r="L24" s="669"/>
    </row>
    <row r="25" spans="1:13" ht="30.75" customHeight="1" x14ac:dyDescent="0.25">
      <c r="A25" s="236">
        <v>5</v>
      </c>
      <c r="B25" s="664" t="s">
        <v>192</v>
      </c>
      <c r="C25" s="664"/>
      <c r="D25" s="664"/>
      <c r="E25" s="665" t="s">
        <v>193</v>
      </c>
      <c r="F25" s="665"/>
      <c r="G25" s="665"/>
      <c r="H25" s="669" t="s">
        <v>194</v>
      </c>
      <c r="I25" s="669"/>
      <c r="J25" s="669"/>
      <c r="K25" s="669"/>
      <c r="L25" s="669"/>
    </row>
    <row r="26" spans="1:13" x14ac:dyDescent="0.25">
      <c r="E26" s="235"/>
    </row>
    <row r="27" spans="1:13" x14ac:dyDescent="0.25">
      <c r="A27" s="666" t="s">
        <v>195</v>
      </c>
      <c r="B27" s="666"/>
      <c r="C27" s="666"/>
      <c r="D27" s="666"/>
      <c r="E27" s="666"/>
      <c r="F27" s="666"/>
      <c r="G27" s="666"/>
      <c r="H27" s="199"/>
      <c r="I27" s="199"/>
    </row>
    <row r="28" spans="1:13" x14ac:dyDescent="0.25">
      <c r="A28" s="237" t="s">
        <v>196</v>
      </c>
      <c r="B28" s="663" t="s">
        <v>197</v>
      </c>
      <c r="C28" s="663"/>
      <c r="D28" s="663"/>
      <c r="E28" s="663"/>
      <c r="F28" s="663"/>
      <c r="G28" s="239">
        <f>Encargos!$C$55</f>
        <v>0.79049999999999998</v>
      </c>
    </row>
    <row r="29" spans="1:13" x14ac:dyDescent="0.25">
      <c r="E29" s="235"/>
    </row>
    <row r="30" spans="1:13" x14ac:dyDescent="0.25">
      <c r="A30" s="240">
        <v>1</v>
      </c>
      <c r="B30" s="664" t="s">
        <v>198</v>
      </c>
      <c r="C30" s="664"/>
      <c r="D30" s="664"/>
      <c r="E30" s="664"/>
      <c r="F30" s="664"/>
      <c r="G30" s="241">
        <f>G31*G32</f>
        <v>0.06</v>
      </c>
      <c r="H30" s="1"/>
    </row>
    <row r="31" spans="1:13" s="199" customFormat="1" x14ac:dyDescent="0.2">
      <c r="A31" s="240">
        <v>2</v>
      </c>
      <c r="B31" s="664" t="s">
        <v>199</v>
      </c>
      <c r="C31" s="664"/>
      <c r="D31" s="664"/>
      <c r="E31" s="664"/>
      <c r="F31" s="664"/>
      <c r="G31" s="242">
        <v>0.03</v>
      </c>
      <c r="H31" s="243" t="s">
        <v>200</v>
      </c>
    </row>
    <row r="32" spans="1:13" x14ac:dyDescent="0.25">
      <c r="A32" s="240">
        <v>3</v>
      </c>
      <c r="B32" s="664" t="s">
        <v>201</v>
      </c>
      <c r="C32" s="664"/>
      <c r="D32" s="664"/>
      <c r="E32" s="664"/>
      <c r="F32" s="664"/>
      <c r="G32" s="244">
        <v>2</v>
      </c>
      <c r="H32" s="243" t="s">
        <v>202</v>
      </c>
      <c r="I32" s="245"/>
      <c r="L32" s="246"/>
      <c r="M32" s="246"/>
    </row>
    <row r="33" spans="1:13" x14ac:dyDescent="0.25">
      <c r="L33" s="246"/>
      <c r="M33" s="246"/>
    </row>
    <row r="34" spans="1:13" s="199" customFormat="1" x14ac:dyDescent="0.25">
      <c r="A34" s="666" t="s">
        <v>203</v>
      </c>
      <c r="B34" s="666"/>
      <c r="C34" s="666"/>
      <c r="D34" s="666"/>
      <c r="E34" s="666"/>
      <c r="F34" s="666"/>
      <c r="G34" s="666"/>
      <c r="I34" s="153"/>
    </row>
    <row r="35" spans="1:13" ht="14.45" customHeight="1" x14ac:dyDescent="0.25">
      <c r="A35" s="247">
        <v>1</v>
      </c>
      <c r="B35" s="671" t="s">
        <v>204</v>
      </c>
      <c r="C35" s="671"/>
      <c r="D35" s="671"/>
      <c r="E35" s="671"/>
      <c r="F35" s="671"/>
      <c r="G35" s="248">
        <v>2.2000000000000002</v>
      </c>
      <c r="H35" s="243" t="s">
        <v>205</v>
      </c>
    </row>
    <row r="36" spans="1:13" ht="14.45" customHeight="1" x14ac:dyDescent="0.25">
      <c r="A36" s="247">
        <v>2</v>
      </c>
      <c r="B36" s="671" t="s">
        <v>206</v>
      </c>
      <c r="C36" s="671"/>
      <c r="D36" s="671"/>
      <c r="E36" s="671"/>
      <c r="F36" s="671"/>
      <c r="G36" s="248">
        <v>80.72</v>
      </c>
      <c r="H36" s="243" t="s">
        <v>205</v>
      </c>
      <c r="K36" s="249"/>
    </row>
    <row r="37" spans="1:13" ht="14.45" customHeight="1" x14ac:dyDescent="0.25">
      <c r="A37" s="670">
        <v>3</v>
      </c>
      <c r="B37" s="671" t="s">
        <v>207</v>
      </c>
      <c r="C37" s="663" t="s">
        <v>208</v>
      </c>
      <c r="D37" s="663"/>
      <c r="E37" s="663"/>
      <c r="F37" s="663"/>
      <c r="G37" s="248">
        <v>26.14</v>
      </c>
      <c r="H37" s="87" t="s">
        <v>209</v>
      </c>
    </row>
    <row r="38" spans="1:13" ht="14.45" customHeight="1" x14ac:dyDescent="0.25">
      <c r="A38" s="670"/>
      <c r="B38" s="671"/>
      <c r="C38" s="671" t="s">
        <v>210</v>
      </c>
      <c r="D38" s="671"/>
      <c r="E38" s="671"/>
      <c r="F38" s="671"/>
      <c r="G38" s="250">
        <v>22</v>
      </c>
      <c r="H38" s="243" t="s">
        <v>211</v>
      </c>
    </row>
    <row r="39" spans="1:13" ht="14.45" customHeight="1" x14ac:dyDescent="0.25">
      <c r="A39" s="670"/>
      <c r="B39" s="671"/>
      <c r="C39" s="671" t="s">
        <v>212</v>
      </c>
      <c r="D39" s="671"/>
      <c r="E39" s="671"/>
      <c r="F39" s="671"/>
      <c r="G39" s="251">
        <v>0.2</v>
      </c>
      <c r="H39" s="87" t="s">
        <v>213</v>
      </c>
    </row>
    <row r="40" spans="1:13" ht="14.45" customHeight="1" x14ac:dyDescent="0.25">
      <c r="A40" s="670">
        <v>4</v>
      </c>
      <c r="B40" s="671" t="s">
        <v>214</v>
      </c>
      <c r="C40" s="663" t="s">
        <v>215</v>
      </c>
      <c r="D40" s="663"/>
      <c r="E40" s="663"/>
      <c r="F40" s="663"/>
      <c r="G40" s="252">
        <v>2</v>
      </c>
      <c r="H40" s="87" t="s">
        <v>216</v>
      </c>
    </row>
    <row r="41" spans="1:13" x14ac:dyDescent="0.25">
      <c r="A41" s="670"/>
      <c r="B41" s="671"/>
      <c r="C41" s="663" t="s">
        <v>217</v>
      </c>
      <c r="D41" s="663"/>
      <c r="E41" s="663"/>
      <c r="F41" s="663"/>
      <c r="G41" s="248">
        <v>4.5</v>
      </c>
      <c r="H41" s="87" t="s">
        <v>218</v>
      </c>
    </row>
    <row r="42" spans="1:13" x14ac:dyDescent="0.25">
      <c r="A42" s="670"/>
      <c r="B42" s="671"/>
      <c r="C42" s="663" t="s">
        <v>219</v>
      </c>
      <c r="D42" s="663"/>
      <c r="E42" s="663"/>
      <c r="F42" s="663"/>
      <c r="G42" s="252">
        <v>2</v>
      </c>
      <c r="H42" s="87" t="s">
        <v>216</v>
      </c>
    </row>
    <row r="43" spans="1:13" x14ac:dyDescent="0.25">
      <c r="A43" s="670"/>
      <c r="B43" s="671"/>
      <c r="C43" s="663" t="s">
        <v>220</v>
      </c>
      <c r="D43" s="663"/>
      <c r="E43" s="663"/>
      <c r="F43" s="663"/>
      <c r="G43" s="253">
        <v>7.1</v>
      </c>
      <c r="H43" s="87" t="s">
        <v>221</v>
      </c>
    </row>
    <row r="44" spans="1:13" ht="14.45" customHeight="1" x14ac:dyDescent="0.25">
      <c r="A44" s="670"/>
      <c r="B44" s="671"/>
      <c r="C44" s="671" t="s">
        <v>210</v>
      </c>
      <c r="D44" s="671"/>
      <c r="E44" s="671"/>
      <c r="F44" s="671"/>
      <c r="G44" s="250">
        <v>22</v>
      </c>
      <c r="H44" s="243" t="s">
        <v>211</v>
      </c>
    </row>
    <row r="45" spans="1:13" ht="14.45" customHeight="1" x14ac:dyDescent="0.25">
      <c r="A45" s="670"/>
      <c r="B45" s="671"/>
      <c r="C45" s="671" t="s">
        <v>212</v>
      </c>
      <c r="D45" s="671"/>
      <c r="E45" s="671"/>
      <c r="F45" s="671"/>
      <c r="G45" s="251">
        <v>0.06</v>
      </c>
      <c r="H45" s="87" t="s">
        <v>213</v>
      </c>
    </row>
    <row r="46" spans="1:13" s="256" customFormat="1" ht="28.5" customHeight="1" x14ac:dyDescent="0.2">
      <c r="A46" s="254">
        <v>5</v>
      </c>
      <c r="B46" s="668" t="s">
        <v>222</v>
      </c>
      <c r="C46" s="668"/>
      <c r="D46" s="668"/>
      <c r="E46" s="668"/>
      <c r="F46" s="668"/>
      <c r="G46" s="255">
        <v>0</v>
      </c>
      <c r="H46" s="669" t="s">
        <v>223</v>
      </c>
      <c r="I46" s="669"/>
      <c r="J46" s="669"/>
      <c r="K46" s="669"/>
      <c r="L46" s="669"/>
    </row>
    <row r="47" spans="1:13" s="256" customFormat="1" ht="28.5" customHeight="1" x14ac:dyDescent="0.2">
      <c r="A47" s="254">
        <v>6</v>
      </c>
      <c r="B47" s="668" t="s">
        <v>222</v>
      </c>
      <c r="C47" s="668"/>
      <c r="D47" s="668"/>
      <c r="E47" s="668"/>
      <c r="F47" s="668"/>
      <c r="G47" s="255">
        <v>0</v>
      </c>
      <c r="H47" s="669" t="s">
        <v>223</v>
      </c>
      <c r="I47" s="669"/>
      <c r="J47" s="669"/>
      <c r="K47" s="669"/>
      <c r="L47" s="669"/>
    </row>
    <row r="48" spans="1:13" ht="18.75" customHeight="1" x14ac:dyDescent="0.25">
      <c r="A48" s="257"/>
      <c r="B48" s="258"/>
      <c r="C48" s="258"/>
      <c r="D48" s="258"/>
      <c r="E48" s="258"/>
      <c r="F48" s="258"/>
    </row>
    <row r="49" spans="1:18" s="199" customFormat="1" x14ac:dyDescent="0.2">
      <c r="A49" s="666" t="s">
        <v>224</v>
      </c>
      <c r="B49" s="666"/>
      <c r="C49" s="666"/>
      <c r="D49" s="666"/>
      <c r="E49" s="666"/>
      <c r="F49" s="666"/>
      <c r="G49" s="666"/>
    </row>
    <row r="50" spans="1:18" x14ac:dyDescent="0.25">
      <c r="A50" s="247">
        <v>1</v>
      </c>
      <c r="B50" s="663" t="s">
        <v>225</v>
      </c>
      <c r="C50" s="663"/>
      <c r="D50" s="663"/>
      <c r="E50" s="663"/>
      <c r="F50" s="663"/>
      <c r="G50" s="259">
        <v>0.03</v>
      </c>
      <c r="H50" s="243" t="s">
        <v>226</v>
      </c>
    </row>
    <row r="51" spans="1:18" x14ac:dyDescent="0.25">
      <c r="A51" s="247">
        <v>2</v>
      </c>
      <c r="B51" s="663" t="s">
        <v>227</v>
      </c>
      <c r="C51" s="663"/>
      <c r="D51" s="663"/>
      <c r="E51" s="663"/>
      <c r="F51" s="663"/>
      <c r="G51" s="259">
        <v>6.7900000000000002E-2</v>
      </c>
      <c r="H51" s="243" t="s">
        <v>226</v>
      </c>
    </row>
    <row r="52" spans="1:18" x14ac:dyDescent="0.25">
      <c r="A52" s="199"/>
      <c r="B52" s="260"/>
      <c r="C52" s="260"/>
      <c r="D52" s="260"/>
      <c r="E52" s="260"/>
      <c r="F52" s="260"/>
      <c r="G52" s="261"/>
      <c r="H52" s="243"/>
    </row>
    <row r="53" spans="1:18" x14ac:dyDescent="0.25">
      <c r="A53" s="666" t="s">
        <v>228</v>
      </c>
      <c r="B53" s="666"/>
      <c r="C53" s="666"/>
      <c r="D53" s="666"/>
      <c r="E53" s="666"/>
      <c r="F53" s="666"/>
      <c r="G53" s="666"/>
      <c r="H53" s="243"/>
    </row>
    <row r="54" spans="1:18" ht="14.45" customHeight="1" x14ac:dyDescent="0.25">
      <c r="A54" s="667" t="s">
        <v>229</v>
      </c>
      <c r="B54" s="667" t="str">
        <f>IF(F57="LUCRO REAL","INFORMAR ALÍQUOTAS MÉDIAS DE RECOLHIMENTO DOS ÚLTIMOS 12 (DOZE) MESES.",IF(F57="LUCRO PRESUMIDO","ALÍQUOTAS FIXAS - PIS: 0,65%; COFINS: 3,00%.",IF(F57="SIMPLES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54" s="667"/>
      <c r="D54" s="667"/>
      <c r="E54" s="667"/>
      <c r="F54" s="667"/>
      <c r="G54" s="667"/>
      <c r="H54" s="243"/>
    </row>
    <row r="55" spans="1:18" x14ac:dyDescent="0.25">
      <c r="A55" s="667"/>
      <c r="B55" s="667"/>
      <c r="C55" s="667"/>
      <c r="D55" s="667"/>
      <c r="E55" s="667"/>
      <c r="F55" s="667"/>
      <c r="G55" s="667"/>
      <c r="H55" s="243"/>
    </row>
    <row r="56" spans="1:18" x14ac:dyDescent="0.25">
      <c r="A56" s="667"/>
      <c r="B56" s="667"/>
      <c r="C56" s="667"/>
      <c r="D56" s="667"/>
      <c r="E56" s="667"/>
      <c r="F56" s="667"/>
      <c r="G56" s="667"/>
      <c r="H56" s="243"/>
    </row>
    <row r="57" spans="1:18" x14ac:dyDescent="0.25">
      <c r="A57" s="262">
        <v>1</v>
      </c>
      <c r="B57" s="664" t="s">
        <v>230</v>
      </c>
      <c r="C57" s="664"/>
      <c r="D57" s="664"/>
      <c r="E57" s="664"/>
      <c r="F57" s="665" t="s">
        <v>231</v>
      </c>
      <c r="G57" s="665"/>
    </row>
    <row r="58" spans="1:18" x14ac:dyDescent="0.25">
      <c r="A58" s="262">
        <v>2</v>
      </c>
      <c r="B58" s="663" t="s">
        <v>232</v>
      </c>
      <c r="C58" s="663"/>
      <c r="D58" s="663"/>
      <c r="E58" s="663"/>
      <c r="F58" s="663"/>
      <c r="G58" s="239">
        <v>7.5999999999999998E-2</v>
      </c>
    </row>
    <row r="59" spans="1:18" x14ac:dyDescent="0.25">
      <c r="A59" s="262">
        <v>3</v>
      </c>
      <c r="B59" s="663" t="s">
        <v>233</v>
      </c>
      <c r="C59" s="663"/>
      <c r="D59" s="663"/>
      <c r="E59" s="663"/>
      <c r="F59" s="663"/>
      <c r="G59" s="239">
        <v>1.6500000000000001E-2</v>
      </c>
    </row>
    <row r="60" spans="1:18" x14ac:dyDescent="0.25">
      <c r="A60" s="262">
        <v>4</v>
      </c>
      <c r="B60" s="663" t="s">
        <v>234</v>
      </c>
      <c r="C60" s="663"/>
      <c r="D60" s="663"/>
      <c r="E60" s="663"/>
      <c r="F60" s="663"/>
      <c r="G60" s="239">
        <v>0.05</v>
      </c>
    </row>
    <row r="61" spans="1:18" x14ac:dyDescent="0.25">
      <c r="A61" s="262">
        <v>5</v>
      </c>
      <c r="B61" s="662" t="s">
        <v>222</v>
      </c>
      <c r="C61" s="662"/>
      <c r="D61" s="662"/>
      <c r="E61" s="662"/>
      <c r="F61" s="662"/>
      <c r="G61" s="263">
        <v>0</v>
      </c>
    </row>
    <row r="62" spans="1:18" x14ac:dyDescent="0.25">
      <c r="A62" s="262">
        <v>6</v>
      </c>
      <c r="B62" s="663" t="s">
        <v>235</v>
      </c>
      <c r="C62" s="663"/>
      <c r="D62" s="663"/>
      <c r="E62" s="663"/>
      <c r="F62" s="663"/>
      <c r="G62" s="239">
        <f>SUM(G58:G61)</f>
        <v>0.14250000000000002</v>
      </c>
    </row>
    <row r="64" spans="1:18" ht="30" hidden="1" customHeight="1" x14ac:dyDescent="0.25">
      <c r="A64" s="655" t="s">
        <v>236</v>
      </c>
      <c r="B64" s="655"/>
      <c r="C64" s="655"/>
      <c r="D64" s="655"/>
      <c r="E64" s="655"/>
      <c r="F64" s="655"/>
      <c r="G64" s="655"/>
      <c r="H64" s="655"/>
      <c r="I64" s="655"/>
      <c r="J64" s="655"/>
      <c r="K64" s="265" t="s">
        <v>237</v>
      </c>
      <c r="L64" s="264" t="s">
        <v>238</v>
      </c>
      <c r="M64" s="655" t="s">
        <v>239</v>
      </c>
      <c r="N64" s="655"/>
      <c r="O64" s="655" t="s">
        <v>240</v>
      </c>
      <c r="P64" s="655"/>
      <c r="Q64" s="655" t="s">
        <v>241</v>
      </c>
      <c r="R64" s="655"/>
    </row>
    <row r="65" spans="1:18" hidden="1" x14ac:dyDescent="0.25">
      <c r="A65" s="266" t="s">
        <v>242</v>
      </c>
      <c r="B65" s="266"/>
      <c r="C65" s="658" t="s">
        <v>243</v>
      </c>
      <c r="D65" s="658"/>
      <c r="E65" s="658"/>
      <c r="F65" s="267">
        <f>IPCA!G27</f>
        <v>0</v>
      </c>
      <c r="G65" s="266" t="s">
        <v>244</v>
      </c>
      <c r="H65" s="266"/>
      <c r="I65" s="268"/>
      <c r="J65" s="268"/>
      <c r="K65" s="269" t="s">
        <v>245</v>
      </c>
      <c r="L65" s="269" t="s">
        <v>245</v>
      </c>
      <c r="M65" s="659">
        <f>ROUND((100%+F65),2)</f>
        <v>1</v>
      </c>
      <c r="N65" s="659"/>
      <c r="O65" s="660"/>
      <c r="P65" s="660"/>
      <c r="Q65" s="661"/>
      <c r="R65" s="661"/>
    </row>
    <row r="66" spans="1:18" hidden="1" x14ac:dyDescent="0.25">
      <c r="A66" s="266" t="s">
        <v>246</v>
      </c>
      <c r="B66" s="266"/>
      <c r="C66" s="658" t="s">
        <v>243</v>
      </c>
      <c r="D66" s="658"/>
      <c r="E66" s="658"/>
      <c r="F66" s="267">
        <f>IPCA!N27</f>
        <v>0</v>
      </c>
      <c r="G66" s="266" t="s">
        <v>244</v>
      </c>
      <c r="H66" s="266"/>
      <c r="I66" s="268"/>
      <c r="J66" s="268"/>
      <c r="K66" s="269" t="s">
        <v>245</v>
      </c>
      <c r="L66" s="269" t="s">
        <v>245</v>
      </c>
      <c r="M66" s="659">
        <f>ROUND((100%+F66),2)</f>
        <v>1</v>
      </c>
      <c r="N66" s="659"/>
      <c r="O66" s="660"/>
      <c r="P66" s="660"/>
      <c r="Q66" s="661"/>
      <c r="R66" s="661"/>
    </row>
    <row r="67" spans="1:18" hidden="1" x14ac:dyDescent="0.25">
      <c r="A67" s="266" t="s">
        <v>247</v>
      </c>
      <c r="B67" s="266"/>
      <c r="C67" s="658" t="s">
        <v>243</v>
      </c>
      <c r="D67" s="658"/>
      <c r="E67" s="658"/>
      <c r="F67" s="267">
        <f>IPCA!U27</f>
        <v>0</v>
      </c>
      <c r="G67" s="266" t="s">
        <v>244</v>
      </c>
      <c r="H67" s="266"/>
      <c r="I67" s="268"/>
      <c r="J67" s="268"/>
      <c r="K67" s="269" t="s">
        <v>245</v>
      </c>
      <c r="L67" s="269" t="s">
        <v>245</v>
      </c>
      <c r="M67" s="659">
        <f>ROUND((100%+F67),2)</f>
        <v>1</v>
      </c>
      <c r="N67" s="659"/>
      <c r="O67" s="660"/>
      <c r="P67" s="660"/>
      <c r="Q67" s="661"/>
      <c r="R67" s="661"/>
    </row>
    <row r="68" spans="1:18" hidden="1" x14ac:dyDescent="0.25">
      <c r="A68" s="266" t="s">
        <v>248</v>
      </c>
      <c r="B68" s="266"/>
      <c r="C68" s="658" t="s">
        <v>243</v>
      </c>
      <c r="D68" s="658"/>
      <c r="E68" s="658"/>
      <c r="F68" s="267">
        <f>IPCA!AB27</f>
        <v>0</v>
      </c>
      <c r="G68" s="266" t="s">
        <v>244</v>
      </c>
      <c r="H68" s="266"/>
      <c r="I68" s="268"/>
      <c r="J68" s="268"/>
      <c r="K68" s="269" t="s">
        <v>245</v>
      </c>
      <c r="L68" s="269" t="s">
        <v>245</v>
      </c>
      <c r="M68" s="659">
        <f>ROUND((100%+F68),2)</f>
        <v>1</v>
      </c>
      <c r="N68" s="659"/>
      <c r="O68" s="660"/>
      <c r="P68" s="660"/>
      <c r="Q68" s="661"/>
      <c r="R68" s="661"/>
    </row>
    <row r="69" spans="1:18" hidden="1" x14ac:dyDescent="0.25">
      <c r="A69" s="266" t="s">
        <v>249</v>
      </c>
      <c r="B69" s="266"/>
      <c r="C69" s="658" t="s">
        <v>243</v>
      </c>
      <c r="D69" s="658"/>
      <c r="E69" s="658"/>
      <c r="F69" s="267">
        <f>IPCA!AI27</f>
        <v>0</v>
      </c>
      <c r="G69" s="266" t="s">
        <v>244</v>
      </c>
      <c r="H69" s="266"/>
      <c r="I69" s="268"/>
      <c r="J69" s="268"/>
      <c r="K69" s="269" t="s">
        <v>245</v>
      </c>
      <c r="L69" s="269" t="s">
        <v>245</v>
      </c>
      <c r="M69" s="659">
        <f>ROUND((100%+F69),2)</f>
        <v>1</v>
      </c>
      <c r="N69" s="659"/>
      <c r="O69" s="660"/>
      <c r="P69" s="660"/>
      <c r="Q69" s="661"/>
      <c r="R69" s="661"/>
    </row>
    <row r="70" spans="1:18" hidden="1" x14ac:dyDescent="0.25">
      <c r="A70" s="270"/>
      <c r="B70" s="271"/>
      <c r="C70" s="271"/>
      <c r="D70" s="271"/>
      <c r="E70" s="271"/>
      <c r="F70" s="270"/>
      <c r="G70" s="270"/>
      <c r="H70" s="270"/>
      <c r="I70" s="270"/>
      <c r="J70" s="272"/>
    </row>
    <row r="71" spans="1:18" ht="34.5" hidden="1" customHeight="1" x14ac:dyDescent="0.25">
      <c r="A71" s="655" t="s">
        <v>250</v>
      </c>
      <c r="B71" s="655"/>
      <c r="C71" s="655"/>
      <c r="D71" s="656" t="s">
        <v>251</v>
      </c>
      <c r="E71" s="656"/>
      <c r="F71" s="270"/>
      <c r="G71" s="270"/>
      <c r="H71" s="270"/>
      <c r="I71" s="270"/>
      <c r="J71" s="272"/>
    </row>
    <row r="72" spans="1:18" hidden="1" x14ac:dyDescent="0.25">
      <c r="A72" s="655"/>
      <c r="B72" s="655"/>
      <c r="C72" s="655"/>
      <c r="D72" s="657" t="s">
        <v>252</v>
      </c>
      <c r="E72" s="657"/>
      <c r="F72" s="270"/>
      <c r="G72" s="270"/>
      <c r="H72" s="270"/>
      <c r="I72" s="270"/>
      <c r="J72" s="272"/>
    </row>
    <row r="73" spans="1:18" ht="28.9" hidden="1" customHeight="1" x14ac:dyDescent="0.25">
      <c r="A73" s="655" t="s">
        <v>253</v>
      </c>
      <c r="B73" s="655"/>
      <c r="C73" s="655"/>
      <c r="D73" s="656" t="s">
        <v>251</v>
      </c>
      <c r="E73" s="656"/>
      <c r="F73" s="274" t="s">
        <v>254</v>
      </c>
      <c r="G73" s="273" t="s">
        <v>255</v>
      </c>
      <c r="H73" s="273" t="s">
        <v>256</v>
      </c>
      <c r="I73" s="273" t="s">
        <v>257</v>
      </c>
      <c r="J73" s="273" t="s">
        <v>258</v>
      </c>
      <c r="K73" s="273" t="s">
        <v>259</v>
      </c>
      <c r="L73" s="87" t="s">
        <v>260</v>
      </c>
    </row>
    <row r="74" spans="1:18" hidden="1" x14ac:dyDescent="0.25">
      <c r="A74" s="655"/>
      <c r="B74" s="655"/>
      <c r="C74" s="655"/>
      <c r="D74" s="657" t="s">
        <v>252</v>
      </c>
      <c r="E74" s="657"/>
      <c r="F74" s="275">
        <v>1.55</v>
      </c>
      <c r="G74" s="276">
        <f>ROUND(IF(L65="SIM",F74*M65,F74),2)</f>
        <v>1.55</v>
      </c>
      <c r="H74" s="276">
        <f>ROUND(IF(L66="SIM",G74*M66,G74),2)</f>
        <v>1.55</v>
      </c>
      <c r="I74" s="276">
        <f>ROUND(IF(L67="SIM",H74*M67,H74),2)</f>
        <v>1.55</v>
      </c>
      <c r="J74" s="276">
        <f>ROUND(IF(L68="SIM",I74*M68,I74),2)</f>
        <v>1.55</v>
      </c>
      <c r="K74" s="276">
        <f>ROUND(IF(L69="SIM",J74*M69,J74),2)</f>
        <v>1.55</v>
      </c>
      <c r="L74" s="87">
        <f>IF(D74="INICIAL",F74,IF(D74="1º IPCA",G74,IF(D74="2º IPCA",H74,IF(D74="3º IPCA",I74,IF(D74="4º IPCA",J74,IF(D74="5º IPCA",K74,))))))</f>
        <v>1.55</v>
      </c>
    </row>
    <row r="75" spans="1:18" hidden="1" x14ac:dyDescent="0.25">
      <c r="A75" s="270"/>
      <c r="B75" s="270"/>
      <c r="C75" s="270"/>
      <c r="D75" s="270"/>
      <c r="E75" s="271"/>
      <c r="F75" s="270"/>
      <c r="G75" s="270"/>
      <c r="H75" s="270"/>
      <c r="I75" s="270"/>
      <c r="J75" s="272"/>
    </row>
    <row r="76" spans="1:18" ht="15.75" hidden="1" customHeight="1" x14ac:dyDescent="0.25">
      <c r="A76" s="654" t="s">
        <v>261</v>
      </c>
      <c r="B76" s="654"/>
      <c r="C76" s="654"/>
      <c r="D76" s="654"/>
      <c r="E76" s="654"/>
      <c r="F76" s="654"/>
      <c r="G76" s="654"/>
      <c r="H76" s="654"/>
      <c r="I76" s="270"/>
      <c r="J76" s="272"/>
    </row>
    <row r="77" spans="1:18" hidden="1" x14ac:dyDescent="0.25">
      <c r="A77" s="651" t="s">
        <v>262</v>
      </c>
      <c r="B77" s="651"/>
      <c r="C77" s="651"/>
      <c r="D77" s="651"/>
      <c r="E77" s="651"/>
      <c r="F77" s="277" t="s">
        <v>263</v>
      </c>
      <c r="G77" s="278"/>
      <c r="H77" s="279"/>
      <c r="I77" s="270"/>
      <c r="J77" s="272"/>
    </row>
    <row r="78" spans="1:18" ht="42.75" hidden="1" customHeight="1" x14ac:dyDescent="0.25">
      <c r="A78" s="652" t="s">
        <v>264</v>
      </c>
      <c r="B78" s="652"/>
      <c r="C78" s="652"/>
      <c r="D78" s="652"/>
      <c r="E78" s="652"/>
      <c r="F78" s="652"/>
      <c r="G78" s="652"/>
      <c r="H78" s="652"/>
      <c r="I78" s="270"/>
      <c r="J78" s="272"/>
    </row>
    <row r="79" spans="1:18" hidden="1" x14ac:dyDescent="0.25">
      <c r="A79" s="651" t="s">
        <v>265</v>
      </c>
      <c r="B79" s="651"/>
      <c r="C79" s="651"/>
      <c r="D79" s="651"/>
      <c r="E79" s="651"/>
      <c r="F79" s="277" t="s">
        <v>263</v>
      </c>
      <c r="G79" s="278"/>
      <c r="H79" s="279"/>
      <c r="I79" s="270"/>
      <c r="J79" s="272"/>
    </row>
    <row r="80" spans="1:18" ht="42.75" hidden="1" customHeight="1" x14ac:dyDescent="0.25">
      <c r="A80" s="652" t="s">
        <v>266</v>
      </c>
      <c r="B80" s="652"/>
      <c r="C80" s="652"/>
      <c r="D80" s="652"/>
      <c r="E80" s="652"/>
      <c r="F80" s="652"/>
      <c r="G80" s="652"/>
      <c r="H80" s="652"/>
      <c r="I80" s="270"/>
      <c r="J80" s="272"/>
    </row>
    <row r="81" spans="1:10" hidden="1" x14ac:dyDescent="0.25">
      <c r="A81" s="651" t="s">
        <v>267</v>
      </c>
      <c r="B81" s="651"/>
      <c r="C81" s="651"/>
      <c r="D81" s="651"/>
      <c r="E81" s="651"/>
      <c r="F81" s="277" t="s">
        <v>263</v>
      </c>
      <c r="G81" s="278"/>
      <c r="H81" s="279"/>
      <c r="I81" s="270"/>
      <c r="J81" s="272"/>
    </row>
    <row r="82" spans="1:10" ht="42.75" hidden="1" customHeight="1" x14ac:dyDescent="0.25">
      <c r="A82" s="652" t="s">
        <v>268</v>
      </c>
      <c r="B82" s="652"/>
      <c r="C82" s="652"/>
      <c r="D82" s="652"/>
      <c r="E82" s="652"/>
      <c r="F82" s="652"/>
      <c r="G82" s="652"/>
      <c r="H82" s="652"/>
      <c r="I82" s="270"/>
      <c r="J82" s="272"/>
    </row>
    <row r="83" spans="1:10" hidden="1" x14ac:dyDescent="0.25">
      <c r="A83" s="651" t="s">
        <v>269</v>
      </c>
      <c r="B83" s="651"/>
      <c r="C83" s="651"/>
      <c r="D83" s="651"/>
      <c r="E83" s="651"/>
      <c r="F83" s="277" t="s">
        <v>263</v>
      </c>
      <c r="G83" s="278"/>
      <c r="H83" s="280"/>
      <c r="I83" s="270"/>
      <c r="J83" s="272"/>
    </row>
    <row r="84" spans="1:10" ht="42.75" hidden="1" customHeight="1" x14ac:dyDescent="0.25">
      <c r="A84" s="281" t="s">
        <v>270</v>
      </c>
      <c r="B84" s="653"/>
      <c r="C84" s="653"/>
      <c r="D84" s="653"/>
      <c r="E84" s="653"/>
      <c r="F84" s="653"/>
      <c r="G84" s="653"/>
      <c r="H84" s="653"/>
      <c r="I84" s="270"/>
      <c r="J84" s="272"/>
    </row>
    <row r="85" spans="1:10" x14ac:dyDescent="0.25">
      <c r="A85" s="270"/>
      <c r="B85" s="270"/>
      <c r="C85" s="270"/>
      <c r="D85" s="270"/>
      <c r="E85" s="270"/>
      <c r="F85" s="270"/>
      <c r="G85" s="270"/>
      <c r="H85" s="270"/>
      <c r="I85" s="270"/>
      <c r="J85" s="272"/>
    </row>
  </sheetData>
  <sheetProtection password="C494" sheet="1" objects="1" scenarios="1"/>
  <mergeCells count="99">
    <mergeCell ref="A4:I4"/>
    <mergeCell ref="A5:I5"/>
    <mergeCell ref="A6:D6"/>
    <mergeCell ref="E6:I6"/>
    <mergeCell ref="A8:A18"/>
    <mergeCell ref="A20:G20"/>
    <mergeCell ref="B21:D21"/>
    <mergeCell ref="E21:G21"/>
    <mergeCell ref="H21:L21"/>
    <mergeCell ref="B22:D22"/>
    <mergeCell ref="E22:G22"/>
    <mergeCell ref="H22:L22"/>
    <mergeCell ref="B23:D23"/>
    <mergeCell ref="E23:G23"/>
    <mergeCell ref="H23:L23"/>
    <mergeCell ref="B24:D24"/>
    <mergeCell ref="E24:G24"/>
    <mergeCell ref="H24:L24"/>
    <mergeCell ref="B25:D25"/>
    <mergeCell ref="E25:G25"/>
    <mergeCell ref="H25:L25"/>
    <mergeCell ref="A27:G27"/>
    <mergeCell ref="B28:F28"/>
    <mergeCell ref="B30:F30"/>
    <mergeCell ref="B31:F31"/>
    <mergeCell ref="B32:F32"/>
    <mergeCell ref="A34:G34"/>
    <mergeCell ref="B35:F35"/>
    <mergeCell ref="B36:F36"/>
    <mergeCell ref="A37:A39"/>
    <mergeCell ref="B37:B39"/>
    <mergeCell ref="C37:F37"/>
    <mergeCell ref="C38:F38"/>
    <mergeCell ref="C39:F39"/>
    <mergeCell ref="A40:A45"/>
    <mergeCell ref="B40:B45"/>
    <mergeCell ref="C40:F40"/>
    <mergeCell ref="C41:F41"/>
    <mergeCell ref="C42:F42"/>
    <mergeCell ref="C43:F43"/>
    <mergeCell ref="C44:F44"/>
    <mergeCell ref="C45:F45"/>
    <mergeCell ref="B46:F46"/>
    <mergeCell ref="H46:L46"/>
    <mergeCell ref="B47:F47"/>
    <mergeCell ref="H47:L47"/>
    <mergeCell ref="A49:G49"/>
    <mergeCell ref="B50:F50"/>
    <mergeCell ref="B51:F51"/>
    <mergeCell ref="A53:G53"/>
    <mergeCell ref="A54:A56"/>
    <mergeCell ref="B54:G56"/>
    <mergeCell ref="B57:E57"/>
    <mergeCell ref="F57:G57"/>
    <mergeCell ref="B58:F58"/>
    <mergeCell ref="B59:F59"/>
    <mergeCell ref="B60:F60"/>
    <mergeCell ref="B61:F61"/>
    <mergeCell ref="B62:F62"/>
    <mergeCell ref="A64:J64"/>
    <mergeCell ref="M64:N64"/>
    <mergeCell ref="O64:P64"/>
    <mergeCell ref="Q64:R64"/>
    <mergeCell ref="C65:E65"/>
    <mergeCell ref="M65:N65"/>
    <mergeCell ref="O65:P65"/>
    <mergeCell ref="Q65:R65"/>
    <mergeCell ref="C66:E66"/>
    <mergeCell ref="M66:N66"/>
    <mergeCell ref="O66:P66"/>
    <mergeCell ref="Q66:R66"/>
    <mergeCell ref="C67:E67"/>
    <mergeCell ref="M67:N67"/>
    <mergeCell ref="O67:P67"/>
    <mergeCell ref="Q67:R67"/>
    <mergeCell ref="C68:E68"/>
    <mergeCell ref="M68:N68"/>
    <mergeCell ref="O68:P68"/>
    <mergeCell ref="Q68:R68"/>
    <mergeCell ref="C69:E69"/>
    <mergeCell ref="M69:N69"/>
    <mergeCell ref="O69:P69"/>
    <mergeCell ref="Q69:R69"/>
    <mergeCell ref="J8:L18"/>
    <mergeCell ref="A81:E81"/>
    <mergeCell ref="A82:H82"/>
    <mergeCell ref="A83:E83"/>
    <mergeCell ref="B84:H84"/>
    <mergeCell ref="A76:H76"/>
    <mergeCell ref="A77:E77"/>
    <mergeCell ref="A78:H78"/>
    <mergeCell ref="A79:E79"/>
    <mergeCell ref="A80:H80"/>
    <mergeCell ref="A71:C72"/>
    <mergeCell ref="D71:E71"/>
    <mergeCell ref="D72:E72"/>
    <mergeCell ref="A73:C74"/>
    <mergeCell ref="D73:E73"/>
    <mergeCell ref="D74:E74"/>
  </mergeCells>
  <dataValidations count="3">
    <dataValidation type="list" allowBlank="1" showInputMessage="1" showErrorMessage="1" sqref="F57" xr:uid="{00000000-0002-0000-0300-000000000000}">
      <formula1>"LUCRO REAL,LUCRO PRESUMIDO,SIMPLES NACIONAL,OUTRO"</formula1>
      <formula2>0</formula2>
    </dataValidation>
    <dataValidation type="list" allowBlank="1" showInputMessage="1" showErrorMessage="1" sqref="D72 D74" xr:uid="{00000000-0002-0000-0300-000001000000}">
      <formula1>"INICIAL,1º IPCA,2º IPCA,3º IPCA,4º IPCA,5º IPCA"</formula1>
      <formula2>0</formula2>
    </dataValidation>
    <dataValidation type="list" allowBlank="1" showInputMessage="1" showErrorMessage="1" sqref="K65:L69" xr:uid="{00000000-0002-0000-0300-000002000000}">
      <formula1>"SIM,NÃO"</formula1>
      <formula2>0</formula2>
    </dataValidation>
  </dataValidations>
  <pageMargins left="0.78749999999999998" right="0.78749999999999998" top="1.0631944444444399" bottom="1.0631944444444399" header="0.78749999999999998" footer="0.78749999999999998"/>
  <pageSetup paperSize="9" scale="50" orientation="portrait" horizontalDpi="300" verticalDpi="300" r:id="rId1"/>
  <headerFooter>
    <oddHeader>&amp;C&amp;12&amp;A</oddHeader>
    <oddFooter>&amp;C&amp;12Página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58"/>
  <sheetViews>
    <sheetView view="pageBreakPreview" topLeftCell="A27" zoomScaleNormal="100" workbookViewId="0">
      <selection activeCell="C32" sqref="C32"/>
    </sheetView>
  </sheetViews>
  <sheetFormatPr defaultColWidth="9.1640625" defaultRowHeight="12.75" x14ac:dyDescent="0.2"/>
  <cols>
    <col min="1" max="1" width="18.83203125" style="89" customWidth="1"/>
    <col min="2" max="2" width="54.83203125" style="89" customWidth="1"/>
    <col min="3" max="3" width="34.83203125" style="89" customWidth="1"/>
    <col min="4" max="4" width="9.33203125" style="89" customWidth="1"/>
    <col min="5" max="5" width="48.5" style="89" customWidth="1"/>
    <col min="6" max="8" width="12.5" style="89" customWidth="1"/>
    <col min="9" max="257" width="9.33203125" style="89" customWidth="1"/>
  </cols>
  <sheetData>
    <row r="1" spans="1:6" ht="16.5" customHeight="1" x14ac:dyDescent="0.2">
      <c r="A1" s="282"/>
      <c r="B1" s="283" t="s">
        <v>0</v>
      </c>
      <c r="C1" s="284"/>
    </row>
    <row r="2" spans="1:6" ht="16.5" customHeight="1" x14ac:dyDescent="0.2">
      <c r="A2" s="285"/>
      <c r="B2" s="286" t="s">
        <v>1</v>
      </c>
      <c r="C2" s="287"/>
    </row>
    <row r="3" spans="1:6" ht="16.5" customHeight="1" x14ac:dyDescent="0.2">
      <c r="A3" s="285"/>
      <c r="B3" s="286" t="s">
        <v>2</v>
      </c>
      <c r="C3" s="287"/>
    </row>
    <row r="4" spans="1:6" ht="30" customHeight="1" x14ac:dyDescent="0.2">
      <c r="A4" s="688"/>
      <c r="B4" s="688"/>
      <c r="C4" s="688"/>
    </row>
    <row r="5" spans="1:6" ht="16.5" customHeight="1" x14ac:dyDescent="0.2">
      <c r="A5" s="689" t="s">
        <v>271</v>
      </c>
      <c r="B5" s="689"/>
      <c r="C5" s="689"/>
    </row>
    <row r="6" spans="1:6" ht="16.5" customHeight="1" x14ac:dyDescent="0.2">
      <c r="A6" s="288" t="s">
        <v>272</v>
      </c>
      <c r="B6" s="289" t="s">
        <v>273</v>
      </c>
      <c r="C6" s="290" t="s">
        <v>274</v>
      </c>
    </row>
    <row r="7" spans="1:6" ht="16.5" customHeight="1" x14ac:dyDescent="0.2">
      <c r="A7" s="291" t="s">
        <v>275</v>
      </c>
      <c r="B7" s="684" t="s">
        <v>276</v>
      </c>
      <c r="C7" s="684"/>
    </row>
    <row r="8" spans="1:6" ht="16.5" customHeight="1" x14ac:dyDescent="0.2">
      <c r="A8" s="292">
        <v>1</v>
      </c>
      <c r="B8" s="293" t="s">
        <v>277</v>
      </c>
      <c r="C8" s="294">
        <v>0.2</v>
      </c>
    </row>
    <row r="9" spans="1:6" ht="16.5" customHeight="1" x14ac:dyDescent="0.2">
      <c r="A9" s="292">
        <v>2</v>
      </c>
      <c r="B9" s="293" t="s">
        <v>278</v>
      </c>
      <c r="C9" s="294">
        <v>1.4999999999999999E-2</v>
      </c>
    </row>
    <row r="10" spans="1:6" ht="16.5" customHeight="1" x14ac:dyDescent="0.2">
      <c r="A10" s="292">
        <v>3</v>
      </c>
      <c r="B10" s="293" t="s">
        <v>279</v>
      </c>
      <c r="C10" s="294">
        <v>0.01</v>
      </c>
    </row>
    <row r="11" spans="1:6" ht="16.5" customHeight="1" x14ac:dyDescent="0.2">
      <c r="A11" s="292">
        <v>4</v>
      </c>
      <c r="B11" s="293" t="s">
        <v>280</v>
      </c>
      <c r="C11" s="294">
        <v>2E-3</v>
      </c>
    </row>
    <row r="12" spans="1:6" ht="16.5" customHeight="1" x14ac:dyDescent="0.2">
      <c r="A12" s="292">
        <v>5</v>
      </c>
      <c r="B12" s="293" t="s">
        <v>281</v>
      </c>
      <c r="C12" s="294">
        <v>2.5000000000000001E-2</v>
      </c>
    </row>
    <row r="13" spans="1:6" ht="16.5" customHeight="1" x14ac:dyDescent="0.2">
      <c r="A13" s="292">
        <v>6</v>
      </c>
      <c r="B13" s="293" t="s">
        <v>282</v>
      </c>
      <c r="C13" s="294">
        <v>0.08</v>
      </c>
    </row>
    <row r="14" spans="1:6" ht="16.5" customHeight="1" x14ac:dyDescent="0.2">
      <c r="A14" s="292">
        <v>7</v>
      </c>
      <c r="B14" s="293" t="s">
        <v>283</v>
      </c>
      <c r="C14" s="295">
        <f>Dados!$G$30</f>
        <v>0.06</v>
      </c>
      <c r="D14" s="296"/>
      <c r="E14" s="297"/>
      <c r="F14" s="297"/>
    </row>
    <row r="15" spans="1:6" ht="16.5" customHeight="1" x14ac:dyDescent="0.2">
      <c r="A15" s="292">
        <v>8</v>
      </c>
      <c r="B15" s="293" t="s">
        <v>284</v>
      </c>
      <c r="C15" s="294">
        <v>6.0000000000000001E-3</v>
      </c>
    </row>
    <row r="16" spans="1:6" ht="16.5" customHeight="1" x14ac:dyDescent="0.2">
      <c r="A16" s="690" t="s">
        <v>285</v>
      </c>
      <c r="B16" s="690"/>
      <c r="C16" s="298">
        <f>SUM(C8:C15)</f>
        <v>0.39800000000000008</v>
      </c>
    </row>
    <row r="17" spans="1:5" ht="16.5" customHeight="1" x14ac:dyDescent="0.2">
      <c r="A17" s="683" t="s">
        <v>286</v>
      </c>
      <c r="B17" s="683"/>
      <c r="C17" s="683"/>
    </row>
    <row r="18" spans="1:5" ht="16.5" customHeight="1" x14ac:dyDescent="0.2">
      <c r="A18" s="291" t="s">
        <v>287</v>
      </c>
      <c r="B18" s="299" t="s">
        <v>288</v>
      </c>
      <c r="C18" s="300"/>
    </row>
    <row r="19" spans="1:5" ht="16.5" customHeight="1" x14ac:dyDescent="0.2">
      <c r="A19" s="301">
        <v>9</v>
      </c>
      <c r="B19" s="293" t="s">
        <v>289</v>
      </c>
      <c r="C19" s="302">
        <f>ROUND((100%/11),4)</f>
        <v>9.0899999999999995E-2</v>
      </c>
    </row>
    <row r="20" spans="1:5" ht="16.5" customHeight="1" x14ac:dyDescent="0.2">
      <c r="A20" s="301">
        <v>10</v>
      </c>
      <c r="B20" s="293" t="s">
        <v>290</v>
      </c>
      <c r="C20" s="302">
        <f>ROUND((C19/3),4)</f>
        <v>3.0300000000000001E-2</v>
      </c>
    </row>
    <row r="21" spans="1:5" ht="16.5" customHeight="1" x14ac:dyDescent="0.2">
      <c r="A21" s="686" t="s">
        <v>291</v>
      </c>
      <c r="B21" s="686"/>
      <c r="C21" s="303">
        <f>SUM(C19:C20)</f>
        <v>0.1212</v>
      </c>
    </row>
    <row r="22" spans="1:5" ht="16.5" customHeight="1" x14ac:dyDescent="0.2">
      <c r="A22" s="687" t="s">
        <v>292</v>
      </c>
      <c r="B22" s="687"/>
      <c r="C22" s="302">
        <f>(C16*C21)</f>
        <v>4.8237600000000012E-2</v>
      </c>
    </row>
    <row r="23" spans="1:5" ht="16.5" customHeight="1" x14ac:dyDescent="0.2">
      <c r="A23" s="686" t="s">
        <v>293</v>
      </c>
      <c r="B23" s="686"/>
      <c r="C23" s="304">
        <f>SUM(C21:C22)</f>
        <v>0.16943760000000002</v>
      </c>
    </row>
    <row r="24" spans="1:5" ht="16.5" customHeight="1" x14ac:dyDescent="0.2">
      <c r="A24" s="291" t="s">
        <v>294</v>
      </c>
      <c r="B24" s="684" t="s">
        <v>295</v>
      </c>
      <c r="C24" s="684"/>
    </row>
    <row r="25" spans="1:5" ht="16.5" customHeight="1" x14ac:dyDescent="0.2">
      <c r="A25" s="301">
        <v>11</v>
      </c>
      <c r="B25" s="305" t="s">
        <v>296</v>
      </c>
      <c r="C25" s="294">
        <f>ROUND((0.0144*0.1*0.4509*6/12),4)</f>
        <v>2.9999999999999997E-4</v>
      </c>
    </row>
    <row r="26" spans="1:5" ht="16.5" customHeight="1" x14ac:dyDescent="0.2">
      <c r="A26" s="687" t="s">
        <v>297</v>
      </c>
      <c r="B26" s="687"/>
      <c r="C26" s="306">
        <f>C16*C25</f>
        <v>1.1940000000000002E-4</v>
      </c>
    </row>
    <row r="27" spans="1:5" ht="16.5" customHeight="1" x14ac:dyDescent="0.2">
      <c r="A27" s="686" t="s">
        <v>298</v>
      </c>
      <c r="B27" s="686"/>
      <c r="C27" s="307">
        <f>SUM(C25:C26)</f>
        <v>4.194E-4</v>
      </c>
    </row>
    <row r="28" spans="1:5" ht="16.5" customHeight="1" x14ac:dyDescent="0.2">
      <c r="A28" s="291" t="s">
        <v>299</v>
      </c>
      <c r="B28" s="684" t="s">
        <v>300</v>
      </c>
      <c r="C28" s="684"/>
    </row>
    <row r="29" spans="1:5" ht="16.5" customHeight="1" x14ac:dyDescent="0.2">
      <c r="A29" s="301">
        <v>12</v>
      </c>
      <c r="B29" s="305" t="s">
        <v>301</v>
      </c>
      <c r="C29" s="294">
        <f>ROUND((100%/12)*5%,4)</f>
        <v>4.1999999999999997E-3</v>
      </c>
    </row>
    <row r="30" spans="1:5" ht="16.5" customHeight="1" x14ac:dyDescent="0.2">
      <c r="A30" s="678" t="s">
        <v>302</v>
      </c>
      <c r="B30" s="678"/>
      <c r="C30" s="302">
        <f>C13*C29</f>
        <v>3.3599999999999998E-4</v>
      </c>
    </row>
    <row r="31" spans="1:5" ht="16.5" customHeight="1" x14ac:dyDescent="0.2">
      <c r="A31" s="301">
        <v>13</v>
      </c>
      <c r="B31" s="293" t="s">
        <v>303</v>
      </c>
      <c r="C31" s="308">
        <f>ROUND((0.08*0.4*0.9*(1+1/11+1/11+(1/3*1/11))),5)</f>
        <v>3.4909999999999997E-2</v>
      </c>
    </row>
    <row r="32" spans="1:5" ht="16.5" customHeight="1" x14ac:dyDescent="0.2">
      <c r="A32" s="301">
        <v>14</v>
      </c>
      <c r="B32" s="305" t="s">
        <v>304</v>
      </c>
      <c r="C32" s="294">
        <f>ROUND((100%/30)*7/12,4)</f>
        <v>1.9400000000000001E-2</v>
      </c>
      <c r="E32" s="309"/>
    </row>
    <row r="33" spans="1:8" ht="16.5" customHeight="1" x14ac:dyDescent="0.2">
      <c r="A33" s="678" t="s">
        <v>305</v>
      </c>
      <c r="B33" s="678"/>
      <c r="C33" s="302">
        <f>ROUND((C32*C16),4)</f>
        <v>7.7000000000000002E-3</v>
      </c>
    </row>
    <row r="34" spans="1:8" ht="16.5" customHeight="1" x14ac:dyDescent="0.2">
      <c r="A34" s="301">
        <v>15</v>
      </c>
      <c r="B34" s="305" t="s">
        <v>306</v>
      </c>
      <c r="C34" s="302">
        <f>(0.4*C13/100)</f>
        <v>3.2000000000000003E-4</v>
      </c>
    </row>
    <row r="35" spans="1:8" ht="16.5" customHeight="1" x14ac:dyDescent="0.2">
      <c r="A35" s="682" t="s">
        <v>307</v>
      </c>
      <c r="B35" s="682"/>
      <c r="C35" s="303">
        <f>SUM(C29:C34)</f>
        <v>6.6865999999999995E-2</v>
      </c>
    </row>
    <row r="36" spans="1:8" ht="16.5" customHeight="1" x14ac:dyDescent="0.2">
      <c r="A36" s="291" t="s">
        <v>308</v>
      </c>
      <c r="B36" s="684" t="s">
        <v>309</v>
      </c>
      <c r="C36" s="684"/>
    </row>
    <row r="37" spans="1:8" ht="16.5" customHeight="1" x14ac:dyDescent="0.2">
      <c r="A37" s="301">
        <v>16</v>
      </c>
      <c r="B37" s="305" t="s">
        <v>310</v>
      </c>
      <c r="C37" s="302">
        <f>ROUND((100%/11),4)</f>
        <v>9.0899999999999995E-2</v>
      </c>
    </row>
    <row r="38" spans="1:8" ht="16.5" customHeight="1" x14ac:dyDescent="0.2">
      <c r="A38" s="301">
        <v>17</v>
      </c>
      <c r="B38" s="305" t="s">
        <v>311</v>
      </c>
      <c r="C38" s="294">
        <f>ROUND((5.96/30/12),4)</f>
        <v>1.66E-2</v>
      </c>
    </row>
    <row r="39" spans="1:8" ht="16.5" customHeight="1" x14ac:dyDescent="0.2">
      <c r="A39" s="301">
        <v>18</v>
      </c>
      <c r="B39" s="305" t="s">
        <v>312</v>
      </c>
      <c r="C39" s="294">
        <f>ROUND((5/30/12)*0.022,4)</f>
        <v>2.9999999999999997E-4</v>
      </c>
    </row>
    <row r="40" spans="1:8" ht="16.5" customHeight="1" x14ac:dyDescent="0.2">
      <c r="A40" s="301">
        <v>19</v>
      </c>
      <c r="B40" s="305" t="s">
        <v>313</v>
      </c>
      <c r="C40" s="294">
        <f>ROUND((1/30/12),4)</f>
        <v>2.8E-3</v>
      </c>
      <c r="D40" s="310"/>
    </row>
    <row r="41" spans="1:8" ht="16.5" customHeight="1" x14ac:dyDescent="0.2">
      <c r="A41" s="301">
        <v>20</v>
      </c>
      <c r="B41" s="305" t="s">
        <v>314</v>
      </c>
      <c r="C41" s="294">
        <f>ROUND((15/30/12*0.0078),4)</f>
        <v>2.9999999999999997E-4</v>
      </c>
    </row>
    <row r="42" spans="1:8" ht="16.5" customHeight="1" x14ac:dyDescent="0.2">
      <c r="A42" s="682" t="s">
        <v>291</v>
      </c>
      <c r="B42" s="682"/>
      <c r="C42" s="304">
        <f>SUM(C37:C41)</f>
        <v>0.11089999999999998</v>
      </c>
    </row>
    <row r="43" spans="1:8" ht="16.5" customHeight="1" x14ac:dyDescent="0.2">
      <c r="A43" s="678" t="s">
        <v>315</v>
      </c>
      <c r="B43" s="678"/>
      <c r="C43" s="302">
        <f>C16*C42</f>
        <v>4.4138200000000002E-2</v>
      </c>
      <c r="E43" s="685" t="s">
        <v>316</v>
      </c>
      <c r="F43" s="685"/>
      <c r="G43" s="685"/>
      <c r="H43" s="685"/>
    </row>
    <row r="44" spans="1:8" ht="16.5" customHeight="1" x14ac:dyDescent="0.2">
      <c r="A44" s="682" t="s">
        <v>317</v>
      </c>
      <c r="B44" s="682"/>
      <c r="C44" s="304">
        <f>SUM(C42:C43)</f>
        <v>0.15503819999999999</v>
      </c>
      <c r="E44" s="685"/>
      <c r="F44" s="685"/>
      <c r="G44" s="685"/>
      <c r="H44" s="685"/>
    </row>
    <row r="45" spans="1:8" ht="16.5" customHeight="1" x14ac:dyDescent="0.2">
      <c r="A45" s="312" t="s">
        <v>318</v>
      </c>
      <c r="B45" s="313" t="s">
        <v>319</v>
      </c>
      <c r="C45" s="304"/>
      <c r="E45" s="681" t="s">
        <v>320</v>
      </c>
      <c r="F45" s="681" t="s">
        <v>321</v>
      </c>
      <c r="G45" s="681"/>
      <c r="H45" s="681"/>
    </row>
    <row r="46" spans="1:8" ht="16.5" customHeight="1" x14ac:dyDescent="0.2">
      <c r="A46" s="301">
        <v>21</v>
      </c>
      <c r="B46" s="305" t="s">
        <v>322</v>
      </c>
      <c r="C46" s="294">
        <v>8.0000000000000004E-4</v>
      </c>
      <c r="E46" s="681"/>
      <c r="F46" s="681" t="s">
        <v>323</v>
      </c>
      <c r="G46" s="681"/>
      <c r="H46" s="681"/>
    </row>
    <row r="47" spans="1:8" ht="16.5" customHeight="1" x14ac:dyDescent="0.2">
      <c r="A47" s="682" t="s">
        <v>324</v>
      </c>
      <c r="B47" s="682"/>
      <c r="C47" s="304">
        <f>SUM(C46)</f>
        <v>8.0000000000000004E-4</v>
      </c>
      <c r="E47" s="314" t="s">
        <v>325</v>
      </c>
      <c r="F47" s="311" t="s">
        <v>326</v>
      </c>
      <c r="G47" s="311" t="s">
        <v>327</v>
      </c>
      <c r="H47" s="315" t="s">
        <v>328</v>
      </c>
    </row>
    <row r="48" spans="1:8" ht="16.5" customHeight="1" x14ac:dyDescent="0.2">
      <c r="A48" s="683" t="s">
        <v>329</v>
      </c>
      <c r="B48" s="683"/>
      <c r="C48" s="683"/>
      <c r="E48" s="314" t="s">
        <v>330</v>
      </c>
      <c r="F48" s="316">
        <v>0.34300000000000003</v>
      </c>
      <c r="G48" s="316">
        <v>0.39800000000000002</v>
      </c>
      <c r="H48" s="317">
        <f>C16</f>
        <v>0.39800000000000008</v>
      </c>
    </row>
    <row r="49" spans="1:8" ht="16.5" customHeight="1" x14ac:dyDescent="0.2">
      <c r="A49" s="678" t="s">
        <v>276</v>
      </c>
      <c r="B49" s="678"/>
      <c r="C49" s="318">
        <f>ROUND(C16,4)</f>
        <v>0.39800000000000002</v>
      </c>
      <c r="E49" s="314" t="s">
        <v>331</v>
      </c>
      <c r="F49" s="316">
        <v>5.0000000000000001E-3</v>
      </c>
      <c r="G49" s="316">
        <v>0.06</v>
      </c>
      <c r="H49" s="317">
        <f>C15</f>
        <v>6.0000000000000001E-3</v>
      </c>
    </row>
    <row r="50" spans="1:8" ht="16.5" customHeight="1" x14ac:dyDescent="0.2">
      <c r="A50" s="678" t="s">
        <v>332</v>
      </c>
      <c r="B50" s="678"/>
      <c r="C50" s="318">
        <f>ROUND(C23,4)</f>
        <v>0.1694</v>
      </c>
      <c r="E50" s="319" t="s">
        <v>333</v>
      </c>
      <c r="F50" s="320">
        <f>C19</f>
        <v>9.0899999999999995E-2</v>
      </c>
      <c r="G50" s="320">
        <f t="shared" ref="G50:H52" si="0">F50</f>
        <v>9.0899999999999995E-2</v>
      </c>
      <c r="H50" s="320">
        <f t="shared" si="0"/>
        <v>9.0899999999999995E-2</v>
      </c>
    </row>
    <row r="51" spans="1:8" ht="16.5" customHeight="1" x14ac:dyDescent="0.2">
      <c r="A51" s="678" t="s">
        <v>295</v>
      </c>
      <c r="B51" s="678"/>
      <c r="C51" s="318">
        <f>ROUND(C27,4)</f>
        <v>4.0000000000000002E-4</v>
      </c>
      <c r="E51" s="319" t="s">
        <v>334</v>
      </c>
      <c r="F51" s="320">
        <f>C37</f>
        <v>9.0899999999999995E-2</v>
      </c>
      <c r="G51" s="320">
        <f t="shared" si="0"/>
        <v>9.0899999999999995E-2</v>
      </c>
      <c r="H51" s="320">
        <f t="shared" si="0"/>
        <v>9.0899999999999995E-2</v>
      </c>
    </row>
    <row r="52" spans="1:8" ht="16.5" customHeight="1" x14ac:dyDescent="0.2">
      <c r="A52" s="678" t="s">
        <v>335</v>
      </c>
      <c r="B52" s="678"/>
      <c r="C52" s="318">
        <f>ROUND(C35,4)</f>
        <v>6.6900000000000001E-2</v>
      </c>
      <c r="E52" s="319" t="s">
        <v>336</v>
      </c>
      <c r="F52" s="320">
        <f>C20</f>
        <v>3.0300000000000001E-2</v>
      </c>
      <c r="G52" s="320">
        <f t="shared" si="0"/>
        <v>3.0300000000000001E-2</v>
      </c>
      <c r="H52" s="320">
        <f t="shared" si="0"/>
        <v>3.0300000000000001E-2</v>
      </c>
    </row>
    <row r="53" spans="1:8" ht="16.5" customHeight="1" x14ac:dyDescent="0.2">
      <c r="A53" s="678" t="s">
        <v>337</v>
      </c>
      <c r="B53" s="678"/>
      <c r="C53" s="318">
        <f>ROUND(C44,4)</f>
        <v>0.155</v>
      </c>
      <c r="E53" s="321" t="s">
        <v>291</v>
      </c>
      <c r="F53" s="322">
        <f>SUM(F50:F52)</f>
        <v>0.21209999999999998</v>
      </c>
      <c r="G53" s="322">
        <f>SUM(G50:G52)</f>
        <v>0.21209999999999998</v>
      </c>
      <c r="H53" s="322">
        <f>SUM(H50:H52)</f>
        <v>0.21209999999999998</v>
      </c>
    </row>
    <row r="54" spans="1:8" ht="16.5" customHeight="1" x14ac:dyDescent="0.2">
      <c r="A54" s="678" t="s">
        <v>322</v>
      </c>
      <c r="B54" s="678"/>
      <c r="C54" s="318">
        <f>ROUND(C47,4)</f>
        <v>8.0000000000000004E-4</v>
      </c>
      <c r="E54" s="319" t="s">
        <v>338</v>
      </c>
      <c r="F54" s="320">
        <f>F48*F53</f>
        <v>7.2750300000000004E-2</v>
      </c>
      <c r="G54" s="320">
        <f>G48*G53</f>
        <v>8.4415799999999999E-2</v>
      </c>
      <c r="H54" s="320">
        <f>H48*H53</f>
        <v>8.4415800000000013E-2</v>
      </c>
    </row>
    <row r="55" spans="1:8" ht="33" customHeight="1" x14ac:dyDescent="0.2">
      <c r="A55" s="679" t="s">
        <v>339</v>
      </c>
      <c r="B55" s="679"/>
      <c r="C55" s="323">
        <f>SUM(C49:C54)</f>
        <v>0.79049999999999998</v>
      </c>
      <c r="E55" s="319" t="s">
        <v>340</v>
      </c>
      <c r="F55" s="320">
        <f>C31</f>
        <v>3.4909999999999997E-2</v>
      </c>
      <c r="G55" s="320">
        <f>F55</f>
        <v>3.4909999999999997E-2</v>
      </c>
      <c r="H55" s="320">
        <f>G55</f>
        <v>3.4909999999999997E-2</v>
      </c>
    </row>
    <row r="56" spans="1:8" x14ac:dyDescent="0.2">
      <c r="A56" s="324" t="s">
        <v>341</v>
      </c>
      <c r="B56" s="325"/>
      <c r="C56" s="326"/>
      <c r="E56" s="327" t="s">
        <v>342</v>
      </c>
      <c r="F56" s="328">
        <f>SUM(F53:F55)</f>
        <v>0.3197603</v>
      </c>
      <c r="G56" s="328">
        <f>SUM(G53:G55)</f>
        <v>0.33142579999999999</v>
      </c>
      <c r="H56" s="329">
        <f>SUM(H53:H55)</f>
        <v>0.33142579999999999</v>
      </c>
    </row>
    <row r="57" spans="1:8" ht="13.9" customHeight="1" x14ac:dyDescent="0.2">
      <c r="A57" s="680" t="s">
        <v>343</v>
      </c>
      <c r="B57" s="680"/>
      <c r="C57" s="680"/>
      <c r="E57" s="319" t="s">
        <v>344</v>
      </c>
      <c r="F57" s="320" t="s">
        <v>345</v>
      </c>
      <c r="G57" s="320" t="s">
        <v>345</v>
      </c>
      <c r="H57" s="320" t="s">
        <v>345</v>
      </c>
    </row>
    <row r="58" spans="1:8" x14ac:dyDescent="0.2">
      <c r="A58" s="680"/>
      <c r="B58" s="680"/>
      <c r="C58" s="680"/>
      <c r="E58" s="321" t="s">
        <v>346</v>
      </c>
      <c r="F58" s="322">
        <f>F56</f>
        <v>0.3197603</v>
      </c>
      <c r="G58" s="322">
        <f>G56</f>
        <v>0.33142579999999999</v>
      </c>
      <c r="H58" s="330">
        <f>H56</f>
        <v>0.33142579999999999</v>
      </c>
    </row>
  </sheetData>
  <sheetProtection algorithmName="SHA-512" hashValue="oPuiKDYiPFeBG/yOolKoXUAcUbQYnX/1gKnBbX4DqlOWhyEZVjF0kGqEaHdngSuQglR6Tz94PWSEBj30zfuSRg==" saltValue="NoqXeneCGQgTlL0DwNrRwQ==" spinCount="100000" sheet="1" objects="1" scenarios="1"/>
  <mergeCells count="33">
    <mergeCell ref="A4:C4"/>
    <mergeCell ref="A5:C5"/>
    <mergeCell ref="B7:C7"/>
    <mergeCell ref="A16:B16"/>
    <mergeCell ref="A17:C17"/>
    <mergeCell ref="A21:B21"/>
    <mergeCell ref="A22:B22"/>
    <mergeCell ref="A23:B23"/>
    <mergeCell ref="B24:C24"/>
    <mergeCell ref="A26:B26"/>
    <mergeCell ref="A27:B27"/>
    <mergeCell ref="B28:C28"/>
    <mergeCell ref="A30:B30"/>
    <mergeCell ref="A33:B33"/>
    <mergeCell ref="A35:B35"/>
    <mergeCell ref="B36:C36"/>
    <mergeCell ref="A42:B42"/>
    <mergeCell ref="A43:B43"/>
    <mergeCell ref="E43:H44"/>
    <mergeCell ref="A44:B44"/>
    <mergeCell ref="E45:E46"/>
    <mergeCell ref="F45:H45"/>
    <mergeCell ref="F46:H46"/>
    <mergeCell ref="A47:B47"/>
    <mergeCell ref="A48:C48"/>
    <mergeCell ref="A54:B54"/>
    <mergeCell ref="A55:B55"/>
    <mergeCell ref="A57:C58"/>
    <mergeCell ref="A49:B49"/>
    <mergeCell ref="A50:B50"/>
    <mergeCell ref="A51:B51"/>
    <mergeCell ref="A52:B52"/>
    <mergeCell ref="A53:B53"/>
  </mergeCells>
  <pageMargins left="0.51180555555555496" right="0.51180555555555496" top="0" bottom="0.39374999999999999" header="0.51180555555555496" footer="0.51180555555555496"/>
  <pageSetup paperSize="9" scale="7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6"/>
  <sheetViews>
    <sheetView view="pageBreakPreview" topLeftCell="A27" zoomScale="85" zoomScaleNormal="70" zoomScalePageLayoutView="85" workbookViewId="0">
      <selection activeCell="U35" sqref="U35"/>
    </sheetView>
  </sheetViews>
  <sheetFormatPr defaultColWidth="10.33203125" defaultRowHeight="15" x14ac:dyDescent="0.25"/>
  <cols>
    <col min="1" max="1" width="23.6640625" style="331" customWidth="1"/>
    <col min="2" max="2" width="15.6640625" style="332" customWidth="1"/>
    <col min="3" max="3" width="11.83203125" style="332" customWidth="1"/>
    <col min="4" max="4" width="19.33203125" style="332" customWidth="1"/>
    <col min="5" max="5" width="14.33203125" style="333" customWidth="1"/>
    <col min="6" max="6" width="17.83203125" style="333" customWidth="1"/>
    <col min="10" max="10" width="17.1640625" hidden="1" customWidth="1"/>
    <col min="11" max="15" width="12.5" hidden="1" customWidth="1"/>
    <col min="16" max="16" width="13.1640625" hidden="1" customWidth="1"/>
  </cols>
  <sheetData>
    <row r="1" spans="1:16" s="331" customFormat="1" ht="12.75" customHeight="1" x14ac:dyDescent="0.25">
      <c r="A1" s="334"/>
      <c r="B1" s="335" t="s">
        <v>0</v>
      </c>
      <c r="C1" s="336"/>
      <c r="D1" s="336"/>
      <c r="E1" s="337"/>
      <c r="F1" s="338"/>
      <c r="J1" s="709" t="s">
        <v>347</v>
      </c>
      <c r="K1" s="709"/>
      <c r="L1" s="709"/>
      <c r="M1" s="709"/>
      <c r="N1" s="709"/>
      <c r="O1" s="709"/>
    </row>
    <row r="2" spans="1:16" s="331" customFormat="1" ht="12.75" customHeight="1" x14ac:dyDescent="0.25">
      <c r="A2" s="339"/>
      <c r="B2" s="340" t="s">
        <v>1</v>
      </c>
      <c r="C2" s="341"/>
      <c r="D2" s="341"/>
      <c r="E2" s="342"/>
      <c r="F2" s="343"/>
      <c r="J2" s="709"/>
      <c r="K2" s="709"/>
      <c r="L2" s="709"/>
      <c r="M2" s="709"/>
      <c r="N2" s="709"/>
      <c r="O2" s="709"/>
      <c r="P2" s="344"/>
    </row>
    <row r="3" spans="1:16" s="331" customFormat="1" ht="17.25" customHeight="1" x14ac:dyDescent="0.25">
      <c r="A3" s="339"/>
      <c r="B3" s="345" t="s">
        <v>2</v>
      </c>
      <c r="C3" s="341"/>
      <c r="D3" s="341"/>
      <c r="E3" s="342"/>
      <c r="F3" s="343"/>
      <c r="J3" s="709"/>
      <c r="K3" s="709"/>
      <c r="L3" s="709"/>
      <c r="M3" s="709"/>
      <c r="N3" s="709"/>
      <c r="O3" s="709"/>
      <c r="P3" s="344"/>
    </row>
    <row r="4" spans="1:16" s="331" customFormat="1" ht="49.5" customHeight="1" x14ac:dyDescent="0.25">
      <c r="A4" s="710" t="s">
        <v>348</v>
      </c>
      <c r="B4" s="710"/>
      <c r="C4" s="710"/>
      <c r="D4" s="710"/>
      <c r="E4" s="710"/>
      <c r="F4" s="710"/>
      <c r="J4" s="709"/>
      <c r="K4" s="709"/>
      <c r="L4" s="709"/>
      <c r="M4" s="709"/>
      <c r="N4" s="709"/>
      <c r="O4" s="709"/>
      <c r="P4" s="344"/>
    </row>
    <row r="5" spans="1:16" s="331" customFormat="1" ht="54.75" customHeight="1" x14ac:dyDescent="0.25">
      <c r="A5" s="711" t="s">
        <v>349</v>
      </c>
      <c r="B5" s="711"/>
      <c r="C5" s="711"/>
      <c r="D5" s="711"/>
      <c r="E5" s="711"/>
      <c r="F5" s="711"/>
      <c r="J5" s="696" t="s">
        <v>350</v>
      </c>
      <c r="K5" s="611" t="s">
        <v>255</v>
      </c>
      <c r="L5" s="611" t="s">
        <v>256</v>
      </c>
      <c r="M5" s="611" t="s">
        <v>257</v>
      </c>
      <c r="N5" s="611" t="s">
        <v>258</v>
      </c>
      <c r="O5" s="611" t="s">
        <v>259</v>
      </c>
      <c r="P5" s="271" t="s">
        <v>351</v>
      </c>
    </row>
    <row r="6" spans="1:16" s="331" customFormat="1" ht="33.75" customHeight="1" x14ac:dyDescent="0.25">
      <c r="A6" s="346" t="s">
        <v>352</v>
      </c>
      <c r="B6" s="347" t="s">
        <v>237</v>
      </c>
      <c r="C6" s="347" t="s">
        <v>353</v>
      </c>
      <c r="D6" s="348" t="s">
        <v>354</v>
      </c>
      <c r="E6" s="349" t="s">
        <v>355</v>
      </c>
      <c r="F6" s="350" t="s">
        <v>356</v>
      </c>
      <c r="J6" s="696"/>
      <c r="K6" s="611"/>
      <c r="L6" s="611"/>
      <c r="M6" s="611"/>
      <c r="N6" s="611"/>
      <c r="O6" s="611"/>
      <c r="P6" s="344"/>
    </row>
    <row r="7" spans="1:16" s="331" customFormat="1" ht="28.5" customHeight="1" x14ac:dyDescent="0.25">
      <c r="A7" s="703" t="s">
        <v>167</v>
      </c>
      <c r="B7" s="351" t="s">
        <v>357</v>
      </c>
      <c r="C7" s="352">
        <v>3</v>
      </c>
      <c r="D7" s="353">
        <f t="shared" ref="D7:D12" si="0">C7*$A$10</f>
        <v>6</v>
      </c>
      <c r="E7" s="354">
        <v>80</v>
      </c>
      <c r="F7" s="355">
        <f t="shared" ref="F7:F12" si="1">ROUND(E7*D7,2)</f>
        <v>480</v>
      </c>
      <c r="J7" s="356">
        <v>80</v>
      </c>
      <c r="K7" s="357">
        <f>ROUND(IF(Dados!$L$65="SIM",J7*Dados!$M$65,J7),2)</f>
        <v>80</v>
      </c>
      <c r="L7" s="357">
        <f>ROUND(IF(Dados!$L$66="SIM",K7*Dados!$M$66,K7),2)</f>
        <v>80</v>
      </c>
      <c r="M7" s="357">
        <f>ROUND(IF(Dados!$L$67="SIM",L7*Dados!$M$67,L7),2)</f>
        <v>80</v>
      </c>
      <c r="N7" s="357">
        <f>ROUND(IF(Dados!$L$68="SIM",M7*Dados!$M$68,M7),2)</f>
        <v>80</v>
      </c>
      <c r="O7" s="357">
        <f>ROUND(IF(Dados!$L$68="SIM",N7*Dados!$M$68,N7),2)</f>
        <v>80</v>
      </c>
      <c r="P7" s="358">
        <f>IF(Dados!$D$72="INICIAL",J7,IF(Dados!$D$72="1º IPCA",K7,IF(Dados!$D$72="2º IPCA",L7,IF(Dados!$D$72="3º IPCA",M7,IF(Dados!$D$72="4º IPCA",N7,IF(Dados!$D$72="5º IPCA",O7,))))))</f>
        <v>80</v>
      </c>
    </row>
    <row r="8" spans="1:16" s="331" customFormat="1" ht="29.25" customHeight="1" x14ac:dyDescent="0.25">
      <c r="A8" s="703"/>
      <c r="B8" s="351" t="s">
        <v>358</v>
      </c>
      <c r="C8" s="352">
        <v>1</v>
      </c>
      <c r="D8" s="353">
        <f t="shared" si="0"/>
        <v>2</v>
      </c>
      <c r="E8" s="354">
        <v>157</v>
      </c>
      <c r="F8" s="355">
        <f t="shared" si="1"/>
        <v>314</v>
      </c>
      <c r="J8" s="356">
        <v>157</v>
      </c>
      <c r="K8" s="357">
        <f>ROUND(IF(Dados!$L$65="SIM",J8*Dados!$M$65,J8),2)</f>
        <v>157</v>
      </c>
      <c r="L8" s="357">
        <f>ROUND(IF(Dados!$L$66="SIM",K8*Dados!$M$66,K8),2)</f>
        <v>157</v>
      </c>
      <c r="M8" s="357">
        <f>ROUND(IF(Dados!$L$67="SIM",L8*Dados!$M$67,L8),2)</f>
        <v>157</v>
      </c>
      <c r="N8" s="357">
        <f>ROUND(IF(Dados!$L$68="SIM",M8*Dados!$M$68,M8),2)</f>
        <v>157</v>
      </c>
      <c r="O8" s="357">
        <f>ROUND(IF(Dados!$L$68="SIM",N8*Dados!$M$68,N8),2)</f>
        <v>157</v>
      </c>
      <c r="P8" s="358">
        <f>IF(Dados!$D$72="INICIAL",J8,IF(Dados!$D$72="1º IPCA",K8,IF(Dados!$D$72="2º IPCA",L8,IF(Dados!$D$72="3º IPCA",M8,IF(Dados!$D$72="4º IPCA",N8,IF(Dados!$D$72="5º IPCA",O8,))))))</f>
        <v>157</v>
      </c>
    </row>
    <row r="9" spans="1:16" s="331" customFormat="1" ht="30" customHeight="1" x14ac:dyDescent="0.25">
      <c r="A9" s="359"/>
      <c r="B9" s="351" t="s">
        <v>359</v>
      </c>
      <c r="C9" s="352">
        <v>4</v>
      </c>
      <c r="D9" s="353">
        <f t="shared" si="0"/>
        <v>8</v>
      </c>
      <c r="E9" s="354">
        <v>78.7</v>
      </c>
      <c r="F9" s="355">
        <f t="shared" si="1"/>
        <v>629.6</v>
      </c>
      <c r="J9" s="356">
        <v>78.7</v>
      </c>
      <c r="K9" s="357">
        <f>ROUND(IF(Dados!$L$65="SIM",J9*Dados!$M$65,J9),2)</f>
        <v>78.7</v>
      </c>
      <c r="L9" s="357">
        <f>ROUND(IF(Dados!$L$66="SIM",K9*Dados!$M$66,K9),2)</f>
        <v>78.7</v>
      </c>
      <c r="M9" s="357">
        <f>ROUND(IF(Dados!$L$67="SIM",L9*Dados!$M$67,L9),2)</f>
        <v>78.7</v>
      </c>
      <c r="N9" s="357">
        <f>ROUND(IF(Dados!$L$68="SIM",M9*Dados!$M$68,M9),2)</f>
        <v>78.7</v>
      </c>
      <c r="O9" s="357">
        <f>ROUND(IF(Dados!$L$68="SIM",N9*Dados!$M$68,N9),2)</f>
        <v>78.7</v>
      </c>
      <c r="P9" s="358">
        <f>IF(Dados!$D$72="INICIAL",J9,IF(Dados!$D$72="1º IPCA",K9,IF(Dados!$D$72="2º IPCA",L9,IF(Dados!$D$72="3º IPCA",M9,IF(Dados!$D$72="4º IPCA",N9,IF(Dados!$D$72="5º IPCA",O9,))))))</f>
        <v>78.7</v>
      </c>
    </row>
    <row r="10" spans="1:16" s="331" customFormat="1" ht="30.75" customHeight="1" x14ac:dyDescent="0.25">
      <c r="A10" s="360">
        <f>Resumo!D11</f>
        <v>2</v>
      </c>
      <c r="B10" s="351" t="s">
        <v>360</v>
      </c>
      <c r="C10" s="352">
        <v>2</v>
      </c>
      <c r="D10" s="353">
        <f t="shared" si="0"/>
        <v>4</v>
      </c>
      <c r="E10" s="354">
        <v>80</v>
      </c>
      <c r="F10" s="355">
        <f t="shared" si="1"/>
        <v>320</v>
      </c>
      <c r="J10" s="356">
        <v>80</v>
      </c>
      <c r="K10" s="357">
        <f>ROUND(IF(Dados!$L$65="SIM",J10*Dados!$M$65,J10),2)</f>
        <v>80</v>
      </c>
      <c r="L10" s="357">
        <f>ROUND(IF(Dados!$L$66="SIM",K10*Dados!$M$66,K10),2)</f>
        <v>80</v>
      </c>
      <c r="M10" s="357">
        <f>ROUND(IF(Dados!$L$67="SIM",L10*Dados!$M$67,L10),2)</f>
        <v>80</v>
      </c>
      <c r="N10" s="357">
        <f>ROUND(IF(Dados!$L$68="SIM",M10*Dados!$M$68,M10),2)</f>
        <v>80</v>
      </c>
      <c r="O10" s="357">
        <f>ROUND(IF(Dados!$L$68="SIM",N10*Dados!$M$68,N10),2)</f>
        <v>80</v>
      </c>
      <c r="P10" s="358">
        <f>IF(Dados!$D$72="INICIAL",J10,IF(Dados!$D$72="1º IPCA",K10,IF(Dados!$D$72="2º IPCA",L10,IF(Dados!$D$72="3º IPCA",M10,IF(Dados!$D$72="4º IPCA",N10,IF(Dados!$D$72="5º IPCA",O10,))))))</f>
        <v>80</v>
      </c>
    </row>
    <row r="11" spans="1:16" s="331" customFormat="1" ht="30.75" customHeight="1" x14ac:dyDescent="0.25">
      <c r="A11" s="360"/>
      <c r="B11" s="351" t="s">
        <v>361</v>
      </c>
      <c r="C11" s="352">
        <v>1</v>
      </c>
      <c r="D11" s="353">
        <f t="shared" si="0"/>
        <v>2</v>
      </c>
      <c r="E11" s="354">
        <v>19</v>
      </c>
      <c r="F11" s="355">
        <f t="shared" si="1"/>
        <v>38</v>
      </c>
      <c r="J11" s="356">
        <v>19</v>
      </c>
      <c r="K11" s="357">
        <f>ROUND(IF(Dados!$L$65="SIM",J11*Dados!$M$65,J11),2)</f>
        <v>19</v>
      </c>
      <c r="L11" s="357">
        <f>ROUND(IF(Dados!$L$66="SIM",K11*Dados!$M$66,K11),2)</f>
        <v>19</v>
      </c>
      <c r="M11" s="357">
        <f>ROUND(IF(Dados!$L$67="SIM",L11*Dados!$M$67,L11),2)</f>
        <v>19</v>
      </c>
      <c r="N11" s="357">
        <f>ROUND(IF(Dados!$L$68="SIM",M11*Dados!$M$68,M11),2)</f>
        <v>19</v>
      </c>
      <c r="O11" s="357">
        <f>ROUND(IF(Dados!$L$68="SIM",N11*Dados!$M$68,N11),2)</f>
        <v>19</v>
      </c>
      <c r="P11" s="358">
        <f>IF(Dados!$D$72="INICIAL",J11,IF(Dados!$D$72="1º IPCA",K11,IF(Dados!$D$72="2º IPCA",L11,IF(Dados!$D$72="3º IPCA",M11,IF(Dados!$D$72="4º IPCA",N11,IF(Dados!$D$72="5º IPCA",O11,))))))</f>
        <v>19</v>
      </c>
    </row>
    <row r="12" spans="1:16" s="331" customFormat="1" ht="30.75" customHeight="1" x14ac:dyDescent="0.25">
      <c r="A12" s="360"/>
      <c r="B12" s="351" t="s">
        <v>362</v>
      </c>
      <c r="C12" s="352">
        <v>1</v>
      </c>
      <c r="D12" s="353">
        <f t="shared" si="0"/>
        <v>2</v>
      </c>
      <c r="E12" s="354">
        <v>24.03</v>
      </c>
      <c r="F12" s="355">
        <f t="shared" si="1"/>
        <v>48.06</v>
      </c>
      <c r="J12" s="356">
        <v>24.03</v>
      </c>
      <c r="K12" s="357">
        <f>ROUND(IF(Dados!$L$65="SIM",J12*Dados!$M$65,J12),2)</f>
        <v>24.03</v>
      </c>
      <c r="L12" s="357">
        <f>ROUND(IF(Dados!$L$66="SIM",K12*Dados!$M$66,K12),2)</f>
        <v>24.03</v>
      </c>
      <c r="M12" s="357">
        <f>ROUND(IF(Dados!$L$67="SIM",L12*Dados!$M$67,L12),2)</f>
        <v>24.03</v>
      </c>
      <c r="N12" s="357">
        <f>ROUND(IF(Dados!$L$68="SIM",M12*Dados!$M$68,M12),2)</f>
        <v>24.03</v>
      </c>
      <c r="O12" s="357">
        <f>ROUND(IF(Dados!$L$68="SIM",N12*Dados!$M$68,N12),2)</f>
        <v>24.03</v>
      </c>
      <c r="P12" s="358">
        <f>IF(Dados!$D$72="INICIAL",J12,IF(Dados!$D$72="1º IPCA",K12,IF(Dados!$D$72="2º IPCA",L12,IF(Dados!$D$72="3º IPCA",M12,IF(Dados!$D$72="4º IPCA",N12,IF(Dados!$D$72="5º IPCA",O12,))))))</f>
        <v>24.03</v>
      </c>
    </row>
    <row r="13" spans="1:16" s="331" customFormat="1" ht="33.75" customHeight="1" x14ac:dyDescent="0.25">
      <c r="A13" s="361"/>
      <c r="B13" s="707" t="s">
        <v>363</v>
      </c>
      <c r="C13" s="707"/>
      <c r="D13" s="707"/>
      <c r="E13" s="362"/>
      <c r="F13" s="363">
        <f>SUM(F7:F12)</f>
        <v>1829.6599999999999</v>
      </c>
    </row>
    <row r="14" spans="1:16" s="331" customFormat="1" ht="33.75" customHeight="1" x14ac:dyDescent="0.25">
      <c r="A14" s="708" t="s">
        <v>364</v>
      </c>
      <c r="B14" s="708"/>
      <c r="C14" s="708"/>
      <c r="D14" s="708"/>
      <c r="E14" s="708"/>
      <c r="F14" s="364">
        <f>ROUND((F13/$A$10/12),2)</f>
        <v>76.239999999999995</v>
      </c>
      <c r="J14" s="696" t="s">
        <v>350</v>
      </c>
      <c r="K14" s="611" t="s">
        <v>255</v>
      </c>
      <c r="L14" s="611" t="s">
        <v>256</v>
      </c>
      <c r="M14" s="611" t="s">
        <v>257</v>
      </c>
      <c r="N14" s="611" t="s">
        <v>258</v>
      </c>
      <c r="O14" s="611" t="s">
        <v>259</v>
      </c>
    </row>
    <row r="15" spans="1:16" s="331" customFormat="1" ht="33.75" customHeight="1" x14ac:dyDescent="0.25">
      <c r="A15" s="706"/>
      <c r="B15" s="706"/>
      <c r="C15" s="706"/>
      <c r="D15" s="706"/>
      <c r="E15" s="706"/>
      <c r="F15" s="706"/>
      <c r="J15" s="696"/>
      <c r="K15" s="611"/>
      <c r="L15" s="611"/>
      <c r="M15" s="611"/>
      <c r="N15" s="611"/>
      <c r="O15" s="611"/>
    </row>
    <row r="16" spans="1:16" s="331" customFormat="1" ht="33.75" customHeight="1" x14ac:dyDescent="0.25">
      <c r="A16" s="703" t="s">
        <v>168</v>
      </c>
      <c r="B16" s="351" t="s">
        <v>357</v>
      </c>
      <c r="C16" s="352">
        <v>3</v>
      </c>
      <c r="D16" s="353">
        <f>C16*$A$19</f>
        <v>45</v>
      </c>
      <c r="E16" s="354">
        <v>80</v>
      </c>
      <c r="F16" s="355">
        <f>ROUND(E16*D16,2)</f>
        <v>3600</v>
      </c>
      <c r="J16" s="356">
        <v>80</v>
      </c>
      <c r="K16" s="357">
        <f>ROUND(IF(Dados!$L$65="SIM",J16*Dados!$M$65,J16),2)</f>
        <v>80</v>
      </c>
      <c r="L16" s="357">
        <f>ROUND(IF(Dados!$L$66="SIM",K16*Dados!$M$66,K16),2)</f>
        <v>80</v>
      </c>
      <c r="M16" s="357">
        <f>ROUND(IF(Dados!$L$67="SIM",L16*Dados!$M$67,L16),2)</f>
        <v>80</v>
      </c>
      <c r="N16" s="357">
        <f>ROUND(IF(Dados!$L$68="SIM",M16*Dados!$M$68,M16),2)</f>
        <v>80</v>
      </c>
      <c r="O16" s="357">
        <f>ROUND(IF(Dados!$L$68="SIM",N16*Dados!$M$68,N16),2)</f>
        <v>80</v>
      </c>
      <c r="P16" s="358">
        <f>IF(Dados!$D$72="INICIAL",J16,IF(Dados!$D$72="1º IPCA",K16,IF(Dados!$D$72="2º IPCA",L16,IF(Dados!$D$72="3º IPCA",M16,IF(Dados!$D$72="4º IPCA",N16,IF(Dados!$D$72="5º IPCA",O16,))))))</f>
        <v>80</v>
      </c>
    </row>
    <row r="17" spans="1:16" s="331" customFormat="1" ht="33.75" customHeight="1" x14ac:dyDescent="0.25">
      <c r="A17" s="703"/>
      <c r="B17" s="351" t="s">
        <v>358</v>
      </c>
      <c r="C17" s="352">
        <v>1</v>
      </c>
      <c r="D17" s="353">
        <f>C17*$A$19</f>
        <v>15</v>
      </c>
      <c r="E17" s="354">
        <v>157</v>
      </c>
      <c r="F17" s="355">
        <f>ROUND(E17*D17,2)</f>
        <v>2355</v>
      </c>
      <c r="J17" s="356">
        <v>157</v>
      </c>
      <c r="K17" s="357">
        <f>ROUND(IF(Dados!$L$65="SIM",J17*Dados!$M$65,J17),2)</f>
        <v>157</v>
      </c>
      <c r="L17" s="357">
        <f>ROUND(IF(Dados!$L$66="SIM",K17*Dados!$M$66,K17),2)</f>
        <v>157</v>
      </c>
      <c r="M17" s="357">
        <f>ROUND(IF(Dados!$L$67="SIM",L17*Dados!$M$67,L17),2)</f>
        <v>157</v>
      </c>
      <c r="N17" s="357">
        <f>ROUND(IF(Dados!$L$68="SIM",M17*Dados!$M$68,M17),2)</f>
        <v>157</v>
      </c>
      <c r="O17" s="357">
        <f>ROUND(IF(Dados!$L$68="SIM",N17*Dados!$M$68,N17),2)</f>
        <v>157</v>
      </c>
      <c r="P17" s="358">
        <f>IF(Dados!$D$72="INICIAL",J17,IF(Dados!$D$72="1º IPCA",K17,IF(Dados!$D$72="2º IPCA",L17,IF(Dados!$D$72="3º IPCA",M17,IF(Dados!$D$72="4º IPCA",N17,IF(Dados!$D$72="5º IPCA",O17,))))))</f>
        <v>157</v>
      </c>
    </row>
    <row r="18" spans="1:16" s="331" customFormat="1" ht="33.75" customHeight="1" x14ac:dyDescent="0.25">
      <c r="A18" s="365"/>
      <c r="B18" s="351" t="s">
        <v>359</v>
      </c>
      <c r="C18" s="352">
        <v>4</v>
      </c>
      <c r="D18" s="353">
        <f>C18*$A$19</f>
        <v>60</v>
      </c>
      <c r="E18" s="354">
        <v>78.7</v>
      </c>
      <c r="F18" s="355">
        <f>ROUND(E18*D18,2)</f>
        <v>4722</v>
      </c>
      <c r="J18" s="356">
        <v>78.7</v>
      </c>
      <c r="K18" s="357">
        <f>ROUND(IF(Dados!$L$65="SIM",J18*Dados!$M$65,J18),2)</f>
        <v>78.7</v>
      </c>
      <c r="L18" s="357">
        <f>ROUND(IF(Dados!$L$66="SIM",K18*Dados!$M$66,K18),2)</f>
        <v>78.7</v>
      </c>
      <c r="M18" s="357">
        <f>ROUND(IF(Dados!$L$67="SIM",L18*Dados!$M$67,L18),2)</f>
        <v>78.7</v>
      </c>
      <c r="N18" s="357">
        <f>ROUND(IF(Dados!$L$68="SIM",M18*Dados!$M$68,M18),2)</f>
        <v>78.7</v>
      </c>
      <c r="O18" s="357">
        <f>ROUND(IF(Dados!$L$68="SIM",N18*Dados!$M$68,N18),2)</f>
        <v>78.7</v>
      </c>
      <c r="P18" s="358">
        <f>IF(Dados!$D$72="INICIAL",J18,IF(Dados!$D$72="1º IPCA",K18,IF(Dados!$D$72="2º IPCA",L18,IF(Dados!$D$72="3º IPCA",M18,IF(Dados!$D$72="4º IPCA",N18,IF(Dados!$D$72="5º IPCA",O18,))))))</f>
        <v>78.7</v>
      </c>
    </row>
    <row r="19" spans="1:16" s="331" customFormat="1" ht="33.75" customHeight="1" x14ac:dyDescent="0.25">
      <c r="A19" s="366">
        <f>Resumo!D12</f>
        <v>15</v>
      </c>
      <c r="B19" s="238" t="s">
        <v>360</v>
      </c>
      <c r="C19" s="367">
        <v>2</v>
      </c>
      <c r="D19" s="353">
        <f>C19*$A$19</f>
        <v>30</v>
      </c>
      <c r="E19" s="354">
        <v>80</v>
      </c>
      <c r="F19" s="355">
        <f>ROUND(E19*D19,2)</f>
        <v>2400</v>
      </c>
      <c r="J19" s="356">
        <v>80</v>
      </c>
      <c r="K19" s="357">
        <f>ROUND(IF(Dados!$L$65="SIM",J19*Dados!$M$65,J19),2)</f>
        <v>80</v>
      </c>
      <c r="L19" s="357">
        <f>ROUND(IF(Dados!$L$66="SIM",K19*Dados!$M$66,K19),2)</f>
        <v>80</v>
      </c>
      <c r="M19" s="357">
        <f>ROUND(IF(Dados!$L$67="SIM",L19*Dados!$M$67,L19),2)</f>
        <v>80</v>
      </c>
      <c r="N19" s="357">
        <f>ROUND(IF(Dados!$L$68="SIM",M19*Dados!$M$68,M19),2)</f>
        <v>80</v>
      </c>
      <c r="O19" s="357">
        <f>ROUND(IF(Dados!$L$68="SIM",N19*Dados!$M$68,N19),2)</f>
        <v>80</v>
      </c>
      <c r="P19" s="358">
        <f>IF(Dados!$D$72="INICIAL",J19,IF(Dados!$D$72="1º IPCA",K19,IF(Dados!$D$72="2º IPCA",L19,IF(Dados!$D$72="3º IPCA",M19,IF(Dados!$D$72="4º IPCA",N19,IF(Dados!$D$72="5º IPCA",O19,))))))</f>
        <v>80</v>
      </c>
    </row>
    <row r="20" spans="1:16" s="331" customFormat="1" ht="33.75" customHeight="1" x14ac:dyDescent="0.25">
      <c r="A20" s="368"/>
      <c r="B20" s="704" t="s">
        <v>363</v>
      </c>
      <c r="C20" s="704"/>
      <c r="D20" s="704"/>
      <c r="E20" s="369"/>
      <c r="F20" s="355">
        <f>SUM(F16:F19)</f>
        <v>13077</v>
      </c>
    </row>
    <row r="21" spans="1:16" s="331" customFormat="1" ht="33.75" customHeight="1" x14ac:dyDescent="0.25">
      <c r="A21" s="705" t="s">
        <v>365</v>
      </c>
      <c r="B21" s="705"/>
      <c r="C21" s="705"/>
      <c r="D21" s="705"/>
      <c r="E21" s="705"/>
      <c r="F21" s="370">
        <f>ROUND((F20/$A$19/12),2)</f>
        <v>72.650000000000006</v>
      </c>
      <c r="J21" s="696" t="s">
        <v>350</v>
      </c>
      <c r="K21" s="611" t="s">
        <v>255</v>
      </c>
      <c r="L21" s="611" t="s">
        <v>256</v>
      </c>
      <c r="M21" s="611" t="s">
        <v>257</v>
      </c>
      <c r="N21" s="611" t="s">
        <v>258</v>
      </c>
      <c r="O21" s="611" t="s">
        <v>259</v>
      </c>
    </row>
    <row r="22" spans="1:16" s="331" customFormat="1" ht="33.75" customHeight="1" x14ac:dyDescent="0.25">
      <c r="A22" s="702"/>
      <c r="B22" s="702"/>
      <c r="C22" s="702"/>
      <c r="D22" s="702"/>
      <c r="E22" s="702"/>
      <c r="F22" s="702"/>
      <c r="J22" s="696"/>
      <c r="K22" s="611"/>
      <c r="L22" s="611"/>
      <c r="M22" s="611"/>
      <c r="N22" s="611"/>
      <c r="O22" s="611"/>
    </row>
    <row r="23" spans="1:16" s="331" customFormat="1" ht="30.75" customHeight="1" x14ac:dyDescent="0.25">
      <c r="A23" s="698" t="s">
        <v>169</v>
      </c>
      <c r="B23" s="351" t="s">
        <v>357</v>
      </c>
      <c r="C23" s="353">
        <v>3</v>
      </c>
      <c r="D23" s="353">
        <f>C23*$A$26</f>
        <v>9</v>
      </c>
      <c r="E23" s="354">
        <v>50</v>
      </c>
      <c r="F23" s="355">
        <f>ROUND(E23*D23,2)</f>
        <v>450</v>
      </c>
      <c r="J23" s="356">
        <v>50</v>
      </c>
      <c r="K23" s="357">
        <f>ROUND(IF(Dados!$L$65="SIM",J23*Dados!$M$65,J23),2)</f>
        <v>50</v>
      </c>
      <c r="L23" s="357">
        <f>ROUND(IF(Dados!$L$66="SIM",K23*Dados!$M$66,K23),2)</f>
        <v>50</v>
      </c>
      <c r="M23" s="357">
        <f>ROUND(IF(Dados!$L$67="SIM",L23*Dados!$M$67,L23),2)</f>
        <v>50</v>
      </c>
      <c r="N23" s="357">
        <f>ROUND(IF(Dados!$L$68="SIM",M23*Dados!$M$68,M23),2)</f>
        <v>50</v>
      </c>
      <c r="O23" s="357">
        <f>ROUND(IF(Dados!$L$68="SIM",N23*Dados!$M$68,N23),2)</f>
        <v>50</v>
      </c>
      <c r="P23" s="358">
        <f>IF(Dados!$D$72="INICIAL",J23,IF(Dados!$D$72="1º IPCA",K23,IF(Dados!$D$72="2º IPCA",L23,IF(Dados!$D$72="3º IPCA",M23,IF(Dados!$D$72="4º IPCA",N23,IF(Dados!$D$72="5º IPCA",O23,))))))</f>
        <v>50</v>
      </c>
    </row>
    <row r="24" spans="1:16" s="331" customFormat="1" ht="35.25" customHeight="1" x14ac:dyDescent="0.25">
      <c r="A24" s="698"/>
      <c r="B24" s="351" t="s">
        <v>359</v>
      </c>
      <c r="C24" s="371">
        <v>4</v>
      </c>
      <c r="D24" s="353">
        <f>C24*$A$26</f>
        <v>12</v>
      </c>
      <c r="E24" s="354">
        <v>35</v>
      </c>
      <c r="F24" s="355">
        <f>ROUND(E24*D24,2)</f>
        <v>420</v>
      </c>
      <c r="J24" s="356">
        <v>35</v>
      </c>
      <c r="K24" s="357">
        <f>ROUND(IF(Dados!$L$65="SIM",J24*Dados!$M$65,J24),2)</f>
        <v>35</v>
      </c>
      <c r="L24" s="357">
        <f>ROUND(IF(Dados!$L$66="SIM",K24*Dados!$M$66,K24),2)</f>
        <v>35</v>
      </c>
      <c r="M24" s="357">
        <f>ROUND(IF(Dados!$L$67="SIM",L24*Dados!$M$67,L24),2)</f>
        <v>35</v>
      </c>
      <c r="N24" s="357">
        <f>ROUND(IF(Dados!$L$68="SIM",M24*Dados!$M$68,M24),2)</f>
        <v>35</v>
      </c>
      <c r="O24" s="357">
        <f>ROUND(IF(Dados!$L$68="SIM",N24*Dados!$M$68,N24),2)</f>
        <v>35</v>
      </c>
      <c r="P24" s="358">
        <f>IF(Dados!$D$72="INICIAL",J24,IF(Dados!$D$72="1º IPCA",K24,IF(Dados!$D$72="2º IPCA",L24,IF(Dados!$D$72="3º IPCA",M24,IF(Dados!$D$72="4º IPCA",N24,IF(Dados!$D$72="5º IPCA",O24,))))))</f>
        <v>35</v>
      </c>
    </row>
    <row r="25" spans="1:16" s="331" customFormat="1" ht="35.25" customHeight="1" x14ac:dyDescent="0.25">
      <c r="A25" s="365"/>
      <c r="B25" s="351" t="s">
        <v>366</v>
      </c>
      <c r="C25" s="371">
        <v>1</v>
      </c>
      <c r="D25" s="353">
        <f>C25*$A$26</f>
        <v>3</v>
      </c>
      <c r="E25" s="354">
        <v>98.54</v>
      </c>
      <c r="F25" s="355">
        <f>ROUND(E25*D25,2)</f>
        <v>295.62</v>
      </c>
      <c r="J25" s="356"/>
      <c r="K25" s="357"/>
      <c r="L25" s="357"/>
      <c r="M25" s="357"/>
      <c r="N25" s="357"/>
      <c r="O25" s="357"/>
      <c r="P25" s="358"/>
    </row>
    <row r="26" spans="1:16" s="331" customFormat="1" ht="33.75" customHeight="1" x14ac:dyDescent="0.25">
      <c r="A26" s="372">
        <f>Resumo!D13</f>
        <v>3</v>
      </c>
      <c r="B26" s="351" t="s">
        <v>360</v>
      </c>
      <c r="C26" s="353">
        <v>2</v>
      </c>
      <c r="D26" s="353">
        <f>C26*$A$26</f>
        <v>6</v>
      </c>
      <c r="E26" s="354">
        <v>50</v>
      </c>
      <c r="F26" s="355">
        <f>ROUND(E26*D26,2)</f>
        <v>300</v>
      </c>
      <c r="J26" s="356">
        <v>50</v>
      </c>
      <c r="K26" s="357">
        <f>ROUND(IF(Dados!$L$65="SIM",J26*Dados!$M$65,J26),2)</f>
        <v>50</v>
      </c>
      <c r="L26" s="357">
        <f>ROUND(IF(Dados!$L$66="SIM",K26*Dados!$M$66,K26),2)</f>
        <v>50</v>
      </c>
      <c r="M26" s="357">
        <f>ROUND(IF(Dados!$L$67="SIM",L26*Dados!$M$67,L26),2)</f>
        <v>50</v>
      </c>
      <c r="N26" s="357">
        <f>ROUND(IF(Dados!$L$68="SIM",M26*Dados!$M$68,M26),2)</f>
        <v>50</v>
      </c>
      <c r="O26" s="357">
        <f>ROUND(IF(Dados!$L$68="SIM",N26*Dados!$M$68,N26),2)</f>
        <v>50</v>
      </c>
      <c r="P26" s="358">
        <f>IF(Dados!$D$72="INICIAL",J26,IF(Dados!$D$72="1º IPCA",K26,IF(Dados!$D$72="2º IPCA",L26,IF(Dados!$D$72="3º IPCA",M26,IF(Dados!$D$72="4º IPCA",N26,IF(Dados!$D$72="5º IPCA",O26,))))))</f>
        <v>50</v>
      </c>
    </row>
    <row r="27" spans="1:16" s="331" customFormat="1" ht="33.75" customHeight="1" x14ac:dyDescent="0.25">
      <c r="A27" s="373"/>
      <c r="B27" s="700" t="s">
        <v>363</v>
      </c>
      <c r="C27" s="700"/>
      <c r="D27" s="700"/>
      <c r="E27" s="374"/>
      <c r="F27" s="375">
        <f>SUM(F23:F26)</f>
        <v>1465.62</v>
      </c>
    </row>
    <row r="28" spans="1:16" s="331" customFormat="1" ht="36" customHeight="1" x14ac:dyDescent="0.25">
      <c r="A28" s="701" t="s">
        <v>367</v>
      </c>
      <c r="B28" s="701"/>
      <c r="C28" s="701"/>
      <c r="D28" s="701"/>
      <c r="E28" s="701"/>
      <c r="F28" s="370">
        <f>ROUND((F27/$A$26/12),2)</f>
        <v>40.71</v>
      </c>
      <c r="J28" s="696" t="s">
        <v>350</v>
      </c>
      <c r="K28" s="611" t="s">
        <v>255</v>
      </c>
      <c r="L28" s="611" t="s">
        <v>256</v>
      </c>
      <c r="M28" s="611" t="s">
        <v>257</v>
      </c>
      <c r="N28" s="611" t="s">
        <v>258</v>
      </c>
      <c r="O28" s="611" t="s">
        <v>259</v>
      </c>
    </row>
    <row r="29" spans="1:16" s="331" customFormat="1" ht="36" customHeight="1" x14ac:dyDescent="0.25">
      <c r="A29" s="699"/>
      <c r="B29" s="699"/>
      <c r="C29" s="699"/>
      <c r="D29" s="699"/>
      <c r="E29" s="699"/>
      <c r="F29" s="699"/>
      <c r="J29" s="696"/>
      <c r="K29" s="611"/>
      <c r="L29" s="611"/>
      <c r="M29" s="611"/>
      <c r="N29" s="611"/>
      <c r="O29" s="611"/>
    </row>
    <row r="30" spans="1:16" s="331" customFormat="1" ht="36" customHeight="1" x14ac:dyDescent="0.25">
      <c r="A30" s="698" t="s">
        <v>368</v>
      </c>
      <c r="B30" s="376" t="s">
        <v>357</v>
      </c>
      <c r="C30" s="377">
        <v>3</v>
      </c>
      <c r="D30" s="378">
        <f>C30*$A$33</f>
        <v>366</v>
      </c>
      <c r="E30" s="379">
        <v>80</v>
      </c>
      <c r="F30" s="380">
        <f>ROUND(E30*D30,2)</f>
        <v>29280</v>
      </c>
      <c r="J30" s="356">
        <v>80</v>
      </c>
      <c r="K30" s="357">
        <f>ROUND(IF(Dados!$L$65="SIM",J30*Dados!$M$65,J30),2)</f>
        <v>80</v>
      </c>
      <c r="L30" s="357">
        <f>ROUND(IF(Dados!$L$66="SIM",K30*Dados!$M$66,K30),2)</f>
        <v>80</v>
      </c>
      <c r="M30" s="357">
        <f>ROUND(IF(Dados!$L$67="SIM",L30*Dados!$M$67,L30),2)</f>
        <v>80</v>
      </c>
      <c r="N30" s="357">
        <f>ROUND(IF(Dados!$L$68="SIM",M30*Dados!$M$68,M30),2)</f>
        <v>80</v>
      </c>
      <c r="O30" s="357">
        <f>ROUND(IF(Dados!$L$68="SIM",N30*Dados!$M$68,N30),2)</f>
        <v>80</v>
      </c>
      <c r="P30" s="358">
        <f>IF(Dados!$D$72="INICIAL",J30,IF(Dados!$D$72="1º IPCA",K30,IF(Dados!$D$72="2º IPCA",L30,IF(Dados!$D$72="3º IPCA",M30,IF(Dados!$D$72="4º IPCA",N30,IF(Dados!$D$72="5º IPCA",O30,))))))</f>
        <v>80</v>
      </c>
    </row>
    <row r="31" spans="1:16" s="383" customFormat="1" ht="36.75" customHeight="1" x14ac:dyDescent="0.2">
      <c r="A31" s="698"/>
      <c r="B31" s="381" t="s">
        <v>358</v>
      </c>
      <c r="C31" s="352">
        <v>1</v>
      </c>
      <c r="D31" s="382">
        <f>C31*$A$33</f>
        <v>122</v>
      </c>
      <c r="E31" s="354">
        <v>157</v>
      </c>
      <c r="F31" s="355">
        <f>ROUND(E31*D31,2)</f>
        <v>19154</v>
      </c>
      <c r="J31" s="356">
        <v>157</v>
      </c>
      <c r="K31" s="357">
        <f>ROUND(IF(Dados!$L$65="SIM",J31*Dados!$M$65,J31),2)</f>
        <v>157</v>
      </c>
      <c r="L31" s="357">
        <f>ROUND(IF(Dados!$L$66="SIM",K31*Dados!$M$66,K31),2)</f>
        <v>157</v>
      </c>
      <c r="M31" s="357">
        <f>ROUND(IF(Dados!$L$67="SIM",L31*Dados!$M$67,L31),2)</f>
        <v>157</v>
      </c>
      <c r="N31" s="357">
        <f>ROUND(IF(Dados!$L$68="SIM",M31*Dados!$M$68,M31),2)</f>
        <v>157</v>
      </c>
      <c r="O31" s="357">
        <f>ROUND(IF(Dados!$L$68="SIM",N31*Dados!$M$68,N31),2)</f>
        <v>157</v>
      </c>
      <c r="P31" s="358">
        <f>IF(Dados!$D$72="INICIAL",J31,IF(Dados!$D$72="1º IPCA",K31,IF(Dados!$D$72="2º IPCA",L31,IF(Dados!$D$72="3º IPCA",M31,IF(Dados!$D$72="4º IPCA",N31,IF(Dados!$D$72="5º IPCA",O31,))))))</f>
        <v>157</v>
      </c>
    </row>
    <row r="32" spans="1:16" s="383" customFormat="1" ht="36.75" customHeight="1" x14ac:dyDescent="0.2">
      <c r="A32" s="359"/>
      <c r="B32" s="351" t="s">
        <v>359</v>
      </c>
      <c r="C32" s="352">
        <v>4</v>
      </c>
      <c r="D32" s="382">
        <f>C32*$A$33</f>
        <v>488</v>
      </c>
      <c r="E32" s="354">
        <v>78.7</v>
      </c>
      <c r="F32" s="355">
        <f>ROUND(E32*D32,2)</f>
        <v>38405.599999999999</v>
      </c>
      <c r="J32" s="356">
        <v>78.7</v>
      </c>
      <c r="K32" s="357">
        <f>ROUND(IF(Dados!$L$65="SIM",J32*Dados!$M$65,J32),2)</f>
        <v>78.7</v>
      </c>
      <c r="L32" s="357">
        <f>ROUND(IF(Dados!$L$66="SIM",K32*Dados!$M$66,K32),2)</f>
        <v>78.7</v>
      </c>
      <c r="M32" s="357">
        <f>ROUND(IF(Dados!$L$67="SIM",L32*Dados!$M$67,L32),2)</f>
        <v>78.7</v>
      </c>
      <c r="N32" s="357">
        <f>ROUND(IF(Dados!$L$68="SIM",M32*Dados!$M$68,M32),2)</f>
        <v>78.7</v>
      </c>
      <c r="O32" s="357">
        <f>ROUND(IF(Dados!$L$68="SIM",N32*Dados!$M$68,N32),2)</f>
        <v>78.7</v>
      </c>
      <c r="P32" s="358">
        <f>IF(Dados!$D$72="INICIAL",J32,IF(Dados!$D$72="1º IPCA",K32,IF(Dados!$D$72="2º IPCA",L32,IF(Dados!$D$72="3º IPCA",M32,IF(Dados!$D$72="4º IPCA",N32,IF(Dados!$D$72="5º IPCA",O32,))))))</f>
        <v>78.7</v>
      </c>
    </row>
    <row r="33" spans="1:16" s="383" customFormat="1" ht="36.75" customHeight="1" x14ac:dyDescent="0.2">
      <c r="A33" s="360">
        <f>Resumo!D14+Resumo!D15+Resumo!D16+Resumo!D17</f>
        <v>122</v>
      </c>
      <c r="B33" s="351" t="s">
        <v>360</v>
      </c>
      <c r="C33" s="352">
        <v>2</v>
      </c>
      <c r="D33" s="382">
        <f>C33*$A$33</f>
        <v>244</v>
      </c>
      <c r="E33" s="354">
        <v>80</v>
      </c>
      <c r="F33" s="355">
        <f>ROUND(E33*D33,2)</f>
        <v>19520</v>
      </c>
      <c r="J33" s="356">
        <v>80</v>
      </c>
      <c r="K33" s="357">
        <f>ROUND(IF(Dados!$L$65="SIM",J33*Dados!$M$65,J33),2)</f>
        <v>80</v>
      </c>
      <c r="L33" s="357">
        <f>ROUND(IF(Dados!$L$66="SIM",K33*Dados!$M$66,K33),2)</f>
        <v>80</v>
      </c>
      <c r="M33" s="357">
        <f>ROUND(IF(Dados!$L$67="SIM",L33*Dados!$M$67,L33),2)</f>
        <v>80</v>
      </c>
      <c r="N33" s="357">
        <f>ROUND(IF(Dados!$L$68="SIM",M33*Dados!$M$68,M33),2)</f>
        <v>80</v>
      </c>
      <c r="O33" s="357">
        <f>ROUND(IF(Dados!$L$68="SIM",N33*Dados!$M$68,N33),2)</f>
        <v>80</v>
      </c>
      <c r="P33" s="358">
        <f>IF(Dados!$D$72="INICIAL",J33,IF(Dados!$D$72="1º IPCA",K33,IF(Dados!$D$72="2º IPCA",L33,IF(Dados!$D$72="3º IPCA",M33,IF(Dados!$D$72="4º IPCA",N33,IF(Dados!$D$72="5º IPCA",O33,))))))</f>
        <v>80</v>
      </c>
    </row>
    <row r="34" spans="1:16" s="383" customFormat="1" ht="36.75" customHeight="1" x14ac:dyDescent="0.2">
      <c r="A34" s="384"/>
      <c r="B34" s="694" t="s">
        <v>363</v>
      </c>
      <c r="C34" s="694"/>
      <c r="D34" s="694"/>
      <c r="E34" s="362"/>
      <c r="F34" s="363">
        <f>SUM(F30:F33)</f>
        <v>106359.6</v>
      </c>
    </row>
    <row r="35" spans="1:16" s="383" customFormat="1" ht="36.75" customHeight="1" x14ac:dyDescent="0.2">
      <c r="A35" s="695" t="s">
        <v>369</v>
      </c>
      <c r="B35" s="695"/>
      <c r="C35" s="695"/>
      <c r="D35" s="695"/>
      <c r="E35" s="695"/>
      <c r="F35" s="364">
        <f>ROUND((F34/$A$33/12),2)</f>
        <v>72.650000000000006</v>
      </c>
      <c r="J35" s="696" t="s">
        <v>350</v>
      </c>
      <c r="K35" s="611" t="s">
        <v>255</v>
      </c>
      <c r="L35" s="611" t="s">
        <v>256</v>
      </c>
      <c r="M35" s="611" t="s">
        <v>257</v>
      </c>
      <c r="N35" s="611" t="s">
        <v>258</v>
      </c>
      <c r="O35" s="611" t="s">
        <v>259</v>
      </c>
    </row>
    <row r="36" spans="1:16" s="383" customFormat="1" ht="36.75" customHeight="1" x14ac:dyDescent="0.2">
      <c r="A36" s="385"/>
      <c r="B36" s="199"/>
      <c r="C36" s="199"/>
      <c r="D36" s="199"/>
      <c r="E36" s="199"/>
      <c r="F36" s="386"/>
      <c r="J36" s="696"/>
      <c r="K36" s="611"/>
      <c r="L36" s="611"/>
      <c r="M36" s="611"/>
      <c r="N36" s="611"/>
      <c r="O36" s="611"/>
    </row>
    <row r="37" spans="1:16" s="383" customFormat="1" ht="36.75" customHeight="1" x14ac:dyDescent="0.2">
      <c r="A37" s="698" t="s">
        <v>370</v>
      </c>
      <c r="B37" s="376" t="s">
        <v>357</v>
      </c>
      <c r="C37" s="377">
        <v>3</v>
      </c>
      <c r="D37" s="378">
        <f>C37*$A$41</f>
        <v>18</v>
      </c>
      <c r="E37" s="379">
        <v>80</v>
      </c>
      <c r="F37" s="380">
        <f>ROUND(E37*D37,2)</f>
        <v>1440</v>
      </c>
      <c r="J37" s="356">
        <v>80</v>
      </c>
      <c r="K37" s="357">
        <f>ROUND(IF(Dados!$L$65="SIM",J37*Dados!$M$65,J37),2)</f>
        <v>80</v>
      </c>
      <c r="L37" s="357">
        <f>ROUND(IF(Dados!$L$66="SIM",K37*Dados!$M$66,K37),2)</f>
        <v>80</v>
      </c>
      <c r="M37" s="357">
        <f>ROUND(IF(Dados!$L$67="SIM",L37*Dados!$M$67,L37),2)</f>
        <v>80</v>
      </c>
      <c r="N37" s="357">
        <f>ROUND(IF(Dados!$L$68="SIM",M37*Dados!$M$68,M37),2)</f>
        <v>80</v>
      </c>
      <c r="O37" s="357">
        <f>ROUND(IF(Dados!$L$68="SIM",N37*Dados!$M$68,N37),2)</f>
        <v>80</v>
      </c>
      <c r="P37" s="358">
        <f>IF(Dados!$D$72="INICIAL",J37,IF(Dados!$D$72="1º IPCA",K37,IF(Dados!$D$72="2º IPCA",L37,IF(Dados!$D$72="3º IPCA",M37,IF(Dados!$D$72="4º IPCA",N37,IF(Dados!$D$72="5º IPCA",O37,))))))</f>
        <v>80</v>
      </c>
    </row>
    <row r="38" spans="1:16" s="383" customFormat="1" ht="48.75" customHeight="1" x14ac:dyDescent="0.2">
      <c r="A38" s="698"/>
      <c r="B38" s="381" t="s">
        <v>358</v>
      </c>
      <c r="C38" s="352">
        <v>1</v>
      </c>
      <c r="D38" s="378">
        <f>C38*$A$41</f>
        <v>6</v>
      </c>
      <c r="E38" s="354">
        <v>157</v>
      </c>
      <c r="F38" s="355">
        <f>ROUND(E38*D38,2)</f>
        <v>942</v>
      </c>
      <c r="J38" s="356">
        <v>157</v>
      </c>
      <c r="K38" s="357">
        <f>ROUND(IF(Dados!$L$65="SIM",J38*Dados!$M$65,J38),2)</f>
        <v>157</v>
      </c>
      <c r="L38" s="357">
        <f>ROUND(IF(Dados!$L$66="SIM",K38*Dados!$M$66,K38),2)</f>
        <v>157</v>
      </c>
      <c r="M38" s="357">
        <f>ROUND(IF(Dados!$L$67="SIM",L38*Dados!$M$67,L38),2)</f>
        <v>157</v>
      </c>
      <c r="N38" s="357">
        <f>ROUND(IF(Dados!$L$68="SIM",M38*Dados!$M$68,M38),2)</f>
        <v>157</v>
      </c>
      <c r="O38" s="357">
        <f>ROUND(IF(Dados!$L$68="SIM",N38*Dados!$M$68,N38),2)</f>
        <v>157</v>
      </c>
      <c r="P38" s="358">
        <f>IF(Dados!$D$72="INICIAL",J38,IF(Dados!$D$72="1º IPCA",K38,IF(Dados!$D$72="2º IPCA",L38,IF(Dados!$D$72="3º IPCA",M38,IF(Dados!$D$72="4º IPCA",N38,IF(Dados!$D$72="5º IPCA",O38,))))))</f>
        <v>157</v>
      </c>
    </row>
    <row r="39" spans="1:16" s="383" customFormat="1" ht="36.75" customHeight="1" x14ac:dyDescent="0.2">
      <c r="A39" s="698"/>
      <c r="B39" s="351" t="s">
        <v>359</v>
      </c>
      <c r="C39" s="352">
        <v>4</v>
      </c>
      <c r="D39" s="378">
        <f>C39*$A$41</f>
        <v>24</v>
      </c>
      <c r="E39" s="354">
        <v>78.7</v>
      </c>
      <c r="F39" s="355">
        <f>ROUND(E39*D39,2)</f>
        <v>1888.8</v>
      </c>
      <c r="J39" s="356">
        <v>78.7</v>
      </c>
      <c r="K39" s="357">
        <f>ROUND(IF(Dados!$L$65="SIM",J39*Dados!$M$65,J39),2)</f>
        <v>78.7</v>
      </c>
      <c r="L39" s="357">
        <f>ROUND(IF(Dados!$L$66="SIM",K39*Dados!$M$66,K39),2)</f>
        <v>78.7</v>
      </c>
      <c r="M39" s="357">
        <f>ROUND(IF(Dados!$L$67="SIM",L39*Dados!$M$67,L39),2)</f>
        <v>78.7</v>
      </c>
      <c r="N39" s="357">
        <f>ROUND(IF(Dados!$L$68="SIM",M39*Dados!$M$68,M39),2)</f>
        <v>78.7</v>
      </c>
      <c r="O39" s="357">
        <f>ROUND(IF(Dados!$L$68="SIM",N39*Dados!$M$68,N39),2)</f>
        <v>78.7</v>
      </c>
      <c r="P39" s="358">
        <f>IF(Dados!$D$72="INICIAL",J39,IF(Dados!$D$72="1º IPCA",K39,IF(Dados!$D$72="2º IPCA",L39,IF(Dados!$D$72="3º IPCA",M39,IF(Dados!$D$72="4º IPCA",N39,IF(Dados!$D$72="5º IPCA",O39,))))))</f>
        <v>78.7</v>
      </c>
    </row>
    <row r="40" spans="1:16" s="383" customFormat="1" ht="36.75" customHeight="1" x14ac:dyDescent="0.2">
      <c r="A40" s="359"/>
      <c r="B40" s="351" t="s">
        <v>361</v>
      </c>
      <c r="C40" s="352">
        <v>1</v>
      </c>
      <c r="D40" s="378">
        <f>C40*$A$41</f>
        <v>6</v>
      </c>
      <c r="E40" s="354">
        <v>19</v>
      </c>
      <c r="F40" s="355">
        <f>ROUND(E40*D40,2)</f>
        <v>114</v>
      </c>
      <c r="J40" s="356">
        <v>19</v>
      </c>
      <c r="K40" s="357">
        <f>ROUND(IF(Dados!$L$65="SIM",J40*Dados!$M$65,J40),2)</f>
        <v>19</v>
      </c>
      <c r="L40" s="357">
        <f>ROUND(IF(Dados!$L$66="SIM",K40*Dados!$M$66,K40),2)</f>
        <v>19</v>
      </c>
      <c r="M40" s="357">
        <f>ROUND(IF(Dados!$L$67="SIM",L40*Dados!$M$67,L40),2)</f>
        <v>19</v>
      </c>
      <c r="N40" s="357">
        <f>ROUND(IF(Dados!$L$68="SIM",M40*Dados!$M$68,M40),2)</f>
        <v>19</v>
      </c>
      <c r="O40" s="357">
        <f>ROUND(IF(Dados!$L$68="SIM",N40*Dados!$M$68,N40),2)</f>
        <v>19</v>
      </c>
      <c r="P40" s="358">
        <f>IF(Dados!$D$72="INICIAL",J40,IF(Dados!$D$72="1º IPCA",K40,IF(Dados!$D$72="2º IPCA",L40,IF(Dados!$D$72="3º IPCA",M40,IF(Dados!$D$72="4º IPCA",N40,IF(Dados!$D$72="5º IPCA",O40,))))))</f>
        <v>19</v>
      </c>
    </row>
    <row r="41" spans="1:16" s="383" customFormat="1" ht="36.75" customHeight="1" x14ac:dyDescent="0.2">
      <c r="A41" s="360">
        <f>Resumo!D18</f>
        <v>6</v>
      </c>
      <c r="B41" s="351" t="s">
        <v>360</v>
      </c>
      <c r="C41" s="352">
        <v>2</v>
      </c>
      <c r="D41" s="378">
        <f>C41*$A$41</f>
        <v>12</v>
      </c>
      <c r="E41" s="354">
        <v>80</v>
      </c>
      <c r="F41" s="355">
        <f>ROUND(E41*D41,2)</f>
        <v>960</v>
      </c>
      <c r="J41" s="356">
        <v>80</v>
      </c>
      <c r="K41" s="357">
        <f>ROUND(IF(Dados!$L$65="SIM",J41*Dados!$M$65,J41),2)</f>
        <v>80</v>
      </c>
      <c r="L41" s="357">
        <f>ROUND(IF(Dados!$L$66="SIM",K41*Dados!$M$66,K41),2)</f>
        <v>80</v>
      </c>
      <c r="M41" s="357">
        <f>ROUND(IF(Dados!$L$67="SIM",L41*Dados!$M$67,L41),2)</f>
        <v>80</v>
      </c>
      <c r="N41" s="357">
        <f>ROUND(IF(Dados!$L$68="SIM",M41*Dados!$M$68,M41),2)</f>
        <v>80</v>
      </c>
      <c r="O41" s="357">
        <f>ROUND(IF(Dados!$L$68="SIM",N41*Dados!$M$68,N41),2)</f>
        <v>80</v>
      </c>
      <c r="P41" s="358">
        <f>IF(Dados!$D$72="INICIAL",J41,IF(Dados!$D$72="1º IPCA",K41,IF(Dados!$D$72="2º IPCA",L41,IF(Dados!$D$72="3º IPCA",M41,IF(Dados!$D$72="4º IPCA",N41,IF(Dados!$D$72="5º IPCA",O41,))))))</f>
        <v>80</v>
      </c>
    </row>
    <row r="42" spans="1:16" s="383" customFormat="1" ht="36.75" customHeight="1" x14ac:dyDescent="0.2">
      <c r="A42" s="384"/>
      <c r="B42" s="694" t="s">
        <v>363</v>
      </c>
      <c r="C42" s="694"/>
      <c r="D42" s="694"/>
      <c r="E42" s="362"/>
      <c r="F42" s="363">
        <f>SUM(F37:F41)</f>
        <v>5344.8</v>
      </c>
    </row>
    <row r="43" spans="1:16" s="383" customFormat="1" ht="36.75" customHeight="1" x14ac:dyDescent="0.2">
      <c r="A43" s="695" t="s">
        <v>371</v>
      </c>
      <c r="B43" s="695"/>
      <c r="C43" s="695"/>
      <c r="D43" s="695"/>
      <c r="E43" s="695"/>
      <c r="F43" s="364">
        <f>ROUND((F42/$A$41/12),2)</f>
        <v>74.23</v>
      </c>
      <c r="J43" s="696" t="s">
        <v>350</v>
      </c>
      <c r="K43" s="611" t="s">
        <v>255</v>
      </c>
      <c r="L43" s="611" t="s">
        <v>256</v>
      </c>
      <c r="M43" s="611" t="s">
        <v>257</v>
      </c>
      <c r="N43" s="611" t="s">
        <v>258</v>
      </c>
      <c r="O43" s="611" t="s">
        <v>259</v>
      </c>
    </row>
    <row r="44" spans="1:16" s="383" customFormat="1" ht="36.75" customHeight="1" x14ac:dyDescent="0.2">
      <c r="A44" s="697"/>
      <c r="B44" s="697"/>
      <c r="C44" s="697"/>
      <c r="D44" s="697"/>
      <c r="E44" s="697"/>
      <c r="F44" s="697"/>
      <c r="J44" s="696"/>
      <c r="K44" s="611"/>
      <c r="L44" s="611"/>
      <c r="M44" s="611"/>
      <c r="N44" s="611"/>
      <c r="O44" s="611"/>
    </row>
    <row r="45" spans="1:16" s="383" customFormat="1" ht="32.1" customHeight="1" x14ac:dyDescent="0.2">
      <c r="A45" s="698" t="s">
        <v>175</v>
      </c>
      <c r="B45" s="376" t="s">
        <v>357</v>
      </c>
      <c r="C45" s="377">
        <v>3</v>
      </c>
      <c r="D45" s="378">
        <f>C45*$A$48</f>
        <v>3</v>
      </c>
      <c r="E45" s="379">
        <v>80</v>
      </c>
      <c r="F45" s="380">
        <f>ROUND(E45*D45,2)</f>
        <v>240</v>
      </c>
      <c r="J45" s="356">
        <v>80</v>
      </c>
      <c r="K45" s="357">
        <f>ROUND(IF(Dados!$L$65="SIM",J45*Dados!$M$65,J45),2)</f>
        <v>80</v>
      </c>
      <c r="L45" s="357">
        <f>ROUND(IF(Dados!$L$66="SIM",K45*Dados!$M$66,K45),2)</f>
        <v>80</v>
      </c>
      <c r="M45" s="357">
        <f>ROUND(IF(Dados!$L$67="SIM",L45*Dados!$M$67,L45),2)</f>
        <v>80</v>
      </c>
      <c r="N45" s="357">
        <f>ROUND(IF(Dados!$L$68="SIM",M45*Dados!$M$68,M45),2)</f>
        <v>80</v>
      </c>
      <c r="O45" s="357">
        <f>ROUND(IF(Dados!$L$68="SIM",N45*Dados!$M$68,N45),2)</f>
        <v>80</v>
      </c>
      <c r="P45" s="358">
        <f>IF(Dados!$D$72="INICIAL",J45,IF(Dados!$D$72="1º IPCA",K45,IF(Dados!$D$72="2º IPCA",L45,IF(Dados!$D$72="3º IPCA",M45,IF(Dados!$D$72="4º IPCA",N45,IF(Dados!$D$72="5º IPCA",O45,))))))</f>
        <v>80</v>
      </c>
    </row>
    <row r="46" spans="1:16" s="383" customFormat="1" ht="32.1" customHeight="1" x14ac:dyDescent="0.2">
      <c r="A46" s="698"/>
      <c r="B46" s="381" t="s">
        <v>358</v>
      </c>
      <c r="C46" s="352">
        <v>1</v>
      </c>
      <c r="D46" s="378">
        <f>C46*$A$48</f>
        <v>1</v>
      </c>
      <c r="E46" s="354">
        <v>157</v>
      </c>
      <c r="F46" s="355">
        <f>ROUND(E46*D46,2)</f>
        <v>157</v>
      </c>
      <c r="J46" s="356">
        <v>157</v>
      </c>
      <c r="K46" s="357">
        <f>ROUND(IF(Dados!$L$65="SIM",J46*Dados!$M$65,J46),2)</f>
        <v>157</v>
      </c>
      <c r="L46" s="357">
        <f>ROUND(IF(Dados!$L$66="SIM",K46*Dados!$M$66,K46),2)</f>
        <v>157</v>
      </c>
      <c r="M46" s="357">
        <f>ROUND(IF(Dados!$L$67="SIM",L46*Dados!$M$67,L46),2)</f>
        <v>157</v>
      </c>
      <c r="N46" s="357">
        <f>ROUND(IF(Dados!$L$68="SIM",M46*Dados!$M$68,M46),2)</f>
        <v>157</v>
      </c>
      <c r="O46" s="357">
        <f>ROUND(IF(Dados!$L$68="SIM",N46*Dados!$M$68,N46),2)</f>
        <v>157</v>
      </c>
      <c r="P46" s="358">
        <f>IF(Dados!$D$72="INICIAL",J46,IF(Dados!$D$72="1º IPCA",K46,IF(Dados!$D$72="2º IPCA",L46,IF(Dados!$D$72="3º IPCA",M46,IF(Dados!$D$72="4º IPCA",N46,IF(Dados!$D$72="5º IPCA",O46,))))))</f>
        <v>157</v>
      </c>
    </row>
    <row r="47" spans="1:16" ht="27.75" customHeight="1" x14ac:dyDescent="0.2">
      <c r="A47" s="359"/>
      <c r="B47" s="351" t="s">
        <v>359</v>
      </c>
      <c r="C47" s="352">
        <v>4</v>
      </c>
      <c r="D47" s="378">
        <f>C47*$A$48</f>
        <v>4</v>
      </c>
      <c r="E47" s="354">
        <v>78.7</v>
      </c>
      <c r="F47" s="355">
        <f>ROUND(E47*D47,2)</f>
        <v>314.8</v>
      </c>
      <c r="J47" s="356">
        <v>78.7</v>
      </c>
      <c r="K47" s="357">
        <f>ROUND(IF(Dados!$L$65="SIM",J47*Dados!$M$65,J47),2)</f>
        <v>78.7</v>
      </c>
      <c r="L47" s="357">
        <f>ROUND(IF(Dados!$L$66="SIM",K47*Dados!$M$66,K47),2)</f>
        <v>78.7</v>
      </c>
      <c r="M47" s="357">
        <f>ROUND(IF(Dados!$L$67="SIM",L47*Dados!$M$67,L47),2)</f>
        <v>78.7</v>
      </c>
      <c r="N47" s="357">
        <f>ROUND(IF(Dados!$L$68="SIM",M47*Dados!$M$68,M47),2)</f>
        <v>78.7</v>
      </c>
      <c r="O47" s="357">
        <f>ROUND(IF(Dados!$L$68="SIM",N47*Dados!$M$68,N47),2)</f>
        <v>78.7</v>
      </c>
      <c r="P47" s="358">
        <f>IF(Dados!$D$72="INICIAL",J47,IF(Dados!$D$72="1º IPCA",K47,IF(Dados!$D$72="2º IPCA",L47,IF(Dados!$D$72="3º IPCA",M47,IF(Dados!$D$72="4º IPCA",N47,IF(Dados!$D$72="5º IPCA",O47,))))))</f>
        <v>78.7</v>
      </c>
    </row>
    <row r="48" spans="1:16" ht="33" customHeight="1" x14ac:dyDescent="0.2">
      <c r="A48" s="360">
        <f>Resumo!D19</f>
        <v>1</v>
      </c>
      <c r="B48" s="351" t="s">
        <v>360</v>
      </c>
      <c r="C48" s="352">
        <v>2</v>
      </c>
      <c r="D48" s="378">
        <f>C48*$A$48</f>
        <v>2</v>
      </c>
      <c r="E48" s="354">
        <v>80</v>
      </c>
      <c r="F48" s="355">
        <f>ROUND(E48*D48,2)</f>
        <v>160</v>
      </c>
      <c r="J48" s="356">
        <v>80</v>
      </c>
      <c r="K48" s="357">
        <f>ROUND(IF(Dados!$L$65="SIM",J48*Dados!$M$65,J48),2)</f>
        <v>80</v>
      </c>
      <c r="L48" s="357">
        <f>ROUND(IF(Dados!$L$66="SIM",K48*Dados!$M$66,K48),2)</f>
        <v>80</v>
      </c>
      <c r="M48" s="357">
        <f>ROUND(IF(Dados!$L$67="SIM",L48*Dados!$M$67,L48),2)</f>
        <v>80</v>
      </c>
      <c r="N48" s="357">
        <f>ROUND(IF(Dados!$L$68="SIM",M48*Dados!$M$68,M48),2)</f>
        <v>80</v>
      </c>
      <c r="O48" s="357">
        <f>ROUND(IF(Dados!$L$68="SIM",N48*Dados!$M$68,N48),2)</f>
        <v>80</v>
      </c>
      <c r="P48" s="358">
        <f>IF(Dados!$D$72="INICIAL",J48,IF(Dados!$D$72="1º IPCA",K48,IF(Dados!$D$72="2º IPCA",L48,IF(Dados!$D$72="3º IPCA",M48,IF(Dados!$D$72="4º IPCA",N48,IF(Dados!$D$72="5º IPCA",O48,))))))</f>
        <v>80</v>
      </c>
    </row>
    <row r="49" spans="1:16" ht="33" customHeight="1" x14ac:dyDescent="0.2">
      <c r="A49" s="384"/>
      <c r="B49" s="694" t="s">
        <v>363</v>
      </c>
      <c r="C49" s="694"/>
      <c r="D49" s="694"/>
      <c r="E49" s="362"/>
      <c r="F49" s="363">
        <f>SUM(F45:F48)</f>
        <v>871.8</v>
      </c>
    </row>
    <row r="50" spans="1:16" ht="33" customHeight="1" x14ac:dyDescent="0.2">
      <c r="A50" s="695" t="s">
        <v>372</v>
      </c>
      <c r="B50" s="695"/>
      <c r="C50" s="695"/>
      <c r="D50" s="695"/>
      <c r="E50" s="695"/>
      <c r="F50" s="364">
        <f>ROUND((F49/$A$48/12),2)</f>
        <v>72.650000000000006</v>
      </c>
      <c r="J50" s="696" t="s">
        <v>350</v>
      </c>
      <c r="K50" s="611" t="s">
        <v>255</v>
      </c>
      <c r="L50" s="611" t="s">
        <v>256</v>
      </c>
      <c r="M50" s="611" t="s">
        <v>257</v>
      </c>
      <c r="N50" s="611" t="s">
        <v>258</v>
      </c>
      <c r="O50" s="611" t="s">
        <v>259</v>
      </c>
    </row>
    <row r="51" spans="1:16" ht="33" customHeight="1" x14ac:dyDescent="0.2">
      <c r="A51" s="697"/>
      <c r="B51" s="697"/>
      <c r="C51" s="697"/>
      <c r="D51" s="697"/>
      <c r="E51" s="697"/>
      <c r="F51" s="697"/>
      <c r="J51" s="696"/>
      <c r="K51" s="611"/>
      <c r="L51" s="611"/>
      <c r="M51" s="611"/>
      <c r="N51" s="611"/>
      <c r="O51" s="611"/>
    </row>
    <row r="52" spans="1:16" ht="33" customHeight="1" x14ac:dyDescent="0.2">
      <c r="A52" s="698" t="s">
        <v>373</v>
      </c>
      <c r="B52" s="376" t="s">
        <v>357</v>
      </c>
      <c r="C52" s="377">
        <v>3</v>
      </c>
      <c r="D52" s="387">
        <f>C52*$A$56</f>
        <v>24</v>
      </c>
      <c r="E52" s="379">
        <v>80</v>
      </c>
      <c r="F52" s="380">
        <f>ROUND(E52*D52,2)</f>
        <v>1920</v>
      </c>
      <c r="J52" s="356">
        <v>80</v>
      </c>
      <c r="K52" s="357">
        <f>ROUND(IF(Dados!$L$65="SIM",J52*Dados!$M$65,J52),2)</f>
        <v>80</v>
      </c>
      <c r="L52" s="357">
        <f>ROUND(IF(Dados!$L$66="SIM",K52*Dados!$M$66,K52),2)</f>
        <v>80</v>
      </c>
      <c r="M52" s="357">
        <f>ROUND(IF(Dados!$L$67="SIM",L52*Dados!$M$67,L52),2)</f>
        <v>80</v>
      </c>
      <c r="N52" s="357">
        <f>ROUND(IF(Dados!$L$68="SIM",M52*Dados!$M$68,M52),2)</f>
        <v>80</v>
      </c>
      <c r="O52" s="357">
        <f>ROUND(IF(Dados!$L$68="SIM",N52*Dados!$M$68,N52),2)</f>
        <v>80</v>
      </c>
      <c r="P52" s="358">
        <f>IF(Dados!$D$72="INICIAL",J52,IF(Dados!$D$72="1º IPCA",K52,IF(Dados!$D$72="2º IPCA",L52,IF(Dados!$D$72="3º IPCA",M52,IF(Dados!$D$72="4º IPCA",N52,IF(Dados!$D$72="5º IPCA",O52,))))))</f>
        <v>80</v>
      </c>
    </row>
    <row r="53" spans="1:16" ht="43.5" customHeight="1" x14ac:dyDescent="0.2">
      <c r="A53" s="698"/>
      <c r="B53" s="351" t="s">
        <v>359</v>
      </c>
      <c r="C53" s="352">
        <v>2</v>
      </c>
      <c r="D53" s="353">
        <f>C53*$A$56</f>
        <v>16</v>
      </c>
      <c r="E53" s="354">
        <v>35</v>
      </c>
      <c r="F53" s="355">
        <f>ROUND(E53*D53,2)</f>
        <v>560</v>
      </c>
      <c r="J53" s="356">
        <v>35</v>
      </c>
      <c r="K53" s="357">
        <f>ROUND(IF(Dados!$L$65="SIM",J53*Dados!$M$65,J53),2)</f>
        <v>35</v>
      </c>
      <c r="L53" s="357">
        <f>ROUND(IF(Dados!$L$66="SIM",K53*Dados!$M$66,K53),2)</f>
        <v>35</v>
      </c>
      <c r="M53" s="357">
        <f>ROUND(IF(Dados!$L$67="SIM",L53*Dados!$M$67,L53),2)</f>
        <v>35</v>
      </c>
      <c r="N53" s="357">
        <f>ROUND(IF(Dados!$L$68="SIM",M53*Dados!$M$68,M53),2)</f>
        <v>35</v>
      </c>
      <c r="O53" s="357">
        <f>ROUND(IF(Dados!$L$68="SIM",N53*Dados!$M$68,N53),2)</f>
        <v>35</v>
      </c>
      <c r="P53" s="358">
        <f>IF(Dados!$D$72="INICIAL",J53,IF(Dados!$D$72="1º IPCA",K53,IF(Dados!$D$72="2º IPCA",L53,IF(Dados!$D$72="3º IPCA",M53,IF(Dados!$D$72="4º IPCA",N53,IF(Dados!$D$72="5º IPCA",O53,))))))</f>
        <v>35</v>
      </c>
    </row>
    <row r="54" spans="1:16" ht="25.5" customHeight="1" x14ac:dyDescent="0.2">
      <c r="A54" s="360"/>
      <c r="B54" s="351" t="s">
        <v>359</v>
      </c>
      <c r="C54" s="352">
        <v>2</v>
      </c>
      <c r="D54" s="353">
        <f>C54*$A$56</f>
        <v>16</v>
      </c>
      <c r="E54" s="354">
        <v>78.7</v>
      </c>
      <c r="F54" s="355">
        <f>ROUND(E54*D54,2)</f>
        <v>1259.2</v>
      </c>
      <c r="J54" s="356">
        <v>78.7</v>
      </c>
      <c r="K54" s="357">
        <f>ROUND(IF(Dados!$L$65="SIM",J54*Dados!$M$65,J54),2)</f>
        <v>78.7</v>
      </c>
      <c r="L54" s="357">
        <f>ROUND(IF(Dados!$L$66="SIM",K54*Dados!$M$66,K54),2)</f>
        <v>78.7</v>
      </c>
      <c r="M54" s="357">
        <f>ROUND(IF(Dados!$L$67="SIM",L54*Dados!$M$67,L54),2)</f>
        <v>78.7</v>
      </c>
      <c r="N54" s="357">
        <f>ROUND(IF(Dados!$L$68="SIM",M54*Dados!$M$68,M54),2)</f>
        <v>78.7</v>
      </c>
      <c r="O54" s="357">
        <f>ROUND(IF(Dados!$L$68="SIM",N54*Dados!$M$68,N54),2)</f>
        <v>78.7</v>
      </c>
      <c r="P54" s="358">
        <f>IF(Dados!$D$72="INICIAL",J54,IF(Dados!$D$72="1º IPCA",K54,IF(Dados!$D$72="2º IPCA",L54,IF(Dados!$D$72="3º IPCA",M54,IF(Dados!$D$72="4º IPCA",N54,IF(Dados!$D$72="5º IPCA",O54,))))))</f>
        <v>78.7</v>
      </c>
    </row>
    <row r="55" spans="1:16" ht="35.25" customHeight="1" x14ac:dyDescent="0.2">
      <c r="A55" s="360"/>
      <c r="B55" s="351" t="s">
        <v>361</v>
      </c>
      <c r="C55" s="352">
        <v>1</v>
      </c>
      <c r="D55" s="353">
        <f>C55*$A$56</f>
        <v>8</v>
      </c>
      <c r="E55" s="354">
        <v>19</v>
      </c>
      <c r="F55" s="355">
        <f>ROUND(E55*D55,2)</f>
        <v>152</v>
      </c>
      <c r="J55" s="356">
        <v>19</v>
      </c>
      <c r="K55" s="357">
        <f>ROUND(IF(Dados!$L$65="SIM",J55*Dados!$M$65,J55),2)</f>
        <v>19</v>
      </c>
      <c r="L55" s="357">
        <f>ROUND(IF(Dados!$L$66="SIM",K55*Dados!$M$66,K55),2)</f>
        <v>19</v>
      </c>
      <c r="M55" s="357">
        <f>ROUND(IF(Dados!$L$67="SIM",L55*Dados!$M$67,L55),2)</f>
        <v>19</v>
      </c>
      <c r="N55" s="357">
        <f>ROUND(IF(Dados!$L$68="SIM",M55*Dados!$M$68,M55),2)</f>
        <v>19</v>
      </c>
      <c r="O55" s="357">
        <f>ROUND(IF(Dados!$L$68="SIM",N55*Dados!$M$68,N55),2)</f>
        <v>19</v>
      </c>
      <c r="P55" s="358">
        <f>IF(Dados!$D$72="INICIAL",J55,IF(Dados!$D$72="1º IPCA",K55,IF(Dados!$D$72="2º IPCA",L55,IF(Dados!$D$72="3º IPCA",M55,IF(Dados!$D$72="4º IPCA",N55,IF(Dados!$D$72="5º IPCA",O55,))))))</f>
        <v>19</v>
      </c>
    </row>
    <row r="56" spans="1:16" ht="36.75" customHeight="1" x14ac:dyDescent="0.2">
      <c r="A56" s="360">
        <f>Resumo!D20</f>
        <v>8</v>
      </c>
      <c r="B56" s="351" t="s">
        <v>360</v>
      </c>
      <c r="C56" s="352">
        <v>2</v>
      </c>
      <c r="D56" s="353">
        <f>C56*$A$56</f>
        <v>16</v>
      </c>
      <c r="E56" s="354">
        <v>80</v>
      </c>
      <c r="F56" s="355">
        <f>ROUND(E56*D56,2)</f>
        <v>1280</v>
      </c>
      <c r="J56" s="356">
        <v>80</v>
      </c>
      <c r="K56" s="357">
        <f>ROUND(IF(Dados!$L$65="SIM",J56*Dados!$M$65,J56),2)</f>
        <v>80</v>
      </c>
      <c r="L56" s="357">
        <f>ROUND(IF(Dados!$L$66="SIM",K56*Dados!$M$66,K56),2)</f>
        <v>80</v>
      </c>
      <c r="M56" s="357">
        <f>ROUND(IF(Dados!$L$67="SIM",L56*Dados!$M$67,L56),2)</f>
        <v>80</v>
      </c>
      <c r="N56" s="357">
        <f>ROUND(IF(Dados!$L$68="SIM",M56*Dados!$M$68,M56),2)</f>
        <v>80</v>
      </c>
      <c r="O56" s="357">
        <f>ROUND(IF(Dados!$L$68="SIM",N56*Dados!$M$68,N56),2)</f>
        <v>80</v>
      </c>
      <c r="P56" s="358">
        <f>IF(Dados!$D$72="INICIAL",J56,IF(Dados!$D$72="1º IPCA",K56,IF(Dados!$D$72="2º IPCA",L56,IF(Dados!$D$72="3º IPCA",M56,IF(Dados!$D$72="4º IPCA",N56,IF(Dados!$D$72="5º IPCA",O56,))))))</f>
        <v>80</v>
      </c>
    </row>
    <row r="57" spans="1:16" ht="37.5" customHeight="1" x14ac:dyDescent="0.2">
      <c r="A57" s="384"/>
      <c r="B57" s="694" t="s">
        <v>363</v>
      </c>
      <c r="C57" s="694"/>
      <c r="D57" s="694"/>
      <c r="E57" s="362"/>
      <c r="F57" s="388">
        <f>SUM(F52:F56)</f>
        <v>5171.2</v>
      </c>
    </row>
    <row r="58" spans="1:16" ht="36.75" customHeight="1" x14ac:dyDescent="0.2">
      <c r="A58" s="695" t="s">
        <v>374</v>
      </c>
      <c r="B58" s="695"/>
      <c r="C58" s="695"/>
      <c r="D58" s="695"/>
      <c r="E58" s="695"/>
      <c r="F58" s="364">
        <f>ROUND((F57/$A$56/12),2)</f>
        <v>53.87</v>
      </c>
      <c r="J58" s="696" t="s">
        <v>350</v>
      </c>
      <c r="K58" s="611" t="s">
        <v>255</v>
      </c>
      <c r="L58" s="611" t="s">
        <v>256</v>
      </c>
      <c r="M58" s="611" t="s">
        <v>257</v>
      </c>
      <c r="N58" s="611" t="s">
        <v>258</v>
      </c>
      <c r="O58" s="611" t="s">
        <v>259</v>
      </c>
    </row>
    <row r="59" spans="1:16" ht="36.75" customHeight="1" x14ac:dyDescent="0.2">
      <c r="A59" s="389"/>
      <c r="B59" s="390"/>
      <c r="C59" s="390"/>
      <c r="D59" s="390"/>
      <c r="E59" s="390"/>
      <c r="F59" s="391"/>
      <c r="J59" s="696"/>
      <c r="K59" s="611"/>
      <c r="L59" s="611"/>
      <c r="M59" s="611"/>
      <c r="N59" s="611"/>
      <c r="O59" s="611"/>
    </row>
    <row r="60" spans="1:16" ht="42.75" customHeight="1" x14ac:dyDescent="0.2">
      <c r="A60" s="692" t="s">
        <v>375</v>
      </c>
      <c r="B60" s="392" t="s">
        <v>357</v>
      </c>
      <c r="C60" s="377">
        <v>3</v>
      </c>
      <c r="D60" s="387">
        <f>C60*$A$63</f>
        <v>33</v>
      </c>
      <c r="E60" s="379">
        <v>80</v>
      </c>
      <c r="F60" s="380">
        <f>ROUND(E60*D60,2)</f>
        <v>2640</v>
      </c>
      <c r="J60" s="356">
        <v>80</v>
      </c>
      <c r="K60" s="357">
        <f>ROUND(IF(Dados!$L$65="SIM",J60*Dados!$M$65,J60),2)</f>
        <v>80</v>
      </c>
      <c r="L60" s="357">
        <f>ROUND(IF(Dados!$L$66="SIM",K60*Dados!$M$66,K60),2)</f>
        <v>80</v>
      </c>
      <c r="M60" s="357">
        <f>ROUND(IF(Dados!$L$67="SIM",L60*Dados!$M$67,L60),2)</f>
        <v>80</v>
      </c>
      <c r="N60" s="357">
        <f>ROUND(IF(Dados!$L$68="SIM",M60*Dados!$M$68,M60),2)</f>
        <v>80</v>
      </c>
      <c r="O60" s="357">
        <f>ROUND(IF(Dados!$L$68="SIM",N60*Dados!$M$68,N60),2)</f>
        <v>80</v>
      </c>
      <c r="P60" s="358">
        <f>IF(Dados!$D$72="INICIAL",J60,IF(Dados!$D$72="1º IPCA",K60,IF(Dados!$D$72="2º IPCA",L60,IF(Dados!$D$72="3º IPCA",M60,IF(Dados!$D$72="4º IPCA",N60,IF(Dados!$D$72="5º IPCA",O60,))))))</f>
        <v>80</v>
      </c>
    </row>
    <row r="61" spans="1:16" ht="42.75" customHeight="1" x14ac:dyDescent="0.2">
      <c r="A61" s="692"/>
      <c r="B61" s="393" t="s">
        <v>358</v>
      </c>
      <c r="C61" s="352">
        <v>1</v>
      </c>
      <c r="D61" s="353">
        <f>C61*$A$63</f>
        <v>11</v>
      </c>
      <c r="E61" s="354">
        <v>157</v>
      </c>
      <c r="F61" s="355">
        <f>ROUND(E61*D61,2)</f>
        <v>1727</v>
      </c>
      <c r="J61" s="356">
        <v>157</v>
      </c>
      <c r="K61" s="357">
        <f>ROUND(IF(Dados!$L$65="SIM",J61*Dados!$M$65,J61),2)</f>
        <v>157</v>
      </c>
      <c r="L61" s="357">
        <f>ROUND(IF(Dados!$L$66="SIM",K61*Dados!$M$66,K61),2)</f>
        <v>157</v>
      </c>
      <c r="M61" s="357">
        <f>ROUND(IF(Dados!$L$67="SIM",L61*Dados!$M$67,L61),2)</f>
        <v>157</v>
      </c>
      <c r="N61" s="357">
        <f>ROUND(IF(Dados!$L$68="SIM",M61*Dados!$M$68,M61),2)</f>
        <v>157</v>
      </c>
      <c r="O61" s="357">
        <f>ROUND(IF(Dados!$L$68="SIM",N61*Dados!$M$68,N61),2)</f>
        <v>157</v>
      </c>
      <c r="P61" s="358">
        <f>IF(Dados!$D$72="INICIAL",J61,IF(Dados!$D$72="1º IPCA",K61,IF(Dados!$D$72="2º IPCA",L61,IF(Dados!$D$72="3º IPCA",M61,IF(Dados!$D$72="4º IPCA",N61,IF(Dados!$D$72="5º IPCA",O61,))))))</f>
        <v>157</v>
      </c>
    </row>
    <row r="62" spans="1:16" ht="26.85" customHeight="1" x14ac:dyDescent="0.2">
      <c r="A62" s="372"/>
      <c r="B62" s="393" t="s">
        <v>359</v>
      </c>
      <c r="C62" s="352">
        <v>4</v>
      </c>
      <c r="D62" s="353">
        <f>C62*$A$63</f>
        <v>44</v>
      </c>
      <c r="E62" s="354">
        <v>78.7</v>
      </c>
      <c r="F62" s="355">
        <f>ROUND(E62*D62,2)</f>
        <v>3462.8</v>
      </c>
      <c r="J62" s="356">
        <v>78.7</v>
      </c>
      <c r="K62" s="357">
        <f>ROUND(IF(Dados!$L$65="SIM",J62*Dados!$M$65,J62),2)</f>
        <v>78.7</v>
      </c>
      <c r="L62" s="357">
        <f>ROUND(IF(Dados!$L$66="SIM",K62*Dados!$M$66,K62),2)</f>
        <v>78.7</v>
      </c>
      <c r="M62" s="357">
        <f>ROUND(IF(Dados!$L$67="SIM",L62*Dados!$M$67,L62),2)</f>
        <v>78.7</v>
      </c>
      <c r="N62" s="357">
        <f>ROUND(IF(Dados!$L$68="SIM",M62*Dados!$M$68,M62),2)</f>
        <v>78.7</v>
      </c>
      <c r="O62" s="357">
        <f>ROUND(IF(Dados!$L$68="SIM",N62*Dados!$M$68,N62),2)</f>
        <v>78.7</v>
      </c>
      <c r="P62" s="358">
        <f>IF(Dados!$D$72="INICIAL",J62,IF(Dados!$D$72="1º IPCA",K62,IF(Dados!$D$72="2º IPCA",L62,IF(Dados!$D$72="3º IPCA",M62,IF(Dados!$D$72="4º IPCA",N62,IF(Dados!$D$72="5º IPCA",O62,))))))</f>
        <v>78.7</v>
      </c>
    </row>
    <row r="63" spans="1:16" ht="36" customHeight="1" x14ac:dyDescent="0.2">
      <c r="A63" s="372">
        <f>Resumo!D21</f>
        <v>11</v>
      </c>
      <c r="B63" s="394" t="s">
        <v>360</v>
      </c>
      <c r="C63" s="367">
        <v>2</v>
      </c>
      <c r="D63" s="395">
        <f>C63*$A$63</f>
        <v>22</v>
      </c>
      <c r="E63" s="354">
        <v>80</v>
      </c>
      <c r="F63" s="355">
        <f>ROUND(E63*D63,2)</f>
        <v>1760</v>
      </c>
      <c r="J63" s="356">
        <v>80</v>
      </c>
      <c r="K63" s="357">
        <f>ROUND(IF(Dados!$L$65="SIM",J63*Dados!$M$65,J63),2)</f>
        <v>80</v>
      </c>
      <c r="L63" s="357">
        <f>ROUND(IF(Dados!$L$66="SIM",K63*Dados!$M$66,K63),2)</f>
        <v>80</v>
      </c>
      <c r="M63" s="357">
        <f>ROUND(IF(Dados!$L$67="SIM",L63*Dados!$M$67,L63),2)</f>
        <v>80</v>
      </c>
      <c r="N63" s="357">
        <f>ROUND(IF(Dados!$L$68="SIM",M63*Dados!$M$68,M63),2)</f>
        <v>80</v>
      </c>
      <c r="O63" s="357">
        <f>ROUND(IF(Dados!$L$68="SIM",N63*Dados!$M$68,N63),2)</f>
        <v>80</v>
      </c>
      <c r="P63" s="358">
        <f>IF(Dados!$D$72="INICIAL",J63,IF(Dados!$D$72="1º IPCA",K63,IF(Dados!$D$72="2º IPCA",L63,IF(Dados!$D$72="3º IPCA",M63,IF(Dados!$D$72="4º IPCA",N63,IF(Dados!$D$72="5º IPCA",O63,))))))</f>
        <v>80</v>
      </c>
    </row>
    <row r="64" spans="1:16" ht="32.25" customHeight="1" x14ac:dyDescent="0.2">
      <c r="A64" s="396"/>
      <c r="B64" s="693" t="s">
        <v>363</v>
      </c>
      <c r="C64" s="693"/>
      <c r="D64" s="693"/>
      <c r="E64" s="397"/>
      <c r="F64" s="388">
        <f>SUM(F60:F63)</f>
        <v>9589.7999999999993</v>
      </c>
    </row>
    <row r="65" spans="1:6" ht="35.25" customHeight="1" x14ac:dyDescent="0.2">
      <c r="A65" s="691" t="s">
        <v>376</v>
      </c>
      <c r="B65" s="691"/>
      <c r="C65" s="691"/>
      <c r="D65" s="691"/>
      <c r="E65" s="691"/>
      <c r="F65" s="364">
        <f>ROUND((F64/$A$63/12),2)</f>
        <v>72.650000000000006</v>
      </c>
    </row>
    <row r="66" spans="1:6" ht="31.5" customHeight="1" x14ac:dyDescent="0.25">
      <c r="A66" s="87"/>
      <c r="B66" s="341"/>
      <c r="C66" s="341"/>
      <c r="D66" s="341"/>
      <c r="E66" s="342"/>
      <c r="F66" s="342"/>
    </row>
  </sheetData>
  <sheetProtection algorithmName="SHA-512" hashValue="VEA4kWo++sjcvpvFX/IaD10ig6mtE7GNjTeEXF763242ceFYnU25MqKo75znc/HBAbNwPjUIX0FC/CFRRxxgwg==" saltValue="TE5t4I6W+rxpDzeiAQ18JQ==" spinCount="100000" sheet="1" objects="1" scenarios="1"/>
  <mergeCells count="80">
    <mergeCell ref="J1:O4"/>
    <mergeCell ref="A4:F4"/>
    <mergeCell ref="A5:F5"/>
    <mergeCell ref="J5:J6"/>
    <mergeCell ref="K5:K6"/>
    <mergeCell ref="L5:L6"/>
    <mergeCell ref="M5:M6"/>
    <mergeCell ref="N5:N6"/>
    <mergeCell ref="O5:O6"/>
    <mergeCell ref="A7:A8"/>
    <mergeCell ref="B13:D13"/>
    <mergeCell ref="A14:E14"/>
    <mergeCell ref="J14:J15"/>
    <mergeCell ref="K14:K15"/>
    <mergeCell ref="L14:L15"/>
    <mergeCell ref="M14:M15"/>
    <mergeCell ref="N14:N15"/>
    <mergeCell ref="O14:O15"/>
    <mergeCell ref="A15:F15"/>
    <mergeCell ref="A16:A17"/>
    <mergeCell ref="B20:D20"/>
    <mergeCell ref="A21:E21"/>
    <mergeCell ref="J21:J22"/>
    <mergeCell ref="K21:K22"/>
    <mergeCell ref="L21:L22"/>
    <mergeCell ref="M21:M22"/>
    <mergeCell ref="N21:N22"/>
    <mergeCell ref="O21:O22"/>
    <mergeCell ref="A22:F22"/>
    <mergeCell ref="A23:A24"/>
    <mergeCell ref="B27:D27"/>
    <mergeCell ref="A28:E28"/>
    <mergeCell ref="J28:J29"/>
    <mergeCell ref="K28:K29"/>
    <mergeCell ref="L28:L29"/>
    <mergeCell ref="M28:M29"/>
    <mergeCell ref="N28:N29"/>
    <mergeCell ref="O28:O29"/>
    <mergeCell ref="A29:F29"/>
    <mergeCell ref="A30:A31"/>
    <mergeCell ref="B34:D34"/>
    <mergeCell ref="A35:E35"/>
    <mergeCell ref="J35:J36"/>
    <mergeCell ref="K35:K36"/>
    <mergeCell ref="L35:L36"/>
    <mergeCell ref="M35:M36"/>
    <mergeCell ref="N35:N36"/>
    <mergeCell ref="O35:O36"/>
    <mergeCell ref="A37:A39"/>
    <mergeCell ref="B42:D42"/>
    <mergeCell ref="A43:E43"/>
    <mergeCell ref="J43:J44"/>
    <mergeCell ref="K43:K44"/>
    <mergeCell ref="L43:L44"/>
    <mergeCell ref="M43:M44"/>
    <mergeCell ref="N43:N44"/>
    <mergeCell ref="O43:O44"/>
    <mergeCell ref="A44:F44"/>
    <mergeCell ref="A45:A46"/>
    <mergeCell ref="B49:D49"/>
    <mergeCell ref="A50:E50"/>
    <mergeCell ref="J50:J51"/>
    <mergeCell ref="K50:K51"/>
    <mergeCell ref="L50:L51"/>
    <mergeCell ref="M50:M51"/>
    <mergeCell ref="N50:N51"/>
    <mergeCell ref="O50:O51"/>
    <mergeCell ref="A51:F51"/>
    <mergeCell ref="A52:A53"/>
    <mergeCell ref="B57:D57"/>
    <mergeCell ref="A58:E58"/>
    <mergeCell ref="J58:J59"/>
    <mergeCell ref="K58:K59"/>
    <mergeCell ref="L58:L59"/>
    <mergeCell ref="A65:E65"/>
    <mergeCell ref="M58:M59"/>
    <mergeCell ref="N58:N59"/>
    <mergeCell ref="O58:O59"/>
    <mergeCell ref="A60:A61"/>
    <mergeCell ref="B64:D64"/>
  </mergeCells>
  <pageMargins left="0.39374999999999999" right="0" top="0.39374999999999999" bottom="0.39374999999999999" header="0.51180555555555496" footer="0.51180555555555496"/>
  <pageSetup paperSize="9" scale="7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8"/>
  <sheetViews>
    <sheetView showGridLines="0" view="pageBreakPreview" zoomScaleNormal="80" workbookViewId="0">
      <selection activeCell="F27" sqref="F27:I27"/>
    </sheetView>
  </sheetViews>
  <sheetFormatPr defaultColWidth="9" defaultRowHeight="12.75" x14ac:dyDescent="0.2"/>
  <cols>
    <col min="1" max="1" width="11.33203125" customWidth="1"/>
    <col min="2" max="2" width="28.83203125" customWidth="1"/>
    <col min="3" max="3" width="10.5" customWidth="1"/>
    <col min="4" max="5" width="17.5" customWidth="1"/>
    <col min="6" max="8" width="17.83203125" style="398" customWidth="1"/>
    <col min="9" max="9" width="17.83203125" customWidth="1"/>
  </cols>
  <sheetData>
    <row r="1" spans="1:12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</row>
    <row r="2" spans="1:12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</row>
    <row r="3" spans="1:12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</row>
    <row r="4" spans="1:12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</row>
    <row r="5" spans="1:12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</row>
    <row r="6" spans="1:12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</row>
    <row r="7" spans="1:12" ht="30" customHeight="1" x14ac:dyDescent="0.2">
      <c r="A7" s="735" t="str">
        <f>Dados!B8&amp;" - "&amp;D10</f>
        <v>Ascensorista - 150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</row>
    <row r="8" spans="1:12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</row>
    <row r="9" spans="1:12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26" t="s">
        <v>388</v>
      </c>
      <c r="G9" s="726"/>
      <c r="H9" s="726"/>
      <c r="I9" s="726"/>
      <c r="J9" s="89"/>
      <c r="K9" s="89"/>
      <c r="L9" s="89"/>
    </row>
    <row r="10" spans="1:12" ht="27" customHeight="1" x14ac:dyDescent="0.2">
      <c r="A10" s="727">
        <v>1</v>
      </c>
      <c r="B10" s="728" t="str">
        <f>A7</f>
        <v>Ascensorista - 150</v>
      </c>
      <c r="C10" s="728"/>
      <c r="D10" s="413">
        <f>Dados!C8</f>
        <v>150</v>
      </c>
      <c r="E10" s="414">
        <f>Dados!$E8</f>
        <v>2080</v>
      </c>
      <c r="F10" s="415">
        <f>ROUND(E10/220*D10,2)</f>
        <v>1418.18</v>
      </c>
      <c r="G10" s="416"/>
      <c r="H10" s="417"/>
      <c r="I10" s="418"/>
      <c r="J10" s="89"/>
      <c r="K10" s="89"/>
      <c r="L10" s="89"/>
    </row>
    <row r="11" spans="1:12" ht="24" customHeight="1" x14ac:dyDescent="0.2">
      <c r="A11" s="727"/>
      <c r="B11" s="729"/>
      <c r="C11" s="729"/>
      <c r="D11" s="419"/>
      <c r="E11" s="420"/>
      <c r="F11" s="415">
        <f>ROUND(((E11/220*D10)*C11)*D11,2)</f>
        <v>0</v>
      </c>
      <c r="G11" s="416"/>
      <c r="H11" s="417"/>
      <c r="I11" s="418"/>
      <c r="J11" s="89"/>
      <c r="K11" s="89"/>
      <c r="L11" s="89"/>
    </row>
    <row r="12" spans="1:12" ht="19.5" customHeight="1" x14ac:dyDescent="0.2">
      <c r="A12" s="727"/>
      <c r="B12" s="730" t="s">
        <v>389</v>
      </c>
      <c r="C12" s="730"/>
      <c r="D12" s="730"/>
      <c r="E12" s="730"/>
      <c r="F12" s="421">
        <f>F10+F11</f>
        <v>1418.18</v>
      </c>
      <c r="G12" s="422"/>
      <c r="H12" s="423"/>
      <c r="I12" s="424"/>
      <c r="J12" s="89"/>
      <c r="K12" s="89"/>
      <c r="L12" s="89"/>
    </row>
    <row r="13" spans="1:12" ht="19.5" customHeight="1" x14ac:dyDescent="0.2">
      <c r="A13" s="727"/>
      <c r="B13" s="731" t="s">
        <v>390</v>
      </c>
      <c r="C13" s="731"/>
      <c r="D13" s="731"/>
      <c r="E13" s="425">
        <f>Dados!G28</f>
        <v>0.79049999999999998</v>
      </c>
      <c r="F13" s="415">
        <f>(ROUND((E13*F12),2))</f>
        <v>1121.07</v>
      </c>
      <c r="G13" s="416"/>
      <c r="H13" s="417"/>
      <c r="I13" s="418"/>
      <c r="J13" s="89"/>
      <c r="K13" s="89"/>
      <c r="L13" s="89"/>
    </row>
    <row r="14" spans="1:12" ht="24.75" customHeight="1" x14ac:dyDescent="0.2">
      <c r="A14" s="714" t="s">
        <v>391</v>
      </c>
      <c r="B14" s="714"/>
      <c r="C14" s="714"/>
      <c r="D14" s="714"/>
      <c r="E14" s="714"/>
      <c r="F14" s="426">
        <f>ROUND(SUM(F12:F13),2)</f>
        <v>2539.25</v>
      </c>
      <c r="G14" s="427"/>
      <c r="H14" s="428"/>
      <c r="I14" s="429"/>
      <c r="J14" s="89"/>
      <c r="K14" s="89"/>
      <c r="L14" s="89"/>
    </row>
    <row r="15" spans="1:12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</row>
    <row r="16" spans="1:12" ht="19.5" customHeight="1" x14ac:dyDescent="0.2">
      <c r="A16" s="723" t="s">
        <v>393</v>
      </c>
      <c r="B16" s="723"/>
      <c r="C16" s="430" t="s">
        <v>394</v>
      </c>
      <c r="D16" s="724" t="s">
        <v>395</v>
      </c>
      <c r="E16" s="724"/>
      <c r="F16" s="724"/>
      <c r="G16" s="724"/>
      <c r="H16" s="724"/>
      <c r="I16" s="724"/>
      <c r="J16" s="89"/>
      <c r="K16" s="89"/>
      <c r="L16" s="89"/>
    </row>
    <row r="17" spans="1:12" ht="19.5" customHeight="1" x14ac:dyDescent="0.2">
      <c r="A17" s="718" t="s">
        <v>396</v>
      </c>
      <c r="B17" s="718"/>
      <c r="C17" s="431"/>
      <c r="D17" s="432"/>
      <c r="E17" s="414"/>
      <c r="F17" s="415">
        <f>Dados!I8</f>
        <v>76.239999999999995</v>
      </c>
      <c r="G17" s="416"/>
      <c r="H17" s="417"/>
      <c r="I17" s="418"/>
      <c r="J17" s="89"/>
      <c r="K17" s="89"/>
      <c r="L17" s="89"/>
    </row>
    <row r="18" spans="1:12" ht="19.5" customHeight="1" x14ac:dyDescent="0.2">
      <c r="A18" s="718" t="s">
        <v>397</v>
      </c>
      <c r="B18" s="718"/>
      <c r="C18" s="431"/>
      <c r="D18" s="432"/>
      <c r="E18" s="433"/>
      <c r="F18" s="415">
        <f>Dados!G35</f>
        <v>2.2000000000000002</v>
      </c>
      <c r="G18" s="416"/>
      <c r="H18" s="417"/>
      <c r="I18" s="418"/>
      <c r="J18" s="89"/>
      <c r="K18" s="89"/>
      <c r="L18" s="89"/>
    </row>
    <row r="19" spans="1:12" ht="25.5" customHeight="1" x14ac:dyDescent="0.2">
      <c r="A19" s="722" t="s">
        <v>398</v>
      </c>
      <c r="B19" s="722"/>
      <c r="C19" s="431"/>
      <c r="D19" s="432"/>
      <c r="E19" s="305"/>
      <c r="F19" s="415">
        <f>Dados!G36</f>
        <v>80.72</v>
      </c>
      <c r="G19" s="416"/>
      <c r="H19" s="417"/>
      <c r="I19" s="418"/>
      <c r="J19" s="89"/>
      <c r="K19" s="89"/>
      <c r="L19" s="89"/>
    </row>
    <row r="20" spans="1:12" ht="25.5" customHeight="1" x14ac:dyDescent="0.2">
      <c r="A20" s="678" t="s">
        <v>399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0</v>
      </c>
      <c r="G20" s="416">
        <f>F20</f>
        <v>0</v>
      </c>
      <c r="H20" s="417"/>
      <c r="I20" s="418"/>
      <c r="J20" s="89"/>
      <c r="K20" s="89"/>
      <c r="L20" s="89"/>
    </row>
    <row r="21" spans="1:12" ht="19.5" customHeight="1" x14ac:dyDescent="0.2">
      <c r="A21" s="718" t="s">
        <v>400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425.31</v>
      </c>
      <c r="G21" s="416"/>
      <c r="H21" s="417"/>
      <c r="I21" s="418">
        <f>F21</f>
        <v>425.31</v>
      </c>
      <c r="J21" s="89"/>
      <c r="K21" s="89"/>
      <c r="L21" s="89"/>
    </row>
    <row r="22" spans="1:12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  <c r="L22" s="89"/>
    </row>
    <row r="23" spans="1:12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  <c r="L23" s="89"/>
    </row>
    <row r="24" spans="1:12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584.47</v>
      </c>
      <c r="G24" s="426">
        <f>SUM(G17:G23)</f>
        <v>0</v>
      </c>
      <c r="H24" s="428">
        <f>SUM($H$17:$H$23)</f>
        <v>0</v>
      </c>
      <c r="I24" s="429">
        <f>SUM($I$17:$I$23)</f>
        <v>425.31</v>
      </c>
      <c r="J24" s="89"/>
      <c r="K24" s="89"/>
      <c r="L24" s="89"/>
    </row>
    <row r="25" spans="1:12" ht="24.75" customHeight="1" x14ac:dyDescent="0.2">
      <c r="A25" s="714" t="s">
        <v>402</v>
      </c>
      <c r="B25" s="714"/>
      <c r="C25" s="714"/>
      <c r="D25" s="714"/>
      <c r="E25" s="714"/>
      <c r="F25" s="426">
        <f>F14+F24</f>
        <v>3123.7200000000003</v>
      </c>
      <c r="G25" s="426">
        <f>$G$14+$G$24</f>
        <v>0</v>
      </c>
      <c r="H25" s="428">
        <f>$H$14+$H$24</f>
        <v>0</v>
      </c>
      <c r="I25" s="429">
        <f>$I$14+$I$24</f>
        <v>425.31</v>
      </c>
      <c r="J25" s="89"/>
      <c r="K25" s="89"/>
      <c r="L25" s="89"/>
    </row>
    <row r="26" spans="1:12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>
        <f>SUM($H$17:$H$25)</f>
        <v>0</v>
      </c>
      <c r="I26" s="715">
        <f>SUM($I$17:$I$25)</f>
        <v>1275.93</v>
      </c>
      <c r="J26" s="89"/>
      <c r="K26" s="89"/>
      <c r="L26" s="89"/>
    </row>
    <row r="27" spans="1:12" ht="19.5" customHeight="1" x14ac:dyDescent="0.2">
      <c r="A27" s="719" t="s">
        <v>404</v>
      </c>
      <c r="B27" s="719"/>
      <c r="C27" s="719"/>
      <c r="D27" s="720" t="s">
        <v>405</v>
      </c>
      <c r="E27" s="720"/>
      <c r="F27" s="721" t="s">
        <v>388</v>
      </c>
      <c r="G27" s="721"/>
      <c r="H27" s="721"/>
      <c r="I27" s="721"/>
      <c r="J27" s="89"/>
      <c r="K27" s="89"/>
      <c r="L27" s="89"/>
    </row>
    <row r="28" spans="1:12" ht="19.5" customHeight="1" x14ac:dyDescent="0.2">
      <c r="A28" s="435" t="s">
        <v>406</v>
      </c>
      <c r="B28" s="436"/>
      <c r="C28" s="436"/>
      <c r="D28" s="432">
        <f>Dados!$G$50</f>
        <v>0.03</v>
      </c>
      <c r="E28" s="437"/>
      <c r="F28" s="415">
        <f>ROUND((F25*D28),2)</f>
        <v>93.71</v>
      </c>
      <c r="G28" s="416">
        <f>ROUND(($G$25*$D$28),2)</f>
        <v>0</v>
      </c>
      <c r="H28" s="417">
        <f>ROUND((H25*D28),2)</f>
        <v>0</v>
      </c>
      <c r="I28" s="418">
        <f>ROUND((I25*D28),2)</f>
        <v>12.76</v>
      </c>
      <c r="J28" s="89"/>
      <c r="K28" s="89"/>
      <c r="L28" s="89"/>
    </row>
    <row r="29" spans="1:12" ht="19.5" customHeight="1" x14ac:dyDescent="0.2">
      <c r="A29" s="713" t="s">
        <v>407</v>
      </c>
      <c r="B29" s="713"/>
      <c r="C29" s="713"/>
      <c r="D29" s="432"/>
      <c r="E29" s="437"/>
      <c r="F29" s="415">
        <f>F25+F28</f>
        <v>3217.4300000000003</v>
      </c>
      <c r="G29" s="416">
        <f>$G$28+$G$25</f>
        <v>0</v>
      </c>
      <c r="H29" s="417">
        <f>H25+H28</f>
        <v>0</v>
      </c>
      <c r="I29" s="418">
        <f>I25+I28</f>
        <v>438.07</v>
      </c>
      <c r="J29" s="89"/>
      <c r="K29" s="89"/>
      <c r="L29" s="89"/>
    </row>
    <row r="30" spans="1:12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37">
        <f>F25+F28</f>
        <v>3217.4300000000003</v>
      </c>
      <c r="F30" s="415">
        <f>ROUND((E30*D30),2)</f>
        <v>218.46</v>
      </c>
      <c r="G30" s="416">
        <f>ROUND(($G$29*$D$30),2)</f>
        <v>0</v>
      </c>
      <c r="H30" s="417">
        <f>ROUND((H29*D30),2)</f>
        <v>0</v>
      </c>
      <c r="I30" s="418">
        <f>ROUND((I29*D30),2)</f>
        <v>29.74</v>
      </c>
      <c r="J30" s="89"/>
      <c r="K30" s="89"/>
      <c r="L30" s="89"/>
    </row>
    <row r="31" spans="1:12" ht="24.75" customHeight="1" x14ac:dyDescent="0.2">
      <c r="A31" s="438" t="s">
        <v>408</v>
      </c>
      <c r="B31" s="439"/>
      <c r="C31" s="439"/>
      <c r="D31" s="440">
        <f>SUM(D28:D30)</f>
        <v>9.7900000000000001E-2</v>
      </c>
      <c r="E31" s="441"/>
      <c r="F31" s="426">
        <f>F28+F30</f>
        <v>312.17</v>
      </c>
      <c r="G31" s="427">
        <f>$G$28+$G$30</f>
        <v>0</v>
      </c>
      <c r="H31" s="428">
        <f>H28+H30</f>
        <v>0</v>
      </c>
      <c r="I31" s="429">
        <f>I28+I30</f>
        <v>42.5</v>
      </c>
      <c r="J31" s="89"/>
      <c r="K31" s="89"/>
      <c r="L31" s="89"/>
    </row>
    <row r="32" spans="1:12" ht="24.75" customHeight="1" x14ac:dyDescent="0.2">
      <c r="A32" s="714" t="s">
        <v>409</v>
      </c>
      <c r="B32" s="714"/>
      <c r="C32" s="714"/>
      <c r="D32" s="714"/>
      <c r="E32" s="714"/>
      <c r="F32" s="426">
        <f>F14+F24+F31</f>
        <v>3435.8900000000003</v>
      </c>
      <c r="G32" s="427">
        <f>$G$14+$G$24+$G$31</f>
        <v>0</v>
      </c>
      <c r="H32" s="428">
        <f>H14+H24+H31</f>
        <v>0</v>
      </c>
      <c r="I32" s="429">
        <f>I14+I24+I31</f>
        <v>467.81</v>
      </c>
      <c r="J32" s="89"/>
      <c r="K32" s="89"/>
      <c r="L32" s="89"/>
    </row>
    <row r="33" spans="1:12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</row>
    <row r="34" spans="1:12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ROUND((F39*D34),2)</f>
        <v>304.52</v>
      </c>
      <c r="G34" s="416">
        <f>ROUND(($G$39*$D$34),2)</f>
        <v>0</v>
      </c>
      <c r="H34" s="417">
        <f>ROUND((H39*D34),2)</f>
        <v>0</v>
      </c>
      <c r="I34" s="418">
        <f>ROUND((I39*D34),2)</f>
        <v>41.46</v>
      </c>
      <c r="J34" s="89"/>
      <c r="K34" s="89"/>
      <c r="L34" s="89"/>
    </row>
    <row r="35" spans="1:12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ROUND((F39*D35),2)</f>
        <v>66.11</v>
      </c>
      <c r="G35" s="416">
        <f>ROUND(($G$39*$D$35),2)</f>
        <v>0</v>
      </c>
      <c r="H35" s="417">
        <f>ROUND((H39*D35),2)</f>
        <v>0</v>
      </c>
      <c r="I35" s="418">
        <f>ROUND((I39*D35),2)</f>
        <v>9</v>
      </c>
      <c r="J35" s="89"/>
      <c r="K35" s="89"/>
      <c r="L35" s="89"/>
    </row>
    <row r="36" spans="1:12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ROUND((F39*D36),2)</f>
        <v>200.34</v>
      </c>
      <c r="G36" s="416">
        <f>ROUND(($G$39*$D$36),2)</f>
        <v>0</v>
      </c>
      <c r="H36" s="417">
        <f>ROUND((H39*D36),2)</f>
        <v>0</v>
      </c>
      <c r="I36" s="418">
        <f>ROUND((I39*D36),2)</f>
        <v>27.28</v>
      </c>
      <c r="J36" s="89"/>
      <c r="K36" s="89"/>
      <c r="L36" s="89"/>
    </row>
    <row r="37" spans="1:12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ROUND((F39*D37),2)</f>
        <v>0</v>
      </c>
      <c r="G37" s="415">
        <f>ROUND((G39*E37),2)</f>
        <v>0</v>
      </c>
      <c r="H37" s="417"/>
      <c r="I37" s="418"/>
      <c r="J37" s="89"/>
      <c r="K37" s="89"/>
      <c r="L37" s="89"/>
    </row>
    <row r="38" spans="1:12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570.97</v>
      </c>
      <c r="G38" s="426">
        <f>SUM(G34:G37)</f>
        <v>0</v>
      </c>
      <c r="H38" s="426">
        <f>SUM(H34:H37)</f>
        <v>0</v>
      </c>
      <c r="I38" s="445">
        <f>SUM(I34:I37)</f>
        <v>77.740000000000009</v>
      </c>
      <c r="J38" s="89"/>
      <c r="K38" s="89"/>
      <c r="L38" s="89"/>
    </row>
    <row r="39" spans="1:12" ht="34.5" hidden="1" customHeight="1" x14ac:dyDescent="0.2">
      <c r="A39" s="716" t="str">
        <f>A7</f>
        <v>Ascensorista - 150</v>
      </c>
      <c r="B39" s="716"/>
      <c r="C39" s="716"/>
      <c r="D39" s="716"/>
      <c r="E39" s="716"/>
      <c r="F39" s="446">
        <f>ROUND(F32/(1-D38),2)</f>
        <v>4006.87</v>
      </c>
      <c r="G39" s="447">
        <f>ROUND($G$32/(1-$D$38),2)</f>
        <v>0</v>
      </c>
      <c r="H39" s="448">
        <f>ROUND(H32/(1-D38),2)</f>
        <v>0</v>
      </c>
      <c r="I39" s="449">
        <f>ROUND(I32/(1-D38),2)</f>
        <v>545.54999999999995</v>
      </c>
      <c r="J39" s="89"/>
      <c r="K39" s="89"/>
      <c r="L39" s="89"/>
    </row>
    <row r="40" spans="1:12" ht="30" customHeight="1" x14ac:dyDescent="0.2">
      <c r="A40" s="717" t="str">
        <f>A7</f>
        <v>Ascensorista - 150</v>
      </c>
      <c r="B40" s="717"/>
      <c r="C40" s="717"/>
      <c r="D40" s="717"/>
      <c r="E40" s="717"/>
      <c r="F40" s="450">
        <f>F39</f>
        <v>4006.87</v>
      </c>
      <c r="G40" s="451">
        <f>$G$39</f>
        <v>0</v>
      </c>
      <c r="H40" s="452">
        <f>H39</f>
        <v>0</v>
      </c>
      <c r="I40" s="453">
        <f>I39</f>
        <v>545.54999999999995</v>
      </c>
      <c r="J40" s="89"/>
      <c r="K40" s="89"/>
      <c r="L40" s="89"/>
    </row>
    <row r="41" spans="1:12" ht="29.25" customHeight="1" x14ac:dyDescent="0.2">
      <c r="A41" s="712" t="s">
        <v>412</v>
      </c>
      <c r="B41" s="712"/>
      <c r="C41" s="712"/>
      <c r="D41" s="712"/>
      <c r="E41" s="712"/>
      <c r="F41" s="454">
        <f>($F$40/$F$12)/100</f>
        <v>2.8253606735393247E-2</v>
      </c>
      <c r="G41" s="455"/>
      <c r="H41" s="456"/>
      <c r="I41" s="457"/>
      <c r="J41" s="89"/>
      <c r="K41" s="89"/>
      <c r="L41" s="89"/>
    </row>
    <row r="42" spans="1:12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</row>
    <row r="43" spans="1:12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</row>
    <row r="44" spans="1:12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</row>
    <row r="45" spans="1:12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</row>
    <row r="46" spans="1:12" x14ac:dyDescent="0.2">
      <c r="A46" s="89"/>
      <c r="B46" s="89"/>
      <c r="C46" s="89"/>
      <c r="D46" s="89"/>
      <c r="E46" s="89"/>
      <c r="F46" s="458"/>
      <c r="G46" s="458"/>
      <c r="H46" s="458"/>
      <c r="I46" s="89"/>
      <c r="J46" s="89"/>
      <c r="K46" s="89"/>
      <c r="L46" s="89"/>
    </row>
    <row r="47" spans="1:12" x14ac:dyDescent="0.2">
      <c r="A47" s="89"/>
      <c r="B47" s="89"/>
      <c r="C47" s="89"/>
      <c r="D47" s="89"/>
      <c r="E47" s="89"/>
      <c r="F47" s="458"/>
      <c r="G47" s="458"/>
      <c r="H47" s="458"/>
      <c r="I47" s="89"/>
      <c r="J47" s="89"/>
      <c r="K47" s="89"/>
      <c r="L47" s="89"/>
    </row>
    <row r="48" spans="1:12" x14ac:dyDescent="0.2">
      <c r="A48" s="89"/>
      <c r="B48" s="89"/>
      <c r="C48" s="89"/>
      <c r="D48" s="89"/>
      <c r="E48" s="89"/>
      <c r="F48" s="458"/>
      <c r="G48" s="458"/>
      <c r="H48" s="458"/>
      <c r="I48" s="89"/>
      <c r="J48" s="89"/>
      <c r="K48" s="89"/>
      <c r="L48" s="89"/>
    </row>
  </sheetData>
  <sheetProtection algorithmName="SHA-512" hashValue="p1TW+zzjGGP9BXe+PdCR96e2ZV//bbG0m47hqhtrCVd78xH0KTHY+SvkHOqkR9IotbHRqFht+dYKroFZkgC3TA==" saltValue="3tchsU5b/BvxALU71PIEEg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4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0.33203125" customWidth="1"/>
    <col min="4" max="5" width="17.5" customWidth="1"/>
    <col min="6" max="8" width="17.83203125" style="398" customWidth="1"/>
    <col min="9" max="9" width="17.83203125" customWidth="1"/>
  </cols>
  <sheetData>
    <row r="1" spans="1:11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</row>
    <row r="2" spans="1:11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</row>
    <row r="3" spans="1:11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</row>
    <row r="4" spans="1:11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</row>
    <row r="5" spans="1:11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</row>
    <row r="6" spans="1:11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</row>
    <row r="7" spans="1:11" ht="30" customHeight="1" x14ac:dyDescent="0.2">
      <c r="A7" s="735" t="str">
        <f>Dados!B9&amp;" - "&amp;D10</f>
        <v>Atendente - 200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</row>
    <row r="8" spans="1:11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</row>
    <row r="9" spans="1:11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26" t="s">
        <v>388</v>
      </c>
      <c r="G9" s="726"/>
      <c r="H9" s="726"/>
      <c r="I9" s="726"/>
      <c r="J9" s="89"/>
      <c r="K9" s="89"/>
    </row>
    <row r="10" spans="1:11" ht="26.25" customHeight="1" x14ac:dyDescent="0.2">
      <c r="A10" s="727">
        <v>1</v>
      </c>
      <c r="B10" s="728" t="str">
        <f>A7</f>
        <v>Atendente - 200</v>
      </c>
      <c r="C10" s="728"/>
      <c r="D10" s="459">
        <f>Dados!C12</f>
        <v>200</v>
      </c>
      <c r="E10" s="414">
        <f>Dados!$E9</f>
        <v>2530</v>
      </c>
      <c r="F10" s="415">
        <f>ROUND(E10/220*D10,2)</f>
        <v>2300</v>
      </c>
      <c r="G10" s="416"/>
      <c r="H10" s="417"/>
      <c r="I10" s="418"/>
      <c r="J10" s="89"/>
      <c r="K10" s="89"/>
    </row>
    <row r="11" spans="1:11" ht="24" customHeight="1" x14ac:dyDescent="0.2">
      <c r="A11" s="727"/>
      <c r="B11" s="729"/>
      <c r="C11" s="729"/>
      <c r="D11" s="460"/>
      <c r="E11" s="420"/>
      <c r="F11" s="415">
        <f>ROUND(((E11/220*D10)*C11)*D11,2)</f>
        <v>0</v>
      </c>
      <c r="G11" s="416"/>
      <c r="H11" s="417"/>
      <c r="I11" s="418"/>
      <c r="J11" s="89"/>
      <c r="K11" s="89"/>
    </row>
    <row r="12" spans="1:11" ht="19.5" customHeight="1" x14ac:dyDescent="0.2">
      <c r="A12" s="727"/>
      <c r="B12" s="743" t="s">
        <v>389</v>
      </c>
      <c r="C12" s="743"/>
      <c r="D12" s="743"/>
      <c r="E12" s="743"/>
      <c r="F12" s="426">
        <f>F10+F11</f>
        <v>2300</v>
      </c>
      <c r="G12" s="422"/>
      <c r="H12" s="423"/>
      <c r="I12" s="424"/>
      <c r="J12" s="89"/>
      <c r="K12" s="89"/>
    </row>
    <row r="13" spans="1:11" ht="19.5" customHeight="1" x14ac:dyDescent="0.2">
      <c r="A13" s="727"/>
      <c r="B13" s="731" t="s">
        <v>390</v>
      </c>
      <c r="C13" s="731"/>
      <c r="D13" s="731"/>
      <c r="E13" s="461">
        <f>Dados!G28</f>
        <v>0.79049999999999998</v>
      </c>
      <c r="F13" s="415">
        <f>(ROUND((E13*F12),2))</f>
        <v>1818.15</v>
      </c>
      <c r="G13" s="416"/>
      <c r="H13" s="417"/>
      <c r="I13" s="418"/>
      <c r="J13" s="89"/>
      <c r="K13" s="89"/>
    </row>
    <row r="14" spans="1:11" ht="24.75" customHeight="1" x14ac:dyDescent="0.2">
      <c r="A14" s="741" t="s">
        <v>391</v>
      </c>
      <c r="B14" s="741"/>
      <c r="C14" s="741"/>
      <c r="D14" s="741"/>
      <c r="E14" s="741"/>
      <c r="F14" s="426">
        <f>ROUND(SUM(F12:F13),2)</f>
        <v>4118.1499999999996</v>
      </c>
      <c r="G14" s="427"/>
      <c r="H14" s="428"/>
      <c r="I14" s="429"/>
      <c r="J14" s="89"/>
      <c r="K14" s="89"/>
    </row>
    <row r="15" spans="1:11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</row>
    <row r="16" spans="1:11" ht="19.5" customHeight="1" x14ac:dyDescent="0.2">
      <c r="A16" s="723" t="s">
        <v>393</v>
      </c>
      <c r="B16" s="723"/>
      <c r="C16" s="430" t="s">
        <v>394</v>
      </c>
      <c r="D16" s="724" t="s">
        <v>388</v>
      </c>
      <c r="E16" s="724"/>
      <c r="F16" s="724"/>
      <c r="G16" s="724"/>
      <c r="H16" s="724"/>
      <c r="I16" s="724"/>
      <c r="J16" s="89"/>
      <c r="K16" s="89"/>
    </row>
    <row r="17" spans="1:11" ht="19.5" customHeight="1" x14ac:dyDescent="0.2">
      <c r="A17" s="718" t="s">
        <v>396</v>
      </c>
      <c r="B17" s="718"/>
      <c r="C17" s="431"/>
      <c r="D17" s="432"/>
      <c r="E17" s="414"/>
      <c r="F17" s="415">
        <f>Dados!I9</f>
        <v>72.650000000000006</v>
      </c>
      <c r="G17" s="416"/>
      <c r="H17" s="417"/>
      <c r="I17" s="418"/>
      <c r="J17" s="89"/>
      <c r="K17" s="89"/>
    </row>
    <row r="18" spans="1:11" ht="19.5" customHeight="1" x14ac:dyDescent="0.2">
      <c r="A18" s="718" t="s">
        <v>397</v>
      </c>
      <c r="B18" s="718"/>
      <c r="C18" s="431"/>
      <c r="D18" s="432"/>
      <c r="E18" s="433"/>
      <c r="F18" s="415">
        <f>Dados!G35</f>
        <v>2.2000000000000002</v>
      </c>
      <c r="G18" s="416"/>
      <c r="H18" s="417"/>
      <c r="I18" s="418"/>
      <c r="J18" s="89"/>
      <c r="K18" s="89"/>
    </row>
    <row r="19" spans="1:11" ht="25.5" customHeight="1" x14ac:dyDescent="0.2">
      <c r="A19" s="722" t="s">
        <v>398</v>
      </c>
      <c r="B19" s="722"/>
      <c r="C19" s="431"/>
      <c r="D19" s="432"/>
      <c r="E19" s="305"/>
      <c r="F19" s="415">
        <f>Dados!G36</f>
        <v>80.72</v>
      </c>
      <c r="G19" s="416"/>
      <c r="H19" s="417"/>
      <c r="I19" s="418"/>
      <c r="J19" s="89"/>
      <c r="K19" s="89"/>
    </row>
    <row r="20" spans="1:11" ht="25.5" customHeight="1" x14ac:dyDescent="0.2">
      <c r="A20" s="678" t="s">
        <v>207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460.06</v>
      </c>
      <c r="G20" s="416">
        <f>F20</f>
        <v>460.06</v>
      </c>
      <c r="H20" s="417"/>
      <c r="I20" s="418"/>
      <c r="J20" s="89"/>
      <c r="K20" s="89"/>
    </row>
    <row r="21" spans="1:11" ht="19.5" customHeight="1" x14ac:dyDescent="0.2">
      <c r="A21" s="718" t="s">
        <v>413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372.4</v>
      </c>
      <c r="G21" s="416"/>
      <c r="H21" s="417"/>
      <c r="I21" s="418">
        <f>F21</f>
        <v>372.4</v>
      </c>
      <c r="J21" s="89"/>
      <c r="K21" s="89"/>
    </row>
    <row r="22" spans="1:11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</row>
    <row r="23" spans="1:11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</row>
    <row r="24" spans="1:11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988.03</v>
      </c>
      <c r="G24" s="426">
        <f>SUM(G17:G23)</f>
        <v>460.06</v>
      </c>
      <c r="H24" s="428">
        <f>SUM($H$17:$H$23)</f>
        <v>0</v>
      </c>
      <c r="I24" s="429">
        <f>SUM($I$17:$I$23)</f>
        <v>372.4</v>
      </c>
      <c r="J24" s="89"/>
      <c r="K24" s="89"/>
    </row>
    <row r="25" spans="1:11" ht="24.75" customHeight="1" x14ac:dyDescent="0.2">
      <c r="A25" s="714" t="s">
        <v>402</v>
      </c>
      <c r="B25" s="714"/>
      <c r="C25" s="714"/>
      <c r="D25" s="714"/>
      <c r="E25" s="714"/>
      <c r="F25" s="426">
        <f>F14+F24</f>
        <v>5106.1799999999994</v>
      </c>
      <c r="G25" s="426">
        <f>$G$14+$G$24</f>
        <v>460.06</v>
      </c>
      <c r="H25" s="428">
        <f>$H$14+$H$24</f>
        <v>0</v>
      </c>
      <c r="I25" s="429">
        <f>$I$14+$I$24</f>
        <v>372.4</v>
      </c>
      <c r="J25" s="89"/>
      <c r="K25" s="89"/>
    </row>
    <row r="26" spans="1:11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>
        <f>SUM($H$17:$H$25)</f>
        <v>0</v>
      </c>
      <c r="I26" s="715">
        <f>SUM($I$17:$I$25)</f>
        <v>1117.1999999999998</v>
      </c>
      <c r="J26" s="89"/>
      <c r="K26" s="89"/>
    </row>
    <row r="27" spans="1:11" ht="19.5" customHeight="1" x14ac:dyDescent="0.2">
      <c r="A27" s="719" t="s">
        <v>404</v>
      </c>
      <c r="B27" s="719"/>
      <c r="C27" s="719"/>
      <c r="D27" s="720" t="s">
        <v>405</v>
      </c>
      <c r="E27" s="720"/>
      <c r="F27" s="721" t="s">
        <v>388</v>
      </c>
      <c r="G27" s="721"/>
      <c r="H27" s="721"/>
      <c r="I27" s="721"/>
      <c r="J27" s="89"/>
      <c r="K27" s="89"/>
    </row>
    <row r="28" spans="1:11" ht="19.5" customHeight="1" x14ac:dyDescent="0.2">
      <c r="A28" s="435" t="s">
        <v>406</v>
      </c>
      <c r="B28" s="436"/>
      <c r="C28" s="436"/>
      <c r="D28" s="432">
        <f>Dados!$G$50</f>
        <v>0.03</v>
      </c>
      <c r="E28" s="416"/>
      <c r="F28" s="415">
        <f>ROUND((F25*D28),2)</f>
        <v>153.19</v>
      </c>
      <c r="G28" s="416">
        <f>ROUND(($G$25*$D$28),2)</f>
        <v>13.8</v>
      </c>
      <c r="H28" s="417">
        <f>ROUND((H25*D28),2)</f>
        <v>0</v>
      </c>
      <c r="I28" s="418">
        <f>ROUND((I25*D28),2)</f>
        <v>11.17</v>
      </c>
      <c r="J28" s="89"/>
      <c r="K28" s="89"/>
    </row>
    <row r="29" spans="1:11" ht="19.5" customHeight="1" x14ac:dyDescent="0.2">
      <c r="A29" s="713" t="s">
        <v>407</v>
      </c>
      <c r="B29" s="713"/>
      <c r="C29" s="713"/>
      <c r="D29" s="432"/>
      <c r="E29" s="416"/>
      <c r="F29" s="415">
        <f>F25+F28</f>
        <v>5259.369999999999</v>
      </c>
      <c r="G29" s="416">
        <f>$G$28+$G$25</f>
        <v>473.86</v>
      </c>
      <c r="H29" s="417">
        <f>H25+H28</f>
        <v>0</v>
      </c>
      <c r="I29" s="418">
        <f>I25+I28</f>
        <v>383.57</v>
      </c>
      <c r="J29" s="89"/>
      <c r="K29" s="89"/>
    </row>
    <row r="30" spans="1:11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16">
        <f>F25+F28</f>
        <v>5259.369999999999</v>
      </c>
      <c r="F30" s="415">
        <f>ROUND((E30*D30),2)</f>
        <v>357.11</v>
      </c>
      <c r="G30" s="416">
        <f>ROUND(($G$29*$D$30),2)</f>
        <v>32.18</v>
      </c>
      <c r="H30" s="417">
        <f>ROUND((H29*D30),2)</f>
        <v>0</v>
      </c>
      <c r="I30" s="418">
        <f>ROUND((I29*D30),2)</f>
        <v>26.04</v>
      </c>
      <c r="J30" s="89"/>
      <c r="K30" s="89"/>
    </row>
    <row r="31" spans="1:11" ht="24.75" customHeight="1" x14ac:dyDescent="0.2">
      <c r="A31" s="438" t="s">
        <v>408</v>
      </c>
      <c r="B31" s="439"/>
      <c r="C31" s="439"/>
      <c r="D31" s="440">
        <f>SUM(D28:D30)</f>
        <v>9.7900000000000001E-2</v>
      </c>
      <c r="E31" s="427"/>
      <c r="F31" s="426">
        <f>F28+F30</f>
        <v>510.3</v>
      </c>
      <c r="G31" s="427">
        <f>$G$28+$G$30</f>
        <v>45.980000000000004</v>
      </c>
      <c r="H31" s="428">
        <f>H28+H30</f>
        <v>0</v>
      </c>
      <c r="I31" s="429">
        <f>I28+I30</f>
        <v>37.21</v>
      </c>
      <c r="J31" s="89"/>
      <c r="K31" s="89"/>
    </row>
    <row r="32" spans="1:11" ht="24.75" customHeight="1" x14ac:dyDescent="0.2">
      <c r="A32" s="741" t="s">
        <v>409</v>
      </c>
      <c r="B32" s="741"/>
      <c r="C32" s="741"/>
      <c r="D32" s="741"/>
      <c r="E32" s="741"/>
      <c r="F32" s="426">
        <f>F14+F24+F31</f>
        <v>5616.48</v>
      </c>
      <c r="G32" s="427">
        <f>$G$14+$G$24+$G$31</f>
        <v>506.04</v>
      </c>
      <c r="H32" s="428">
        <f>H14+H24+H31</f>
        <v>0</v>
      </c>
      <c r="I32" s="429">
        <f>I14+I24+I31</f>
        <v>409.60999999999996</v>
      </c>
      <c r="J32" s="89"/>
      <c r="K32" s="89"/>
    </row>
    <row r="33" spans="1:11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</row>
    <row r="34" spans="1:11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ROUND((F39*D34),2)</f>
        <v>497.79</v>
      </c>
      <c r="G34" s="416">
        <f>ROUND(($G$39*$D$34),2)</f>
        <v>44.85</v>
      </c>
      <c r="H34" s="417">
        <f>ROUND((H39*D34),2)</f>
        <v>0</v>
      </c>
      <c r="I34" s="418">
        <f>ROUND((I39*D34),2)</f>
        <v>36.299999999999997</v>
      </c>
      <c r="J34" s="89"/>
      <c r="K34" s="89"/>
    </row>
    <row r="35" spans="1:11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ROUND((F39*D35),2)</f>
        <v>108.07</v>
      </c>
      <c r="G35" s="416">
        <f>ROUND(($G$39*$D$35),2)</f>
        <v>9.74</v>
      </c>
      <c r="H35" s="417">
        <f>ROUND((H39*D35),2)</f>
        <v>0</v>
      </c>
      <c r="I35" s="418">
        <f>ROUND((I39*D35),2)</f>
        <v>7.88</v>
      </c>
      <c r="J35" s="89"/>
      <c r="K35" s="89"/>
    </row>
    <row r="36" spans="1:11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ROUND((F39*D36),2)</f>
        <v>327.49</v>
      </c>
      <c r="G36" s="416">
        <f>ROUND(($G$39*$D$36),2)</f>
        <v>29.51</v>
      </c>
      <c r="H36" s="417">
        <f>ROUND((H39*D36),2)</f>
        <v>0</v>
      </c>
      <c r="I36" s="418">
        <f>ROUND((I39*D36),2)</f>
        <v>23.88</v>
      </c>
      <c r="J36" s="89"/>
      <c r="K36" s="89"/>
    </row>
    <row r="37" spans="1:11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</row>
    <row r="38" spans="1:11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933.35</v>
      </c>
      <c r="G38" s="426">
        <f>SUM(G34:G37)</f>
        <v>84.100000000000009</v>
      </c>
      <c r="H38" s="426">
        <f>SUM(H34:H37)</f>
        <v>0</v>
      </c>
      <c r="I38" s="445">
        <f>SUM(I34:I37)</f>
        <v>68.06</v>
      </c>
      <c r="J38" s="89"/>
      <c r="K38" s="89"/>
    </row>
    <row r="39" spans="1:11" ht="34.5" hidden="1" customHeight="1" x14ac:dyDescent="0.2">
      <c r="A39" s="716" t="str">
        <f>A7</f>
        <v>Atendente - 200</v>
      </c>
      <c r="B39" s="716"/>
      <c r="C39" s="716"/>
      <c r="D39" s="716"/>
      <c r="E39" s="716"/>
      <c r="F39" s="446">
        <f>ROUND(F32/(1-D38),2)</f>
        <v>6549.83</v>
      </c>
      <c r="G39" s="447">
        <f>ROUND($G$32/(1-$D$38),2)</f>
        <v>590.13</v>
      </c>
      <c r="H39" s="448">
        <f>ROUND(H32/(1-D38),2)</f>
        <v>0</v>
      </c>
      <c r="I39" s="449">
        <f>ROUND(I32/(1-D38),2)</f>
        <v>477.68</v>
      </c>
      <c r="J39" s="89"/>
      <c r="K39" s="89"/>
    </row>
    <row r="40" spans="1:11" ht="30" customHeight="1" x14ac:dyDescent="0.2">
      <c r="A40" s="742" t="str">
        <f>A7</f>
        <v>Atendente - 200</v>
      </c>
      <c r="B40" s="742"/>
      <c r="C40" s="742"/>
      <c r="D40" s="742"/>
      <c r="E40" s="742"/>
      <c r="F40" s="462">
        <f>F39</f>
        <v>6549.83</v>
      </c>
      <c r="G40" s="462">
        <f>$G$39</f>
        <v>590.13</v>
      </c>
      <c r="H40" s="462">
        <f>H39</f>
        <v>0</v>
      </c>
      <c r="I40" s="463">
        <f>I39</f>
        <v>477.68</v>
      </c>
      <c r="J40" s="89"/>
      <c r="K40" s="89"/>
    </row>
    <row r="41" spans="1:11" ht="29.25" customHeight="1" x14ac:dyDescent="0.2">
      <c r="A41" s="740" t="s">
        <v>412</v>
      </c>
      <c r="B41" s="740"/>
      <c r="C41" s="740"/>
      <c r="D41" s="740"/>
      <c r="E41" s="740"/>
      <c r="F41" s="464">
        <f>($F$40/$F$12)/100</f>
        <v>2.8477521739130433E-2</v>
      </c>
      <c r="G41" s="465"/>
      <c r="H41" s="465"/>
      <c r="I41" s="466"/>
      <c r="J41" s="89"/>
      <c r="K41" s="89"/>
    </row>
    <row r="42" spans="1:11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</row>
    <row r="43" spans="1:11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</row>
    <row r="44" spans="1:11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</row>
  </sheetData>
  <sheetProtection algorithmName="SHA-512" hashValue="Il2nhgrnNF/6xE1M0NO7L062TKcyYmxTkOiY5MR8JnmShNe4xPtAAzSQZTH513B6HrD1UDLYr/+wVoLbrX+27g==" saltValue="FYyXB6FeZD/HNhZMgjotzg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5"/>
  <sheetViews>
    <sheetView showGridLines="0" view="pageBreakPreview" zoomScaleNormal="80" workbookViewId="0"/>
  </sheetViews>
  <sheetFormatPr defaultColWidth="9" defaultRowHeight="12.75" x14ac:dyDescent="0.2"/>
  <cols>
    <col min="1" max="1" width="11.33203125" customWidth="1"/>
    <col min="2" max="2" width="28.83203125" customWidth="1"/>
    <col min="3" max="3" width="10.5" customWidth="1"/>
    <col min="4" max="5" width="17.5" customWidth="1"/>
    <col min="6" max="8" width="17.83203125" style="398" customWidth="1"/>
    <col min="9" max="9" width="17.83203125" customWidth="1"/>
  </cols>
  <sheetData>
    <row r="1" spans="1:14" x14ac:dyDescent="0.2">
      <c r="A1" s="399"/>
      <c r="B1" s="400" t="s">
        <v>0</v>
      </c>
      <c r="C1" s="401"/>
      <c r="D1" s="401"/>
      <c r="E1" s="401"/>
      <c r="F1" s="402"/>
      <c r="G1" s="402"/>
      <c r="H1" s="402"/>
      <c r="I1" s="403"/>
      <c r="J1" s="89"/>
      <c r="K1" s="89"/>
      <c r="L1" s="89"/>
      <c r="M1" s="89"/>
      <c r="N1" s="89"/>
    </row>
    <row r="2" spans="1:14" x14ac:dyDescent="0.2">
      <c r="A2" s="404"/>
      <c r="B2" s="405" t="s">
        <v>1</v>
      </c>
      <c r="C2" s="182"/>
      <c r="D2" s="182"/>
      <c r="E2" s="182"/>
      <c r="F2" s="406"/>
      <c r="G2" s="406"/>
      <c r="H2" s="406"/>
      <c r="I2" s="407"/>
      <c r="J2" s="89"/>
      <c r="K2" s="89"/>
      <c r="L2" s="89"/>
      <c r="M2" s="89"/>
      <c r="N2" s="89"/>
    </row>
    <row r="3" spans="1:14" x14ac:dyDescent="0.2">
      <c r="A3" s="408"/>
      <c r="B3" s="405" t="s">
        <v>2</v>
      </c>
      <c r="C3" s="182"/>
      <c r="D3" s="182"/>
      <c r="E3" s="182"/>
      <c r="F3" s="406"/>
      <c r="G3" s="406"/>
      <c r="H3" s="406"/>
      <c r="I3" s="407"/>
      <c r="J3" s="89"/>
      <c r="K3" s="89"/>
      <c r="L3" s="89"/>
      <c r="M3" s="89"/>
      <c r="N3" s="89"/>
    </row>
    <row r="4" spans="1:14" ht="32.25" customHeight="1" x14ac:dyDescent="0.2">
      <c r="A4" s="732" t="s">
        <v>377</v>
      </c>
      <c r="B4" s="732"/>
      <c r="C4" s="732"/>
      <c r="D4" s="732"/>
      <c r="E4" s="732"/>
      <c r="F4" s="732"/>
      <c r="G4" s="732"/>
      <c r="H4" s="732"/>
      <c r="I4" s="732"/>
      <c r="J4" s="89"/>
      <c r="K4" s="89"/>
      <c r="L4" s="89"/>
      <c r="M4" s="89"/>
      <c r="N4" s="89"/>
    </row>
    <row r="5" spans="1:14" ht="32.25" customHeight="1" x14ac:dyDescent="0.2">
      <c r="A5" s="733" t="str">
        <f>Dados!A5</f>
        <v>Sindicato utilizado - SINDEAC/MG. Vigência: 01/01/2023 à 31/12/2023
Sendo a data base da categoria 01º de Janeiro. Com número de registro no MTE MG000001/2023.</v>
      </c>
      <c r="B5" s="733"/>
      <c r="C5" s="733"/>
      <c r="D5" s="733"/>
      <c r="E5" s="733"/>
      <c r="F5" s="733"/>
      <c r="G5" s="733"/>
      <c r="H5" s="733"/>
      <c r="I5" s="733"/>
      <c r="J5" s="89"/>
      <c r="K5" s="89"/>
      <c r="L5" s="89"/>
      <c r="M5" s="89"/>
      <c r="N5" s="89"/>
    </row>
    <row r="6" spans="1:14" ht="22.5" customHeight="1" x14ac:dyDescent="0.2">
      <c r="A6" s="734" t="s">
        <v>378</v>
      </c>
      <c r="B6" s="734"/>
      <c r="C6" s="734"/>
      <c r="D6" s="734"/>
      <c r="E6" s="734"/>
      <c r="F6" s="734"/>
      <c r="G6" s="734"/>
      <c r="H6" s="734"/>
      <c r="I6" s="734"/>
      <c r="J6" s="89"/>
      <c r="K6" s="89"/>
      <c r="L6" s="89"/>
      <c r="M6" s="89"/>
      <c r="N6" s="89"/>
    </row>
    <row r="7" spans="1:14" ht="30" customHeight="1" x14ac:dyDescent="0.2">
      <c r="A7" s="735" t="str">
        <f>Dados!B11&amp;" - "&amp;D10</f>
        <v>Auxiliar Administrativo - Classe I - 150</v>
      </c>
      <c r="B7" s="735"/>
      <c r="C7" s="735"/>
      <c r="D7" s="735"/>
      <c r="E7" s="735"/>
      <c r="F7" s="736" t="s">
        <v>379</v>
      </c>
      <c r="G7" s="736" t="s">
        <v>380</v>
      </c>
      <c r="H7" s="737" t="s">
        <v>381</v>
      </c>
      <c r="I7" s="738" t="s">
        <v>382</v>
      </c>
      <c r="J7" s="89"/>
      <c r="K7" s="89"/>
      <c r="L7" s="89"/>
      <c r="M7" s="89"/>
      <c r="N7" s="89"/>
    </row>
    <row r="8" spans="1:14" ht="18" customHeight="1" x14ac:dyDescent="0.2">
      <c r="A8" s="739" t="s">
        <v>383</v>
      </c>
      <c r="B8" s="739"/>
      <c r="C8" s="739"/>
      <c r="D8" s="739"/>
      <c r="E8" s="409" t="s">
        <v>160</v>
      </c>
      <c r="F8" s="736"/>
      <c r="G8" s="736"/>
      <c r="H8" s="737"/>
      <c r="I8" s="738"/>
      <c r="J8" s="89"/>
      <c r="K8" s="89"/>
      <c r="L8" s="89"/>
      <c r="M8" s="89"/>
      <c r="N8" s="89"/>
    </row>
    <row r="9" spans="1:14" ht="24.75" customHeight="1" x14ac:dyDescent="0.2">
      <c r="A9" s="410" t="s">
        <v>384</v>
      </c>
      <c r="B9" s="725" t="s">
        <v>385</v>
      </c>
      <c r="C9" s="725"/>
      <c r="D9" s="411" t="s">
        <v>386</v>
      </c>
      <c r="E9" s="412" t="s">
        <v>387</v>
      </c>
      <c r="F9" s="726" t="s">
        <v>388</v>
      </c>
      <c r="G9" s="726"/>
      <c r="H9" s="726"/>
      <c r="I9" s="726"/>
      <c r="J9" s="89"/>
      <c r="K9" s="89"/>
      <c r="L9" s="89"/>
      <c r="M9" s="89"/>
      <c r="N9" s="89"/>
    </row>
    <row r="10" spans="1:14" ht="27" customHeight="1" x14ac:dyDescent="0.2">
      <c r="A10" s="727">
        <v>1</v>
      </c>
      <c r="B10" s="728" t="str">
        <f>A7</f>
        <v>Auxiliar Administrativo - Classe I - 150</v>
      </c>
      <c r="C10" s="728"/>
      <c r="D10" s="413">
        <f>Dados!C11</f>
        <v>150</v>
      </c>
      <c r="E10" s="414">
        <f>Dados!$E11</f>
        <v>2530</v>
      </c>
      <c r="F10" s="415">
        <f>ROUND(E10/220*D10,2)</f>
        <v>1725</v>
      </c>
      <c r="G10" s="416"/>
      <c r="H10" s="417"/>
      <c r="I10" s="418"/>
      <c r="J10" s="89"/>
      <c r="K10" s="89"/>
      <c r="L10" s="89"/>
      <c r="M10" s="89"/>
      <c r="N10" s="89"/>
    </row>
    <row r="11" spans="1:14" ht="24" customHeight="1" x14ac:dyDescent="0.2">
      <c r="A11" s="727"/>
      <c r="B11" s="729"/>
      <c r="C11" s="729"/>
      <c r="D11" s="419"/>
      <c r="E11" s="420"/>
      <c r="F11" s="415">
        <f>ROUND(((E11/220*D10)*C11)*D11,2)</f>
        <v>0</v>
      </c>
      <c r="G11" s="416"/>
      <c r="H11" s="417"/>
      <c r="I11" s="418"/>
      <c r="J11" s="89"/>
      <c r="K11" s="89"/>
      <c r="L11" s="89"/>
      <c r="M11" s="89"/>
      <c r="N11" s="89"/>
    </row>
    <row r="12" spans="1:14" ht="19.5" customHeight="1" x14ac:dyDescent="0.2">
      <c r="A12" s="727"/>
      <c r="B12" s="730" t="s">
        <v>389</v>
      </c>
      <c r="C12" s="730"/>
      <c r="D12" s="730"/>
      <c r="E12" s="730"/>
      <c r="F12" s="421">
        <f>F10+F11</f>
        <v>1725</v>
      </c>
      <c r="G12" s="422"/>
      <c r="H12" s="423"/>
      <c r="I12" s="424"/>
      <c r="J12" s="89"/>
      <c r="K12" s="89"/>
      <c r="L12" s="89"/>
      <c r="M12" s="89"/>
      <c r="N12" s="89"/>
    </row>
    <row r="13" spans="1:14" ht="19.5" customHeight="1" x14ac:dyDescent="0.2">
      <c r="A13" s="727"/>
      <c r="B13" s="731" t="s">
        <v>390</v>
      </c>
      <c r="C13" s="731"/>
      <c r="D13" s="731"/>
      <c r="E13" s="425">
        <f>Dados!G28</f>
        <v>0.79049999999999998</v>
      </c>
      <c r="F13" s="415">
        <f>(ROUND((E13*F12),2))</f>
        <v>1363.61</v>
      </c>
      <c r="G13" s="416"/>
      <c r="H13" s="417"/>
      <c r="I13" s="418"/>
      <c r="J13" s="89"/>
      <c r="K13" s="89"/>
      <c r="L13" s="89"/>
      <c r="M13" s="89"/>
      <c r="N13" s="89"/>
    </row>
    <row r="14" spans="1:14" ht="24.75" customHeight="1" x14ac:dyDescent="0.2">
      <c r="A14" s="714" t="s">
        <v>391</v>
      </c>
      <c r="B14" s="714"/>
      <c r="C14" s="714"/>
      <c r="D14" s="714"/>
      <c r="E14" s="714"/>
      <c r="F14" s="426">
        <f>ROUND(SUM(F12:F13),2)</f>
        <v>3088.61</v>
      </c>
      <c r="G14" s="427"/>
      <c r="H14" s="428"/>
      <c r="I14" s="429"/>
      <c r="J14" s="89"/>
      <c r="K14" s="89"/>
      <c r="L14" s="89"/>
      <c r="M14" s="89"/>
      <c r="N14" s="89"/>
    </row>
    <row r="15" spans="1:14" ht="19.5" customHeight="1" x14ac:dyDescent="0.2">
      <c r="A15" s="715" t="s">
        <v>392</v>
      </c>
      <c r="B15" s="715"/>
      <c r="C15" s="715"/>
      <c r="D15" s="715"/>
      <c r="E15" s="715"/>
      <c r="F15" s="715"/>
      <c r="G15" s="715"/>
      <c r="H15" s="715"/>
      <c r="I15" s="715"/>
      <c r="J15" s="89"/>
      <c r="K15" s="89"/>
      <c r="L15" s="89"/>
      <c r="M15" s="89"/>
      <c r="N15" s="89"/>
    </row>
    <row r="16" spans="1:14" ht="19.5" customHeight="1" x14ac:dyDescent="0.2">
      <c r="A16" s="723" t="s">
        <v>393</v>
      </c>
      <c r="B16" s="723"/>
      <c r="C16" s="430" t="s">
        <v>394</v>
      </c>
      <c r="D16" s="724" t="s">
        <v>395</v>
      </c>
      <c r="E16" s="724"/>
      <c r="F16" s="724"/>
      <c r="G16" s="724"/>
      <c r="H16" s="724"/>
      <c r="I16" s="724"/>
      <c r="J16" s="89"/>
      <c r="K16" s="89"/>
      <c r="L16" s="89"/>
      <c r="M16" s="89"/>
      <c r="N16" s="89"/>
    </row>
    <row r="17" spans="1:14" ht="19.5" customHeight="1" x14ac:dyDescent="0.2">
      <c r="A17" s="718" t="s">
        <v>396</v>
      </c>
      <c r="B17" s="718"/>
      <c r="C17" s="431"/>
      <c r="D17" s="432"/>
      <c r="E17" s="414"/>
      <c r="F17" s="415">
        <f>Dados!I11</f>
        <v>72.650000000000006</v>
      </c>
      <c r="G17" s="416"/>
      <c r="H17" s="417"/>
      <c r="I17" s="418"/>
      <c r="J17" s="89"/>
      <c r="K17" s="89"/>
      <c r="L17" s="89"/>
      <c r="M17" s="89"/>
      <c r="N17" s="89"/>
    </row>
    <row r="18" spans="1:14" ht="19.5" customHeight="1" x14ac:dyDescent="0.2">
      <c r="A18" s="718" t="s">
        <v>397</v>
      </c>
      <c r="B18" s="718"/>
      <c r="C18" s="431"/>
      <c r="D18" s="432"/>
      <c r="E18" s="433"/>
      <c r="F18" s="415">
        <f>Dados!G35</f>
        <v>2.2000000000000002</v>
      </c>
      <c r="G18" s="416"/>
      <c r="H18" s="417"/>
      <c r="I18" s="418"/>
      <c r="J18" s="89"/>
      <c r="K18" s="89"/>
      <c r="L18" s="89"/>
      <c r="M18" s="89"/>
      <c r="N18" s="89"/>
    </row>
    <row r="19" spans="1:14" ht="25.5" customHeight="1" x14ac:dyDescent="0.2">
      <c r="A19" s="722" t="s">
        <v>398</v>
      </c>
      <c r="B19" s="722"/>
      <c r="C19" s="431"/>
      <c r="D19" s="432"/>
      <c r="E19" s="305"/>
      <c r="F19" s="415">
        <f>Dados!G36</f>
        <v>80.72</v>
      </c>
      <c r="G19" s="416"/>
      <c r="H19" s="417"/>
      <c r="I19" s="418"/>
      <c r="J19" s="89"/>
      <c r="K19" s="89"/>
      <c r="L19" s="89"/>
      <c r="M19" s="89"/>
      <c r="N19" s="89"/>
    </row>
    <row r="20" spans="1:14" ht="25.5" customHeight="1" x14ac:dyDescent="0.2">
      <c r="A20" s="678" t="s">
        <v>399</v>
      </c>
      <c r="B20" s="678"/>
      <c r="C20" s="417">
        <f>Dados!$G$38</f>
        <v>22</v>
      </c>
      <c r="D20" s="431">
        <f>Dados!$G$37</f>
        <v>26.14</v>
      </c>
      <c r="E20" s="434">
        <f>Dados!$G$39</f>
        <v>0.2</v>
      </c>
      <c r="F20" s="415">
        <f>ROUND((IF(D10&gt;150,((C20*D20)-(E20*(C20*D20))),0)),2)</f>
        <v>0</v>
      </c>
      <c r="G20" s="416">
        <f>F20</f>
        <v>0</v>
      </c>
      <c r="H20" s="417"/>
      <c r="I20" s="418"/>
      <c r="J20" s="89"/>
      <c r="K20" s="89"/>
      <c r="L20" s="89"/>
      <c r="M20" s="89"/>
      <c r="N20" s="89"/>
    </row>
    <row r="21" spans="1:14" ht="19.5" customHeight="1" x14ac:dyDescent="0.2">
      <c r="A21" s="718" t="s">
        <v>400</v>
      </c>
      <c r="B21" s="718"/>
      <c r="C21" s="417">
        <f>Dados!$G$44</f>
        <v>22</v>
      </c>
      <c r="D21" s="417">
        <f>Dados!$G$43</f>
        <v>7.1</v>
      </c>
      <c r="E21" s="414">
        <f>Dados!$G$41</f>
        <v>4.5</v>
      </c>
      <c r="F21" s="415">
        <f>ROUND((($C$21*$D$21*Dados!$G$42)+($C$21*$E$21*Dados!$G$40) -(F10*Dados!$G$45)),2)</f>
        <v>406.9</v>
      </c>
      <c r="G21" s="416"/>
      <c r="H21" s="417"/>
      <c r="I21" s="418">
        <f>F21</f>
        <v>406.9</v>
      </c>
      <c r="J21" s="89"/>
      <c r="K21" s="89"/>
      <c r="L21" s="89"/>
      <c r="M21" s="89"/>
      <c r="N21" s="89"/>
    </row>
    <row r="22" spans="1:14" ht="19.5" customHeight="1" x14ac:dyDescent="0.2">
      <c r="A22" s="718" t="str">
        <f>Dados!B46</f>
        <v>Outros (inserir somente com a justificativa legal)</v>
      </c>
      <c r="B22" s="718"/>
      <c r="C22" s="417">
        <v>1</v>
      </c>
      <c r="D22" s="417">
        <f>Dados!$G$46</f>
        <v>0</v>
      </c>
      <c r="E22" s="414"/>
      <c r="F22" s="415">
        <f>ROUND((C22*D22),2)</f>
        <v>0</v>
      </c>
      <c r="G22" s="416"/>
      <c r="H22" s="417"/>
      <c r="I22" s="418"/>
      <c r="J22" s="89"/>
      <c r="K22" s="89"/>
      <c r="L22" s="89"/>
      <c r="M22" s="89"/>
      <c r="N22" s="89"/>
    </row>
    <row r="23" spans="1:14" ht="19.5" customHeight="1" x14ac:dyDescent="0.2">
      <c r="A23" s="718" t="str">
        <f>Dados!B47</f>
        <v>Outros (inserir somente com a justificativa legal)</v>
      </c>
      <c r="B23" s="718"/>
      <c r="C23" s="417">
        <v>1</v>
      </c>
      <c r="D23" s="417">
        <f>Dados!$G$47</f>
        <v>0</v>
      </c>
      <c r="E23" s="414"/>
      <c r="F23" s="415">
        <f>ROUND((C23*D23),2)</f>
        <v>0</v>
      </c>
      <c r="G23" s="416"/>
      <c r="H23" s="417"/>
      <c r="I23" s="418"/>
      <c r="J23" s="89"/>
      <c r="K23" s="89"/>
      <c r="L23" s="89"/>
      <c r="M23" s="89"/>
      <c r="N23" s="89"/>
    </row>
    <row r="24" spans="1:14" ht="24.75" customHeight="1" x14ac:dyDescent="0.2">
      <c r="A24" s="714" t="s">
        <v>401</v>
      </c>
      <c r="B24" s="714"/>
      <c r="C24" s="714"/>
      <c r="D24" s="714"/>
      <c r="E24" s="714"/>
      <c r="F24" s="426">
        <f>SUM(F17:F23)</f>
        <v>562.47</v>
      </c>
      <c r="G24" s="426">
        <f>SUM(G17:G23)</f>
        <v>0</v>
      </c>
      <c r="H24" s="428">
        <f>SUM($H$17:$H$23)</f>
        <v>0</v>
      </c>
      <c r="I24" s="429">
        <f>SUM($I$17:$I$23)</f>
        <v>406.9</v>
      </c>
      <c r="J24" s="89"/>
      <c r="K24" s="89"/>
      <c r="L24" s="89"/>
      <c r="M24" s="89"/>
      <c r="N24" s="89"/>
    </row>
    <row r="25" spans="1:14" ht="24.75" customHeight="1" x14ac:dyDescent="0.2">
      <c r="A25" s="714" t="s">
        <v>402</v>
      </c>
      <c r="B25" s="714"/>
      <c r="C25" s="714"/>
      <c r="D25" s="714"/>
      <c r="E25" s="714"/>
      <c r="F25" s="426">
        <f>F14+F24</f>
        <v>3651.08</v>
      </c>
      <c r="G25" s="426">
        <f>$G$14+$G$24</f>
        <v>0</v>
      </c>
      <c r="H25" s="428">
        <f>$H$14+$H$24</f>
        <v>0</v>
      </c>
      <c r="I25" s="429">
        <f>$I$14+$I$24</f>
        <v>406.9</v>
      </c>
      <c r="J25" s="89"/>
      <c r="K25" s="89"/>
      <c r="L25" s="89"/>
      <c r="M25" s="89"/>
      <c r="N25" s="89"/>
    </row>
    <row r="26" spans="1:14" ht="19.5" customHeight="1" x14ac:dyDescent="0.2">
      <c r="A26" s="715" t="s">
        <v>403</v>
      </c>
      <c r="B26" s="715"/>
      <c r="C26" s="715"/>
      <c r="D26" s="715"/>
      <c r="E26" s="715"/>
      <c r="F26" s="715"/>
      <c r="G26" s="715"/>
      <c r="H26" s="715">
        <f>SUM($H$17:$H$25)</f>
        <v>0</v>
      </c>
      <c r="I26" s="715">
        <f>SUM($I$17:$I$25)</f>
        <v>1220.6999999999998</v>
      </c>
      <c r="J26" s="89"/>
      <c r="K26" s="89"/>
      <c r="L26" s="89"/>
      <c r="M26" s="89"/>
      <c r="N26" s="89"/>
    </row>
    <row r="27" spans="1:14" ht="19.5" customHeight="1" x14ac:dyDescent="0.2">
      <c r="A27" s="719" t="s">
        <v>404</v>
      </c>
      <c r="B27" s="719"/>
      <c r="C27" s="719"/>
      <c r="D27" s="720" t="s">
        <v>405</v>
      </c>
      <c r="E27" s="720"/>
      <c r="F27" s="721" t="s">
        <v>388</v>
      </c>
      <c r="G27" s="721"/>
      <c r="H27" s="721"/>
      <c r="I27" s="721"/>
      <c r="J27" s="89"/>
      <c r="K27" s="89"/>
      <c r="L27" s="89"/>
      <c r="M27" s="89"/>
      <c r="N27" s="89"/>
    </row>
    <row r="28" spans="1:14" ht="19.5" customHeight="1" x14ac:dyDescent="0.2">
      <c r="A28" s="435" t="s">
        <v>406</v>
      </c>
      <c r="B28" s="436"/>
      <c r="C28" s="436"/>
      <c r="D28" s="432">
        <f>Dados!$G$50</f>
        <v>0.03</v>
      </c>
      <c r="E28" s="437"/>
      <c r="F28" s="415">
        <f>ROUND((F25*D28),2)</f>
        <v>109.53</v>
      </c>
      <c r="G28" s="416">
        <f>ROUND(($G$25*$D$28),2)</f>
        <v>0</v>
      </c>
      <c r="H28" s="417">
        <f>ROUND((H25*D28),2)</f>
        <v>0</v>
      </c>
      <c r="I28" s="418">
        <f>ROUND((I25*D28),2)</f>
        <v>12.21</v>
      </c>
      <c r="J28" s="89"/>
      <c r="K28" s="89"/>
      <c r="L28" s="89"/>
      <c r="M28" s="89"/>
      <c r="N28" s="89"/>
    </row>
    <row r="29" spans="1:14" ht="19.5" customHeight="1" x14ac:dyDescent="0.2">
      <c r="A29" s="713" t="s">
        <v>407</v>
      </c>
      <c r="B29" s="713"/>
      <c r="C29" s="713"/>
      <c r="D29" s="432"/>
      <c r="E29" s="437"/>
      <c r="F29" s="415">
        <f>F25+F28</f>
        <v>3760.61</v>
      </c>
      <c r="G29" s="416">
        <f>$G$28+$G$25</f>
        <v>0</v>
      </c>
      <c r="H29" s="417">
        <f>H25+H28</f>
        <v>0</v>
      </c>
      <c r="I29" s="418">
        <f>I25+I28</f>
        <v>419.10999999999996</v>
      </c>
      <c r="J29" s="89"/>
      <c r="K29" s="89"/>
      <c r="L29" s="89"/>
      <c r="M29" s="89"/>
      <c r="N29" s="89"/>
    </row>
    <row r="30" spans="1:14" ht="19.5" customHeight="1" x14ac:dyDescent="0.2">
      <c r="A30" s="435" t="s">
        <v>227</v>
      </c>
      <c r="B30" s="436"/>
      <c r="C30" s="436"/>
      <c r="D30" s="432">
        <f>Dados!$G$51</f>
        <v>6.7900000000000002E-2</v>
      </c>
      <c r="E30" s="437">
        <f>F25+F28</f>
        <v>3760.61</v>
      </c>
      <c r="F30" s="415">
        <f>ROUND((E30*D30),2)</f>
        <v>255.35</v>
      </c>
      <c r="G30" s="416">
        <f>ROUND(($G$29*$D$30),2)</f>
        <v>0</v>
      </c>
      <c r="H30" s="417">
        <f>ROUND((H29*D30),2)</f>
        <v>0</v>
      </c>
      <c r="I30" s="418">
        <f>ROUND((I29*D30),2)</f>
        <v>28.46</v>
      </c>
      <c r="J30" s="89"/>
      <c r="K30" s="89"/>
      <c r="L30" s="89"/>
      <c r="M30" s="89"/>
      <c r="N30" s="89"/>
    </row>
    <row r="31" spans="1:14" ht="24.75" customHeight="1" x14ac:dyDescent="0.2">
      <c r="A31" s="438" t="s">
        <v>408</v>
      </c>
      <c r="B31" s="439"/>
      <c r="C31" s="439"/>
      <c r="D31" s="440">
        <f>SUM(D28:D30)</f>
        <v>9.7900000000000001E-2</v>
      </c>
      <c r="E31" s="441"/>
      <c r="F31" s="426">
        <f>F28+F30</f>
        <v>364.88</v>
      </c>
      <c r="G31" s="427">
        <f>$G$28+$G$30</f>
        <v>0</v>
      </c>
      <c r="H31" s="428">
        <f>H28+H30</f>
        <v>0</v>
      </c>
      <c r="I31" s="429">
        <f>I28+I30</f>
        <v>40.67</v>
      </c>
      <c r="J31" s="89"/>
      <c r="K31" s="89"/>
      <c r="L31" s="89"/>
      <c r="M31" s="89"/>
      <c r="N31" s="89"/>
    </row>
    <row r="32" spans="1:14" ht="24.75" customHeight="1" x14ac:dyDescent="0.2">
      <c r="A32" s="714" t="s">
        <v>409</v>
      </c>
      <c r="B32" s="714"/>
      <c r="C32" s="714"/>
      <c r="D32" s="714"/>
      <c r="E32" s="714"/>
      <c r="F32" s="426">
        <f>F14+F24+F31</f>
        <v>4015.96</v>
      </c>
      <c r="G32" s="427">
        <f>$G$14+$G$24+$G$31</f>
        <v>0</v>
      </c>
      <c r="H32" s="428">
        <f>H14+H24+H31</f>
        <v>0</v>
      </c>
      <c r="I32" s="429">
        <f>I14+I24+I31</f>
        <v>447.57</v>
      </c>
      <c r="J32" s="89"/>
      <c r="K32" s="89"/>
      <c r="L32" s="89"/>
      <c r="M32" s="89"/>
      <c r="N32" s="89"/>
    </row>
    <row r="33" spans="1:14" ht="19.5" customHeight="1" x14ac:dyDescent="0.2">
      <c r="A33" s="715" t="s">
        <v>410</v>
      </c>
      <c r="B33" s="715"/>
      <c r="C33" s="715"/>
      <c r="D33" s="715"/>
      <c r="E33" s="715"/>
      <c r="F33" s="715"/>
      <c r="G33" s="715"/>
      <c r="H33" s="715"/>
      <c r="I33" s="715"/>
      <c r="J33" s="89"/>
      <c r="K33" s="89"/>
      <c r="L33" s="89"/>
      <c r="M33" s="89"/>
      <c r="N33" s="89"/>
    </row>
    <row r="34" spans="1:14" ht="19.5" customHeight="1" x14ac:dyDescent="0.2">
      <c r="A34" s="435" t="s">
        <v>232</v>
      </c>
      <c r="B34" s="436"/>
      <c r="C34" s="442"/>
      <c r="D34" s="432">
        <f>Dados!$G$58</f>
        <v>7.5999999999999998E-2</v>
      </c>
      <c r="E34" s="414"/>
      <c r="F34" s="415">
        <f>ROUND((F39*D34),2)</f>
        <v>355.93</v>
      </c>
      <c r="G34" s="416">
        <f>ROUND(($G$39*$D$34),2)</f>
        <v>0</v>
      </c>
      <c r="H34" s="417">
        <f>ROUND((H39*D34),2)</f>
        <v>0</v>
      </c>
      <c r="I34" s="418">
        <f>ROUND((I39*D34),2)</f>
        <v>39.67</v>
      </c>
      <c r="J34" s="89"/>
      <c r="K34" s="89"/>
      <c r="L34" s="89"/>
      <c r="M34" s="89"/>
      <c r="N34" s="89"/>
    </row>
    <row r="35" spans="1:14" ht="19.5" customHeight="1" x14ac:dyDescent="0.2">
      <c r="A35" s="435" t="s">
        <v>233</v>
      </c>
      <c r="B35" s="436"/>
      <c r="C35" s="442"/>
      <c r="D35" s="432">
        <f>Dados!$G$59</f>
        <v>1.6500000000000001E-2</v>
      </c>
      <c r="E35" s="414"/>
      <c r="F35" s="415">
        <f>ROUND((F39*D35),2)</f>
        <v>77.28</v>
      </c>
      <c r="G35" s="416">
        <f>ROUND(($G$39*$D$35),2)</f>
        <v>0</v>
      </c>
      <c r="H35" s="417">
        <f>ROUND((H39*D35),2)</f>
        <v>0</v>
      </c>
      <c r="I35" s="418">
        <f>ROUND((I39*D35),2)</f>
        <v>8.61</v>
      </c>
      <c r="J35" s="89"/>
      <c r="K35" s="89"/>
      <c r="L35" s="89"/>
      <c r="M35" s="89"/>
      <c r="N35" s="89"/>
    </row>
    <row r="36" spans="1:14" ht="19.5" customHeight="1" x14ac:dyDescent="0.2">
      <c r="A36" s="435" t="s">
        <v>234</v>
      </c>
      <c r="B36" s="436"/>
      <c r="C36" s="442"/>
      <c r="D36" s="432">
        <f>Dados!$G$60</f>
        <v>0.05</v>
      </c>
      <c r="E36" s="414"/>
      <c r="F36" s="415">
        <f>ROUND((F39*D36),2)</f>
        <v>234.17</v>
      </c>
      <c r="G36" s="416">
        <f>ROUND(($G$39*$D$36),2)</f>
        <v>0</v>
      </c>
      <c r="H36" s="417">
        <f>ROUND((H39*D36),2)</f>
        <v>0</v>
      </c>
      <c r="I36" s="418">
        <f>ROUND((I39*D36),2)</f>
        <v>26.1</v>
      </c>
      <c r="J36" s="89"/>
      <c r="K36" s="89"/>
      <c r="L36" s="89"/>
      <c r="M36" s="89"/>
      <c r="N36" s="89"/>
    </row>
    <row r="37" spans="1:14" ht="19.5" customHeight="1" x14ac:dyDescent="0.2">
      <c r="A37" s="435" t="str">
        <f>Dados!B61</f>
        <v>Outros (inserir somente com a justificativa legal)</v>
      </c>
      <c r="B37" s="436"/>
      <c r="C37" s="442"/>
      <c r="D37" s="432">
        <f>Dados!G61</f>
        <v>0</v>
      </c>
      <c r="E37" s="414"/>
      <c r="F37" s="415">
        <f>ROUND((F39*$D$37),2)</f>
        <v>0</v>
      </c>
      <c r="G37" s="415">
        <f>ROUND((G39*$D$37),2)</f>
        <v>0</v>
      </c>
      <c r="H37" s="415">
        <f>ROUND((H39*$D$37),2)</f>
        <v>0</v>
      </c>
      <c r="I37" s="415">
        <f>ROUND((I39*$D$37),2)</f>
        <v>0</v>
      </c>
      <c r="J37" s="89"/>
      <c r="K37" s="89"/>
      <c r="L37" s="89"/>
      <c r="M37" s="89"/>
      <c r="N37" s="89"/>
    </row>
    <row r="38" spans="1:14" ht="30" customHeight="1" x14ac:dyDescent="0.2">
      <c r="A38" s="438" t="s">
        <v>411</v>
      </c>
      <c r="B38" s="439"/>
      <c r="C38" s="443"/>
      <c r="D38" s="440">
        <f>SUM(D34:D37)</f>
        <v>0.14250000000000002</v>
      </c>
      <c r="E38" s="444"/>
      <c r="F38" s="426">
        <f>SUM(F34:F37)</f>
        <v>667.38</v>
      </c>
      <c r="G38" s="426">
        <f>SUM(G34:G37)</f>
        <v>0</v>
      </c>
      <c r="H38" s="426">
        <f>SUM(H34:H37)</f>
        <v>0</v>
      </c>
      <c r="I38" s="445">
        <f>SUM(I34:I37)</f>
        <v>74.38</v>
      </c>
      <c r="J38" s="89"/>
      <c r="K38" s="89"/>
      <c r="L38" s="89"/>
      <c r="M38" s="89"/>
      <c r="N38" s="89"/>
    </row>
    <row r="39" spans="1:14" ht="34.5" hidden="1" customHeight="1" x14ac:dyDescent="0.2">
      <c r="A39" s="716" t="str">
        <f>A7</f>
        <v>Auxiliar Administrativo - Classe I - 150</v>
      </c>
      <c r="B39" s="716"/>
      <c r="C39" s="716"/>
      <c r="D39" s="716"/>
      <c r="E39" s="716"/>
      <c r="F39" s="446">
        <f>ROUND(F32/(1-D38),2)</f>
        <v>4683.34</v>
      </c>
      <c r="G39" s="447">
        <f>ROUND($G$32/(1-$D$38),2)</f>
        <v>0</v>
      </c>
      <c r="H39" s="448">
        <f>ROUND(H32/(1-D38),2)</f>
        <v>0</v>
      </c>
      <c r="I39" s="449">
        <f>ROUND(I32/(1-D38),2)</f>
        <v>521.95000000000005</v>
      </c>
      <c r="J39" s="89"/>
      <c r="K39" s="89"/>
      <c r="L39" s="89"/>
      <c r="M39" s="89"/>
      <c r="N39" s="89"/>
    </row>
    <row r="40" spans="1:14" ht="30" customHeight="1" x14ac:dyDescent="0.2">
      <c r="A40" s="717" t="str">
        <f>A7</f>
        <v>Auxiliar Administrativo - Classe I - 150</v>
      </c>
      <c r="B40" s="717"/>
      <c r="C40" s="717"/>
      <c r="D40" s="717"/>
      <c r="E40" s="717"/>
      <c r="F40" s="450">
        <f>F39</f>
        <v>4683.34</v>
      </c>
      <c r="G40" s="451">
        <f>$G$39</f>
        <v>0</v>
      </c>
      <c r="H40" s="452">
        <f>H39</f>
        <v>0</v>
      </c>
      <c r="I40" s="453">
        <f>I39</f>
        <v>521.95000000000005</v>
      </c>
      <c r="J40" s="89"/>
      <c r="K40" s="89"/>
      <c r="L40" s="89"/>
      <c r="M40" s="89"/>
      <c r="N40" s="89"/>
    </row>
    <row r="41" spans="1:14" ht="29.25" customHeight="1" x14ac:dyDescent="0.2">
      <c r="A41" s="712" t="s">
        <v>412</v>
      </c>
      <c r="B41" s="712"/>
      <c r="C41" s="712"/>
      <c r="D41" s="712"/>
      <c r="E41" s="712"/>
      <c r="F41" s="454">
        <f>($F$40/$F$12)/100</f>
        <v>2.7149797101449279E-2</v>
      </c>
      <c r="G41" s="455"/>
      <c r="H41" s="456"/>
      <c r="I41" s="457"/>
      <c r="J41" s="89"/>
      <c r="K41" s="89"/>
      <c r="L41" s="89"/>
      <c r="M41" s="89"/>
      <c r="N41" s="89"/>
    </row>
    <row r="42" spans="1:14" ht="24" customHeight="1" x14ac:dyDescent="0.2">
      <c r="A42" s="89"/>
      <c r="B42" s="89"/>
      <c r="C42" s="89"/>
      <c r="D42" s="89"/>
      <c r="E42" s="89"/>
      <c r="F42" s="458"/>
      <c r="G42" s="458"/>
      <c r="H42" s="458"/>
      <c r="I42" s="89"/>
      <c r="J42" s="89"/>
      <c r="K42" s="89"/>
      <c r="L42" s="89"/>
      <c r="M42" s="89"/>
      <c r="N42" s="89"/>
    </row>
    <row r="43" spans="1:14" x14ac:dyDescent="0.2">
      <c r="A43" s="89"/>
      <c r="B43" s="89"/>
      <c r="C43" s="89"/>
      <c r="D43" s="89"/>
      <c r="E43" s="89"/>
      <c r="F43" s="458"/>
      <c r="G43" s="458"/>
      <c r="H43" s="458"/>
      <c r="I43" s="89"/>
      <c r="J43" s="89"/>
      <c r="K43" s="89"/>
      <c r="L43" s="89"/>
      <c r="M43" s="89"/>
      <c r="N43" s="89"/>
    </row>
    <row r="44" spans="1:14" x14ac:dyDescent="0.2">
      <c r="A44" s="89"/>
      <c r="B44" s="89"/>
      <c r="C44" s="89"/>
      <c r="D44" s="89"/>
      <c r="E44" s="89"/>
      <c r="F44" s="458"/>
      <c r="G44" s="458"/>
      <c r="H44" s="458"/>
      <c r="I44" s="89"/>
      <c r="J44" s="89"/>
      <c r="K44" s="89"/>
      <c r="L44" s="89"/>
      <c r="M44" s="89"/>
      <c r="N44" s="89"/>
    </row>
    <row r="45" spans="1:14" x14ac:dyDescent="0.2">
      <c r="A45" s="89"/>
      <c r="B45" s="89"/>
      <c r="C45" s="89"/>
      <c r="D45" s="89"/>
      <c r="E45" s="89"/>
      <c r="F45" s="458"/>
      <c r="G45" s="458"/>
      <c r="H45" s="458"/>
      <c r="I45" s="89"/>
      <c r="J45" s="89"/>
      <c r="K45" s="89"/>
      <c r="L45" s="89"/>
      <c r="M45" s="89"/>
      <c r="N45" s="89"/>
    </row>
  </sheetData>
  <sheetProtection algorithmName="SHA-512" hashValue="Qn4u9hARk+xrUqjXRHl2R/qQLzKrs5Z9+iuf9D3qJppzCabf4tNleJr9zjuNBnaJMztJy93OQ3cPfqW2zq5JEw==" saltValue="Cx4CbWbUt3WyUkRyF0FT/Q==" spinCount="100000" sheet="1" objects="1" scenarios="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41:E41"/>
    <mergeCell ref="A29:C29"/>
    <mergeCell ref="A32:E32"/>
    <mergeCell ref="A33:I33"/>
    <mergeCell ref="A39:E39"/>
    <mergeCell ref="A40:E40"/>
  </mergeCells>
  <pageMargins left="0.39374999999999999" right="0" top="0.39374999999999999" bottom="0" header="0.51180555555555496" footer="0.51180555555555496"/>
  <pageSetup paperSize="9" scale="75" orientation="portrait" horizontalDpi="300" verticalDpi="300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3</vt:i4>
      </vt:variant>
    </vt:vector>
  </HeadingPairs>
  <TitlesOfParts>
    <vt:vector size="22" baseType="lpstr">
      <vt:lpstr>Ocorrências Mensais - FAT</vt:lpstr>
      <vt:lpstr>INSTRUÇÕES</vt:lpstr>
      <vt:lpstr>Resumo</vt:lpstr>
      <vt:lpstr>Dados</vt:lpstr>
      <vt:lpstr>Encargos</vt:lpstr>
      <vt:lpstr>Uniforme</vt:lpstr>
      <vt:lpstr>Ascensorista 150</vt:lpstr>
      <vt:lpstr>Atendente 200</vt:lpstr>
      <vt:lpstr>Aux Admin I 150</vt:lpstr>
      <vt:lpstr>Aux. Almoxarifado 200</vt:lpstr>
      <vt:lpstr>Aux Admin II 200</vt:lpstr>
      <vt:lpstr>Aux Admin III 150</vt:lpstr>
      <vt:lpstr>Assistente Financeiro 200</vt:lpstr>
      <vt:lpstr>Aux Admin IV 200</vt:lpstr>
      <vt:lpstr>Encarregado Geral 220</vt:lpstr>
      <vt:lpstr>Op. Ed. Audio e Video 150</vt:lpstr>
      <vt:lpstr>Recepcionista 220</vt:lpstr>
      <vt:lpstr>Custo Estimativo Substituto</vt:lpstr>
      <vt:lpstr>IPCA</vt:lpstr>
      <vt:lpstr>Dados!Area_de_impressao</vt:lpstr>
      <vt:lpstr>Resumo!Area_de_impressao</vt:lpstr>
      <vt:lpstr>Uniforme!Area_de_impressao</vt:lpstr>
    </vt:vector>
  </TitlesOfParts>
  <Company>JFMG_x005f_x0000__x005f_x0000__x005f_x0000_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MG6403</dc:creator>
  <dc:description/>
  <cp:lastModifiedBy>Fábio Lucas Gouveia dos Santos</cp:lastModifiedBy>
  <cp:revision>81</cp:revision>
  <cp:lastPrinted>2023-07-10T20:49:50Z</cp:lastPrinted>
  <dcterms:created xsi:type="dcterms:W3CDTF">2001-07-31T19:00:38Z</dcterms:created>
  <dcterms:modified xsi:type="dcterms:W3CDTF">2023-07-25T18:59:16Z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