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7f2ff7fa4190ed42/Área de Trabalho/SELIT/Pregão 15-2023 - 90013 - conserv. Sete Lagoas/"/>
    </mc:Choice>
  </mc:AlternateContent>
  <xr:revisionPtr revIDLastSave="9" documentId="8_{7E182D32-704E-4FA7-A838-40DE71C5DE44}" xr6:coauthVersionLast="47" xr6:coauthVersionMax="47" xr10:uidLastSave="{E4163922-A5EA-47BE-B0D3-80E66B8BF680}"/>
  <bookViews>
    <workbookView xWindow="-108" yWindow="-108" windowWidth="23256" windowHeight="12456" firstSheet="7" activeTab="15" xr2:uid="{00000000-000D-0000-FFFF-FFFF00000000}"/>
  </bookViews>
  <sheets>
    <sheet name="Ocorrências Mensais - FAT" sheetId="1" state="hidden" r:id="rId1"/>
    <sheet name="INSTRUÇÕES" sheetId="2" r:id="rId2"/>
    <sheet name="Dados" sheetId="4" r:id="rId3"/>
    <sheet name="Encargos" sheetId="6" r:id="rId4"/>
    <sheet name="Mat" sheetId="7" r:id="rId5"/>
    <sheet name="EPI" sheetId="8" r:id="rId6"/>
    <sheet name="Equip" sheetId="9" r:id="rId7"/>
    <sheet name="Unif" sheetId="10" r:id="rId8"/>
    <sheet name="Especif" sheetId="11" r:id="rId9"/>
    <sheet name="Serv Ins" sheetId="12" r:id="rId10"/>
    <sheet name="Serv" sheetId="13" r:id="rId11"/>
    <sheet name="Copa" sheetId="14" r:id="rId12"/>
    <sheet name="Zel" sheetId="15" r:id="rId13"/>
    <sheet name="Aux" sheetId="16" r:id="rId14"/>
    <sheet name="Resumo" sheetId="3" r:id="rId15"/>
    <sheet name="Custo Estimado Substituto" sheetId="17" r:id="rId16"/>
    <sheet name="IPCA" sheetId="5" state="hidden" r:id="rId17"/>
  </sheets>
  <definedNames>
    <definedName name="_xlnm.Print_Area" localSheetId="13">Aux!$A$1:$J$47</definedName>
    <definedName name="_xlnm.Print_Area" localSheetId="11">Copa!$A$1:$J$47</definedName>
    <definedName name="_xlnm.Print_Area" localSheetId="2">Dados!$A$1:$T$56</definedName>
    <definedName name="_xlnm.Print_Area" localSheetId="3">Encargos!$A$1:$H$59</definedName>
    <definedName name="_xlnm.Print_Area" localSheetId="5">EPI!$A$1:$P$20</definedName>
    <definedName name="_xlnm.Print_Area" localSheetId="4">Mat!$A$1:$L$85</definedName>
    <definedName name="_xlnm.Print_Area" localSheetId="14">Resumo!$A$1:$W$22</definedName>
    <definedName name="_xlnm.Print_Area" localSheetId="10">Serv!$A$1:$J$47</definedName>
    <definedName name="_xlnm.Print_Area" localSheetId="9">'Serv Ins'!$A$1:$J$47</definedName>
    <definedName name="_xlnm.Print_Area" localSheetId="7">Unif!$A$1:$H$44</definedName>
    <definedName name="_xlnm.Print_Area" localSheetId="12">Zel!$A$1:$J$47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9" i="7" l="1"/>
  <c r="L80" i="7"/>
  <c r="L81" i="7"/>
  <c r="L82" i="7"/>
  <c r="L83" i="7"/>
  <c r="L84" i="7"/>
  <c r="L78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54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G68" i="1"/>
  <c r="G67" i="1"/>
  <c r="A12" i="10" l="1"/>
  <c r="G56" i="4"/>
  <c r="G69" i="1" s="1"/>
  <c r="O118" i="1"/>
  <c r="O119" i="1"/>
  <c r="O120" i="1"/>
  <c r="N116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N100" i="1"/>
  <c r="M100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N74" i="1"/>
  <c r="M74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N27" i="1"/>
  <c r="M27" i="1"/>
  <c r="E23" i="16"/>
  <c r="E23" i="15"/>
  <c r="E23" i="14"/>
  <c r="E23" i="13"/>
  <c r="D23" i="12"/>
  <c r="E23" i="12"/>
  <c r="H7" i="4"/>
  <c r="H22" i="1"/>
  <c r="B3" i="1"/>
  <c r="B3" i="4"/>
  <c r="B3" i="6"/>
  <c r="B3" i="7"/>
  <c r="B3" i="8"/>
  <c r="B3" i="9"/>
  <c r="B3" i="10"/>
  <c r="B3" i="11"/>
  <c r="B3" i="12"/>
  <c r="B3" i="13"/>
  <c r="B3" i="14"/>
  <c r="B3" i="15"/>
  <c r="B3" i="16"/>
  <c r="B3" i="3"/>
  <c r="A5" i="3" s="1"/>
  <c r="B3" i="17"/>
  <c r="B2" i="1"/>
  <c r="B2" i="4"/>
  <c r="B2" i="6"/>
  <c r="B2" i="7"/>
  <c r="B2" i="8"/>
  <c r="B2" i="9"/>
  <c r="B2" i="10"/>
  <c r="B2" i="11"/>
  <c r="B2" i="12"/>
  <c r="B2" i="13"/>
  <c r="B2" i="14"/>
  <c r="B2" i="15"/>
  <c r="B2" i="16"/>
  <c r="B2" i="3"/>
  <c r="B2" i="17"/>
  <c r="B1" i="1"/>
  <c r="B1" i="4"/>
  <c r="B1" i="6"/>
  <c r="B1" i="7"/>
  <c r="B1" i="8"/>
  <c r="B1" i="9"/>
  <c r="B1" i="10"/>
  <c r="B1" i="11"/>
  <c r="B1" i="12"/>
  <c r="B1" i="13"/>
  <c r="B1" i="14"/>
  <c r="B1" i="15"/>
  <c r="B1" i="16"/>
  <c r="B1" i="3"/>
  <c r="B1" i="17"/>
  <c r="B24" i="17"/>
  <c r="Q120" i="1"/>
  <c r="R120" i="1" s="1"/>
  <c r="S120" i="1" s="1"/>
  <c r="T120" i="1" s="1"/>
  <c r="U120" i="1" s="1"/>
  <c r="Q119" i="1"/>
  <c r="R119" i="1" s="1"/>
  <c r="S119" i="1" s="1"/>
  <c r="T119" i="1" s="1"/>
  <c r="U119" i="1" s="1"/>
  <c r="Q118" i="1"/>
  <c r="R118" i="1" s="1"/>
  <c r="S118" i="1" s="1"/>
  <c r="T118" i="1" s="1"/>
  <c r="U118" i="1" s="1"/>
  <c r="Q117" i="1"/>
  <c r="R117" i="1" s="1"/>
  <c r="S117" i="1" s="1"/>
  <c r="T117" i="1" s="1"/>
  <c r="U117" i="1" s="1"/>
  <c r="Q116" i="1"/>
  <c r="R116" i="1" s="1"/>
  <c r="S116" i="1" s="1"/>
  <c r="T116" i="1" s="1"/>
  <c r="U116" i="1" s="1"/>
  <c r="Q13" i="3"/>
  <c r="Q14" i="3"/>
  <c r="Q15" i="3"/>
  <c r="Q16" i="3"/>
  <c r="Q12" i="3"/>
  <c r="H16" i="14"/>
  <c r="H14" i="12"/>
  <c r="H16" i="12" s="1"/>
  <c r="H14" i="13"/>
  <c r="H16" i="13" s="1"/>
  <c r="H14" i="14"/>
  <c r="H14" i="15"/>
  <c r="H16" i="15" s="1"/>
  <c r="H14" i="16"/>
  <c r="H16" i="16" s="1"/>
  <c r="F12" i="1"/>
  <c r="H13" i="3" s="1"/>
  <c r="F13" i="1"/>
  <c r="H14" i="3" s="1"/>
  <c r="F14" i="1"/>
  <c r="H15" i="3" s="1"/>
  <c r="F15" i="1"/>
  <c r="H16" i="3" s="1"/>
  <c r="F11" i="1"/>
  <c r="H12" i="3" s="1"/>
  <c r="D16" i="8"/>
  <c r="N16" i="8" s="1"/>
  <c r="E16" i="8"/>
  <c r="D17" i="8"/>
  <c r="N17" i="8" s="1"/>
  <c r="E17" i="8"/>
  <c r="D18" i="8"/>
  <c r="N18" i="8" s="1"/>
  <c r="E18" i="8"/>
  <c r="D19" i="8"/>
  <c r="N19" i="8" s="1"/>
  <c r="E19" i="8"/>
  <c r="B16" i="8"/>
  <c r="B17" i="8"/>
  <c r="B18" i="8"/>
  <c r="B19" i="8"/>
  <c r="E15" i="8"/>
  <c r="D15" i="8"/>
  <c r="N15" i="8" s="1"/>
  <c r="B15" i="8"/>
  <c r="V116" i="1"/>
  <c r="V117" i="1"/>
  <c r="V118" i="1"/>
  <c r="V119" i="1"/>
  <c r="V120" i="1"/>
  <c r="O117" i="1"/>
  <c r="O116" i="1"/>
  <c r="F7" i="8"/>
  <c r="N115" i="1" s="1"/>
  <c r="P19" i="8"/>
  <c r="H19" i="8"/>
  <c r="P18" i="8"/>
  <c r="H18" i="8"/>
  <c r="P17" i="8"/>
  <c r="H17" i="8"/>
  <c r="P16" i="8"/>
  <c r="H16" i="8"/>
  <c r="P15" i="8"/>
  <c r="H15" i="8"/>
  <c r="E74" i="4"/>
  <c r="U13" i="3"/>
  <c r="U17" i="3" s="1"/>
  <c r="G124" i="1"/>
  <c r="G123" i="1"/>
  <c r="G122" i="1"/>
  <c r="G110" i="1"/>
  <c r="G109" i="1"/>
  <c r="G108" i="1"/>
  <c r="G95" i="1"/>
  <c r="G94" i="1"/>
  <c r="G93" i="1"/>
  <c r="Q115" i="1"/>
  <c r="R115" i="1" s="1"/>
  <c r="S115" i="1" s="1"/>
  <c r="T115" i="1" s="1"/>
  <c r="U115" i="1" s="1"/>
  <c r="Q106" i="1"/>
  <c r="R106" i="1" s="1"/>
  <c r="S106" i="1" s="1"/>
  <c r="T106" i="1" s="1"/>
  <c r="U106" i="1" s="1"/>
  <c r="Q105" i="1"/>
  <c r="R105" i="1" s="1"/>
  <c r="S105" i="1" s="1"/>
  <c r="T105" i="1" s="1"/>
  <c r="U105" i="1" s="1"/>
  <c r="Q104" i="1"/>
  <c r="R104" i="1" s="1"/>
  <c r="S104" i="1" s="1"/>
  <c r="T104" i="1" s="1"/>
  <c r="U104" i="1" s="1"/>
  <c r="Q103" i="1"/>
  <c r="R103" i="1" s="1"/>
  <c r="S103" i="1" s="1"/>
  <c r="T103" i="1" s="1"/>
  <c r="U103" i="1" s="1"/>
  <c r="Q102" i="1"/>
  <c r="R102" i="1" s="1"/>
  <c r="S102" i="1" s="1"/>
  <c r="T102" i="1" s="1"/>
  <c r="U102" i="1" s="1"/>
  <c r="Q101" i="1"/>
  <c r="R101" i="1" s="1"/>
  <c r="S101" i="1" s="1"/>
  <c r="T101" i="1" s="1"/>
  <c r="U101" i="1" s="1"/>
  <c r="Q100" i="1"/>
  <c r="R100" i="1" s="1"/>
  <c r="S100" i="1" s="1"/>
  <c r="T100" i="1" s="1"/>
  <c r="U100" i="1" s="1"/>
  <c r="Q91" i="1"/>
  <c r="R91" i="1" s="1"/>
  <c r="S91" i="1" s="1"/>
  <c r="T91" i="1" s="1"/>
  <c r="U91" i="1" s="1"/>
  <c r="Q90" i="1"/>
  <c r="R90" i="1" s="1"/>
  <c r="S90" i="1" s="1"/>
  <c r="T90" i="1" s="1"/>
  <c r="U90" i="1" s="1"/>
  <c r="Q89" i="1"/>
  <c r="R89" i="1" s="1"/>
  <c r="S89" i="1" s="1"/>
  <c r="T89" i="1" s="1"/>
  <c r="U89" i="1" s="1"/>
  <c r="Q88" i="1"/>
  <c r="R88" i="1" s="1"/>
  <c r="S88" i="1" s="1"/>
  <c r="T88" i="1" s="1"/>
  <c r="U88" i="1" s="1"/>
  <c r="Q87" i="1"/>
  <c r="R87" i="1" s="1"/>
  <c r="S87" i="1" s="1"/>
  <c r="T87" i="1" s="1"/>
  <c r="U87" i="1" s="1"/>
  <c r="Q86" i="1"/>
  <c r="R86" i="1" s="1"/>
  <c r="S86" i="1" s="1"/>
  <c r="T86" i="1" s="1"/>
  <c r="U86" i="1" s="1"/>
  <c r="Q85" i="1"/>
  <c r="R85" i="1" s="1"/>
  <c r="S85" i="1" s="1"/>
  <c r="T85" i="1" s="1"/>
  <c r="U85" i="1" s="1"/>
  <c r="Q84" i="1"/>
  <c r="R84" i="1" s="1"/>
  <c r="S84" i="1" s="1"/>
  <c r="T84" i="1" s="1"/>
  <c r="U84" i="1" s="1"/>
  <c r="Q83" i="1"/>
  <c r="R83" i="1" s="1"/>
  <c r="S83" i="1" s="1"/>
  <c r="T83" i="1" s="1"/>
  <c r="U83" i="1" s="1"/>
  <c r="Q82" i="1"/>
  <c r="R82" i="1" s="1"/>
  <c r="S82" i="1" s="1"/>
  <c r="T82" i="1" s="1"/>
  <c r="U82" i="1" s="1"/>
  <c r="Q81" i="1"/>
  <c r="R81" i="1" s="1"/>
  <c r="S81" i="1" s="1"/>
  <c r="T81" i="1" s="1"/>
  <c r="U81" i="1" s="1"/>
  <c r="Q80" i="1"/>
  <c r="R80" i="1" s="1"/>
  <c r="S80" i="1" s="1"/>
  <c r="T80" i="1" s="1"/>
  <c r="U80" i="1" s="1"/>
  <c r="Q79" i="1"/>
  <c r="R79" i="1" s="1"/>
  <c r="S79" i="1" s="1"/>
  <c r="T79" i="1" s="1"/>
  <c r="U79" i="1" s="1"/>
  <c r="Q78" i="1"/>
  <c r="R78" i="1" s="1"/>
  <c r="S78" i="1" s="1"/>
  <c r="T78" i="1" s="1"/>
  <c r="U78" i="1" s="1"/>
  <c r="Q77" i="1"/>
  <c r="R77" i="1" s="1"/>
  <c r="S77" i="1" s="1"/>
  <c r="T77" i="1" s="1"/>
  <c r="U77" i="1" s="1"/>
  <c r="Q76" i="1"/>
  <c r="R76" i="1" s="1"/>
  <c r="S76" i="1" s="1"/>
  <c r="T76" i="1" s="1"/>
  <c r="U76" i="1" s="1"/>
  <c r="Q75" i="1"/>
  <c r="R75" i="1" s="1"/>
  <c r="S75" i="1" s="1"/>
  <c r="T75" i="1" s="1"/>
  <c r="U75" i="1" s="1"/>
  <c r="Q74" i="1"/>
  <c r="R74" i="1" s="1"/>
  <c r="S74" i="1" s="1"/>
  <c r="T74" i="1" s="1"/>
  <c r="U74" i="1" s="1"/>
  <c r="Q28" i="1"/>
  <c r="R28" i="1" s="1"/>
  <c r="S28" i="1" s="1"/>
  <c r="T28" i="1" s="1"/>
  <c r="U28" i="1" s="1"/>
  <c r="Q29" i="1"/>
  <c r="R29" i="1" s="1"/>
  <c r="S29" i="1" s="1"/>
  <c r="T29" i="1" s="1"/>
  <c r="U29" i="1" s="1"/>
  <c r="Q30" i="1"/>
  <c r="R30" i="1" s="1"/>
  <c r="S30" i="1" s="1"/>
  <c r="T30" i="1" s="1"/>
  <c r="U30" i="1" s="1"/>
  <c r="Q31" i="1"/>
  <c r="R31" i="1" s="1"/>
  <c r="S31" i="1" s="1"/>
  <c r="T31" i="1" s="1"/>
  <c r="U31" i="1" s="1"/>
  <c r="Q32" i="1"/>
  <c r="R32" i="1" s="1"/>
  <c r="S32" i="1" s="1"/>
  <c r="T32" i="1" s="1"/>
  <c r="U32" i="1" s="1"/>
  <c r="Q33" i="1"/>
  <c r="R33" i="1" s="1"/>
  <c r="S33" i="1" s="1"/>
  <c r="T33" i="1" s="1"/>
  <c r="U33" i="1" s="1"/>
  <c r="Q34" i="1"/>
  <c r="R34" i="1" s="1"/>
  <c r="S34" i="1" s="1"/>
  <c r="T34" i="1" s="1"/>
  <c r="U34" i="1" s="1"/>
  <c r="Q35" i="1"/>
  <c r="R35" i="1" s="1"/>
  <c r="S35" i="1" s="1"/>
  <c r="T35" i="1" s="1"/>
  <c r="U35" i="1" s="1"/>
  <c r="Q36" i="1"/>
  <c r="R36" i="1" s="1"/>
  <c r="S36" i="1" s="1"/>
  <c r="T36" i="1" s="1"/>
  <c r="U36" i="1" s="1"/>
  <c r="Q37" i="1"/>
  <c r="R37" i="1" s="1"/>
  <c r="S37" i="1" s="1"/>
  <c r="T37" i="1" s="1"/>
  <c r="U37" i="1" s="1"/>
  <c r="Q38" i="1"/>
  <c r="R38" i="1" s="1"/>
  <c r="S38" i="1" s="1"/>
  <c r="T38" i="1" s="1"/>
  <c r="U38" i="1" s="1"/>
  <c r="Q39" i="1"/>
  <c r="R39" i="1" s="1"/>
  <c r="S39" i="1" s="1"/>
  <c r="T39" i="1" s="1"/>
  <c r="U39" i="1" s="1"/>
  <c r="Q40" i="1"/>
  <c r="R40" i="1" s="1"/>
  <c r="S40" i="1" s="1"/>
  <c r="T40" i="1" s="1"/>
  <c r="U40" i="1" s="1"/>
  <c r="Q41" i="1"/>
  <c r="R41" i="1" s="1"/>
  <c r="S41" i="1" s="1"/>
  <c r="T41" i="1" s="1"/>
  <c r="U41" i="1" s="1"/>
  <c r="Q42" i="1"/>
  <c r="R42" i="1" s="1"/>
  <c r="S42" i="1" s="1"/>
  <c r="T42" i="1" s="1"/>
  <c r="U42" i="1" s="1"/>
  <c r="Q43" i="1"/>
  <c r="R43" i="1" s="1"/>
  <c r="S43" i="1" s="1"/>
  <c r="T43" i="1" s="1"/>
  <c r="U43" i="1" s="1"/>
  <c r="Q44" i="1"/>
  <c r="R44" i="1" s="1"/>
  <c r="S44" i="1" s="1"/>
  <c r="T44" i="1" s="1"/>
  <c r="U44" i="1" s="1"/>
  <c r="Q45" i="1"/>
  <c r="R45" i="1" s="1"/>
  <c r="S45" i="1" s="1"/>
  <c r="T45" i="1" s="1"/>
  <c r="U45" i="1" s="1"/>
  <c r="Q46" i="1"/>
  <c r="R46" i="1" s="1"/>
  <c r="S46" i="1" s="1"/>
  <c r="T46" i="1" s="1"/>
  <c r="U46" i="1" s="1"/>
  <c r="Q47" i="1"/>
  <c r="R47" i="1" s="1"/>
  <c r="S47" i="1" s="1"/>
  <c r="T47" i="1" s="1"/>
  <c r="U47" i="1" s="1"/>
  <c r="Q48" i="1"/>
  <c r="R48" i="1" s="1"/>
  <c r="S48" i="1" s="1"/>
  <c r="T48" i="1" s="1"/>
  <c r="U48" i="1" s="1"/>
  <c r="Q49" i="1"/>
  <c r="R49" i="1" s="1"/>
  <c r="S49" i="1" s="1"/>
  <c r="T49" i="1" s="1"/>
  <c r="U49" i="1" s="1"/>
  <c r="Q50" i="1"/>
  <c r="R50" i="1" s="1"/>
  <c r="S50" i="1" s="1"/>
  <c r="T50" i="1" s="1"/>
  <c r="U50" i="1" s="1"/>
  <c r="Q51" i="1"/>
  <c r="R51" i="1" s="1"/>
  <c r="S51" i="1" s="1"/>
  <c r="T51" i="1" s="1"/>
  <c r="U51" i="1" s="1"/>
  <c r="Q52" i="1"/>
  <c r="R52" i="1" s="1"/>
  <c r="S52" i="1" s="1"/>
  <c r="T52" i="1" s="1"/>
  <c r="U52" i="1" s="1"/>
  <c r="Q53" i="1"/>
  <c r="R53" i="1" s="1"/>
  <c r="S53" i="1" s="1"/>
  <c r="T53" i="1" s="1"/>
  <c r="U53" i="1" s="1"/>
  <c r="Q54" i="1"/>
  <c r="R54" i="1" s="1"/>
  <c r="S54" i="1" s="1"/>
  <c r="T54" i="1" s="1"/>
  <c r="U54" i="1" s="1"/>
  <c r="Q55" i="1"/>
  <c r="R55" i="1" s="1"/>
  <c r="S55" i="1" s="1"/>
  <c r="T55" i="1" s="1"/>
  <c r="U55" i="1" s="1"/>
  <c r="Q56" i="1"/>
  <c r="R56" i="1" s="1"/>
  <c r="S56" i="1" s="1"/>
  <c r="T56" i="1" s="1"/>
  <c r="U56" i="1" s="1"/>
  <c r="Q57" i="1"/>
  <c r="R57" i="1" s="1"/>
  <c r="S57" i="1" s="1"/>
  <c r="T57" i="1" s="1"/>
  <c r="U57" i="1" s="1"/>
  <c r="Q58" i="1"/>
  <c r="R58" i="1" s="1"/>
  <c r="S58" i="1" s="1"/>
  <c r="T58" i="1" s="1"/>
  <c r="U58" i="1" s="1"/>
  <c r="Q59" i="1"/>
  <c r="R59" i="1" s="1"/>
  <c r="S59" i="1" s="1"/>
  <c r="T59" i="1" s="1"/>
  <c r="U59" i="1" s="1"/>
  <c r="Q60" i="1"/>
  <c r="R60" i="1" s="1"/>
  <c r="S60" i="1" s="1"/>
  <c r="T60" i="1" s="1"/>
  <c r="U60" i="1" s="1"/>
  <c r="Q61" i="1"/>
  <c r="R61" i="1" s="1"/>
  <c r="S61" i="1" s="1"/>
  <c r="T61" i="1" s="1"/>
  <c r="U61" i="1" s="1"/>
  <c r="Q62" i="1"/>
  <c r="R62" i="1" s="1"/>
  <c r="S62" i="1" s="1"/>
  <c r="T62" i="1" s="1"/>
  <c r="U62" i="1" s="1"/>
  <c r="Q63" i="1"/>
  <c r="R63" i="1" s="1"/>
  <c r="S63" i="1" s="1"/>
  <c r="T63" i="1" s="1"/>
  <c r="U63" i="1" s="1"/>
  <c r="Q64" i="1"/>
  <c r="R64" i="1" s="1"/>
  <c r="S64" i="1" s="1"/>
  <c r="T64" i="1" s="1"/>
  <c r="U64" i="1" s="1"/>
  <c r="Q65" i="1"/>
  <c r="R65" i="1" s="1"/>
  <c r="S65" i="1" s="1"/>
  <c r="T65" i="1" s="1"/>
  <c r="U65" i="1" s="1"/>
  <c r="Q27" i="1"/>
  <c r="R27" i="1" s="1"/>
  <c r="S27" i="1" s="1"/>
  <c r="T27" i="1" s="1"/>
  <c r="U27" i="1" s="1"/>
  <c r="F20" i="1"/>
  <c r="K15" i="1"/>
  <c r="K16" i="3" s="1"/>
  <c r="K14" i="1"/>
  <c r="K15" i="3" s="1"/>
  <c r="K13" i="1"/>
  <c r="K14" i="3" s="1"/>
  <c r="K12" i="1"/>
  <c r="K13" i="3" s="1"/>
  <c r="K11" i="1"/>
  <c r="K12" i="3" s="1"/>
  <c r="P13" i="1"/>
  <c r="P14" i="1"/>
  <c r="P15" i="1"/>
  <c r="P11" i="1"/>
  <c r="R15" i="1"/>
  <c r="S12" i="1"/>
  <c r="S13" i="1"/>
  <c r="S14" i="1"/>
  <c r="S15" i="1"/>
  <c r="S11" i="1"/>
  <c r="A12" i="1"/>
  <c r="B12" i="1"/>
  <c r="D117" i="1" s="1"/>
  <c r="C12" i="1"/>
  <c r="A13" i="1"/>
  <c r="B13" i="1"/>
  <c r="D118" i="1" s="1"/>
  <c r="C13" i="1"/>
  <c r="A14" i="1"/>
  <c r="B14" i="1"/>
  <c r="D119" i="1" s="1"/>
  <c r="C14" i="1"/>
  <c r="A15" i="1"/>
  <c r="B15" i="1"/>
  <c r="D120" i="1" s="1"/>
  <c r="C15" i="1"/>
  <c r="C11" i="1"/>
  <c r="B11" i="1"/>
  <c r="D116" i="1" s="1"/>
  <c r="A11" i="1"/>
  <c r="F5" i="1"/>
  <c r="E5" i="1"/>
  <c r="J5" i="17"/>
  <c r="I5" i="17"/>
  <c r="H5" i="17"/>
  <c r="G5" i="17"/>
  <c r="F5" i="17"/>
  <c r="E24" i="17"/>
  <c r="E23" i="17"/>
  <c r="E21" i="17"/>
  <c r="E19" i="17"/>
  <c r="E18" i="17"/>
  <c r="N13" i="3"/>
  <c r="N14" i="3"/>
  <c r="N15" i="3"/>
  <c r="N16" i="3"/>
  <c r="N12" i="3"/>
  <c r="D13" i="16"/>
  <c r="C13" i="16"/>
  <c r="E13" i="16"/>
  <c r="E11" i="16"/>
  <c r="D11" i="16"/>
  <c r="F11" i="16" s="1"/>
  <c r="A7" i="16"/>
  <c r="A46" i="16" s="1"/>
  <c r="D43" i="16"/>
  <c r="D42" i="16"/>
  <c r="D41" i="16"/>
  <c r="D40" i="16"/>
  <c r="D36" i="16"/>
  <c r="D34" i="16"/>
  <c r="J30" i="16"/>
  <c r="F25" i="16"/>
  <c r="F24" i="16"/>
  <c r="D23" i="16"/>
  <c r="E22" i="16"/>
  <c r="F22" i="16" s="1"/>
  <c r="D22" i="16"/>
  <c r="C22" i="16"/>
  <c r="F21" i="16"/>
  <c r="G21" i="16" s="1"/>
  <c r="F20" i="16"/>
  <c r="G20" i="16" s="1"/>
  <c r="I14" i="16"/>
  <c r="I16" i="16" s="1"/>
  <c r="E12" i="16"/>
  <c r="D12" i="16"/>
  <c r="F12" i="16" s="1"/>
  <c r="D13" i="15"/>
  <c r="C13" i="15"/>
  <c r="E11" i="15"/>
  <c r="D11" i="15"/>
  <c r="A7" i="15"/>
  <c r="A46" i="15" s="1"/>
  <c r="D43" i="15"/>
  <c r="D42" i="15"/>
  <c r="D41" i="15"/>
  <c r="D40" i="15"/>
  <c r="D36" i="15"/>
  <c r="D34" i="15"/>
  <c r="J30" i="15"/>
  <c r="F25" i="15"/>
  <c r="F24" i="15"/>
  <c r="D23" i="15"/>
  <c r="E22" i="15"/>
  <c r="D22" i="15"/>
  <c r="C22" i="15"/>
  <c r="F21" i="15"/>
  <c r="G21" i="15" s="1"/>
  <c r="F20" i="15"/>
  <c r="G20" i="15" s="1"/>
  <c r="I14" i="15"/>
  <c r="I16" i="15" s="1"/>
  <c r="E12" i="15"/>
  <c r="D12" i="15"/>
  <c r="F12" i="15" s="1"/>
  <c r="E13" i="14"/>
  <c r="D13" i="14"/>
  <c r="C13" i="14"/>
  <c r="E12" i="14"/>
  <c r="E11" i="14"/>
  <c r="D11" i="14"/>
  <c r="D43" i="14"/>
  <c r="D42" i="14"/>
  <c r="D41" i="14"/>
  <c r="D40" i="14"/>
  <c r="D36" i="14"/>
  <c r="D34" i="14"/>
  <c r="D37" i="14" s="1"/>
  <c r="J30" i="14"/>
  <c r="F25" i="14"/>
  <c r="F24" i="14"/>
  <c r="D23" i="14"/>
  <c r="E22" i="14"/>
  <c r="D22" i="14"/>
  <c r="C22" i="14"/>
  <c r="F21" i="14"/>
  <c r="G21" i="14" s="1"/>
  <c r="F20" i="14"/>
  <c r="I14" i="14"/>
  <c r="I16" i="14" s="1"/>
  <c r="D12" i="14"/>
  <c r="D11" i="13"/>
  <c r="E11" i="13"/>
  <c r="F11" i="13" s="1"/>
  <c r="E13" i="13"/>
  <c r="D13" i="13"/>
  <c r="C13" i="13"/>
  <c r="D12" i="13"/>
  <c r="A7" i="13"/>
  <c r="A46" i="13" s="1"/>
  <c r="D43" i="13"/>
  <c r="D42" i="13"/>
  <c r="D41" i="13"/>
  <c r="D40" i="13"/>
  <c r="D36" i="13"/>
  <c r="D34" i="13"/>
  <c r="J30" i="13"/>
  <c r="F25" i="13"/>
  <c r="F24" i="13"/>
  <c r="D23" i="13"/>
  <c r="E22" i="13"/>
  <c r="D22" i="13"/>
  <c r="C22" i="13"/>
  <c r="F21" i="13"/>
  <c r="G21" i="13" s="1"/>
  <c r="F20" i="13"/>
  <c r="I14" i="13"/>
  <c r="I16" i="13" s="1"/>
  <c r="E12" i="13"/>
  <c r="F11" i="14" l="1"/>
  <c r="F22" i="14" s="1"/>
  <c r="F22" i="13"/>
  <c r="G14" i="17" s="1"/>
  <c r="D44" i="16"/>
  <c r="D44" i="14"/>
  <c r="D37" i="15"/>
  <c r="D37" i="16"/>
  <c r="Q17" i="3"/>
  <c r="N17" i="3"/>
  <c r="H14" i="17"/>
  <c r="A45" i="13"/>
  <c r="D37" i="13"/>
  <c r="D44" i="13"/>
  <c r="D44" i="15"/>
  <c r="V13" i="1"/>
  <c r="K16" i="8"/>
  <c r="M117" i="1" s="1"/>
  <c r="L117" i="1" s="1"/>
  <c r="G117" i="1" s="1"/>
  <c r="I117" i="1" s="1"/>
  <c r="F20" i="8"/>
  <c r="L15" i="8"/>
  <c r="K15" i="8"/>
  <c r="M116" i="1" s="1"/>
  <c r="L116" i="1" s="1"/>
  <c r="G116" i="1" s="1"/>
  <c r="I116" i="1" s="1"/>
  <c r="K18" i="8"/>
  <c r="M119" i="1" s="1"/>
  <c r="L119" i="1" s="1"/>
  <c r="G119" i="1" s="1"/>
  <c r="I119" i="1" s="1"/>
  <c r="L18" i="8"/>
  <c r="L16" i="8"/>
  <c r="K17" i="8"/>
  <c r="M118" i="1" s="1"/>
  <c r="L118" i="1" s="1"/>
  <c r="L17" i="8"/>
  <c r="L19" i="8"/>
  <c r="K19" i="8"/>
  <c r="M120" i="1" s="1"/>
  <c r="L120" i="1" s="1"/>
  <c r="G120" i="1" s="1"/>
  <c r="I120" i="1" s="1"/>
  <c r="W14" i="1"/>
  <c r="W13" i="1"/>
  <c r="J14" i="17"/>
  <c r="V14" i="1"/>
  <c r="B11" i="13"/>
  <c r="F13" i="16"/>
  <c r="G13" i="16" s="1"/>
  <c r="F12" i="13"/>
  <c r="K17" i="3"/>
  <c r="H17" i="3"/>
  <c r="E20" i="17"/>
  <c r="A45" i="16"/>
  <c r="B11" i="16"/>
  <c r="J12" i="16"/>
  <c r="J14" i="16" s="1"/>
  <c r="G12" i="16"/>
  <c r="G11" i="16"/>
  <c r="F11" i="15"/>
  <c r="G11" i="15" s="1"/>
  <c r="B11" i="15"/>
  <c r="J12" i="15"/>
  <c r="J14" i="15" s="1"/>
  <c r="G12" i="15"/>
  <c r="A45" i="15"/>
  <c r="F12" i="14"/>
  <c r="G12" i="14" s="1"/>
  <c r="F13" i="14"/>
  <c r="G13" i="14" s="1"/>
  <c r="G11" i="14"/>
  <c r="G20" i="14"/>
  <c r="F13" i="13"/>
  <c r="G13" i="13" s="1"/>
  <c r="G11" i="13"/>
  <c r="J12" i="13"/>
  <c r="J14" i="13" s="1"/>
  <c r="G12" i="13"/>
  <c r="G20" i="13"/>
  <c r="M115" i="1" l="1"/>
  <c r="F14" i="14"/>
  <c r="F22" i="15"/>
  <c r="J12" i="14"/>
  <c r="J14" i="14" s="1"/>
  <c r="F14" i="16"/>
  <c r="F14" i="13"/>
  <c r="H120" i="1"/>
  <c r="G22" i="16"/>
  <c r="I22" i="16"/>
  <c r="I30" i="16" s="1"/>
  <c r="I31" i="16" s="1"/>
  <c r="I34" i="16" s="1"/>
  <c r="I35" i="16" s="1"/>
  <c r="I36" i="16" s="1"/>
  <c r="H119" i="1"/>
  <c r="H117" i="1"/>
  <c r="G118" i="1"/>
  <c r="H118" i="1" s="1"/>
  <c r="F19" i="8"/>
  <c r="G19" i="8" s="1"/>
  <c r="I19" i="8" s="1"/>
  <c r="J19" i="8" s="1"/>
  <c r="S11" i="4" s="1"/>
  <c r="F18" i="8"/>
  <c r="G18" i="8" s="1"/>
  <c r="I18" i="8" s="1"/>
  <c r="J18" i="8" s="1"/>
  <c r="S10" i="4" s="1"/>
  <c r="F15" i="8"/>
  <c r="G15" i="8" s="1"/>
  <c r="I15" i="8" s="1"/>
  <c r="J15" i="8" s="1"/>
  <c r="S7" i="4" s="1"/>
  <c r="F16" i="8"/>
  <c r="G16" i="8" s="1"/>
  <c r="I16" i="8" s="1"/>
  <c r="J16" i="8" s="1"/>
  <c r="S8" i="4" s="1"/>
  <c r="F17" i="8"/>
  <c r="G17" i="8" s="1"/>
  <c r="I17" i="8" s="1"/>
  <c r="J17" i="8" s="1"/>
  <c r="S9" i="4" s="1"/>
  <c r="H116" i="1"/>
  <c r="K20" i="8"/>
  <c r="L20" i="8"/>
  <c r="I22" i="15"/>
  <c r="I30" i="15" s="1"/>
  <c r="I31" i="15" s="1"/>
  <c r="I34" i="15" s="1"/>
  <c r="G14" i="16"/>
  <c r="G14" i="14"/>
  <c r="I22" i="14"/>
  <c r="I30" i="14" s="1"/>
  <c r="I31" i="14" s="1"/>
  <c r="G22" i="14"/>
  <c r="I22" i="13"/>
  <c r="I30" i="13" s="1"/>
  <c r="I31" i="13" s="1"/>
  <c r="G22" i="13"/>
  <c r="G14" i="13"/>
  <c r="G115" i="1" l="1"/>
  <c r="I118" i="1"/>
  <c r="I20" i="8"/>
  <c r="G20" i="8"/>
  <c r="I14" i="17"/>
  <c r="G22" i="15"/>
  <c r="I37" i="16"/>
  <c r="I38" i="16" s="1"/>
  <c r="I45" i="16" s="1"/>
  <c r="I46" i="16" s="1"/>
  <c r="G16" i="3" s="1"/>
  <c r="I16" i="3" s="1"/>
  <c r="I35" i="15"/>
  <c r="I36" i="15" s="1"/>
  <c r="I37" i="15" s="1"/>
  <c r="I38" i="15" s="1"/>
  <c r="I45" i="15" s="1"/>
  <c r="I46" i="15" s="1"/>
  <c r="G15" i="3" s="1"/>
  <c r="I15" i="3" s="1"/>
  <c r="I34" i="14"/>
  <c r="I35" i="14" s="1"/>
  <c r="I36" i="14" s="1"/>
  <c r="I34" i="13"/>
  <c r="I35" i="13" s="1"/>
  <c r="I36" i="13" s="1"/>
  <c r="I43" i="16" l="1"/>
  <c r="I40" i="16"/>
  <c r="I41" i="16"/>
  <c r="I42" i="16"/>
  <c r="I40" i="15"/>
  <c r="I41" i="15"/>
  <c r="I42" i="15"/>
  <c r="I43" i="15"/>
  <c r="I37" i="14"/>
  <c r="I38" i="14" s="1"/>
  <c r="I45" i="14" s="1"/>
  <c r="I46" i="14" s="1"/>
  <c r="G14" i="3" s="1"/>
  <c r="I14" i="3" s="1"/>
  <c r="I37" i="13"/>
  <c r="I38" i="13" s="1"/>
  <c r="I45" i="13" s="1"/>
  <c r="I46" i="13" s="1"/>
  <c r="G13" i="3" s="1"/>
  <c r="I13" i="3" s="1"/>
  <c r="I44" i="16" l="1"/>
  <c r="I44" i="15"/>
  <c r="I43" i="14"/>
  <c r="I42" i="14"/>
  <c r="I40" i="14"/>
  <c r="I41" i="14"/>
  <c r="I42" i="13"/>
  <c r="I40" i="13"/>
  <c r="I43" i="13"/>
  <c r="I41" i="13"/>
  <c r="I44" i="14" l="1"/>
  <c r="I44" i="13"/>
  <c r="C34" i="6" l="1"/>
  <c r="D41" i="12" l="1"/>
  <c r="D42" i="12"/>
  <c r="D43" i="12"/>
  <c r="D40" i="12"/>
  <c r="D36" i="12"/>
  <c r="D34" i="12"/>
  <c r="D37" i="12" s="1"/>
  <c r="F25" i="12"/>
  <c r="F24" i="12"/>
  <c r="E22" i="12"/>
  <c r="D22" i="12"/>
  <c r="C22" i="12"/>
  <c r="G38" i="4"/>
  <c r="C23" i="12" l="1"/>
  <c r="C23" i="15"/>
  <c r="F23" i="15" s="1"/>
  <c r="C23" i="13"/>
  <c r="F23" i="13" s="1"/>
  <c r="C23" i="16"/>
  <c r="F23" i="16" s="1"/>
  <c r="C23" i="14"/>
  <c r="F23" i="14" s="1"/>
  <c r="D44" i="12"/>
  <c r="F21" i="12"/>
  <c r="G21" i="12" s="1"/>
  <c r="F20" i="12"/>
  <c r="J30" i="12"/>
  <c r="I14" i="12"/>
  <c r="I16" i="12" s="1"/>
  <c r="E12" i="12"/>
  <c r="E11" i="12"/>
  <c r="D13" i="12"/>
  <c r="C13" i="12"/>
  <c r="D12" i="12"/>
  <c r="D11" i="12"/>
  <c r="F23" i="12" s="1"/>
  <c r="H23" i="12" s="1"/>
  <c r="H30" i="12" s="1"/>
  <c r="H31" i="12" s="1"/>
  <c r="A7" i="12"/>
  <c r="B11" i="12" s="1"/>
  <c r="R42" i="10"/>
  <c r="R41" i="10"/>
  <c r="R40" i="10"/>
  <c r="R35" i="10"/>
  <c r="R34" i="10"/>
  <c r="R29" i="10"/>
  <c r="R28" i="10"/>
  <c r="R27" i="10"/>
  <c r="R22" i="10"/>
  <c r="R21" i="10"/>
  <c r="R20" i="10"/>
  <c r="R19" i="10"/>
  <c r="R18" i="10"/>
  <c r="R17" i="10"/>
  <c r="R12" i="10"/>
  <c r="R11" i="10"/>
  <c r="R10" i="10"/>
  <c r="R9" i="10"/>
  <c r="A42" i="10"/>
  <c r="F41" i="10" s="1"/>
  <c r="H41" i="10" s="1"/>
  <c r="A35" i="10"/>
  <c r="F35" i="10" s="1"/>
  <c r="H35" i="10" s="1"/>
  <c r="A29" i="10"/>
  <c r="F28" i="10" s="1"/>
  <c r="H28" i="10" s="1"/>
  <c r="A22" i="10"/>
  <c r="F17" i="10" s="1"/>
  <c r="H17" i="10" s="1"/>
  <c r="F11" i="9"/>
  <c r="G11" i="9" s="1"/>
  <c r="E11" i="9"/>
  <c r="E10" i="9"/>
  <c r="F10" i="9" s="1"/>
  <c r="G10" i="9" s="1"/>
  <c r="E9" i="9"/>
  <c r="F9" i="9" s="1"/>
  <c r="G9" i="9" s="1"/>
  <c r="V115" i="1"/>
  <c r="V106" i="1"/>
  <c r="V105" i="1"/>
  <c r="V104" i="1"/>
  <c r="V103" i="1"/>
  <c r="V102" i="1"/>
  <c r="V101" i="1"/>
  <c r="V100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27" i="1"/>
  <c r="O115" i="1"/>
  <c r="L115" i="1" s="1"/>
  <c r="O106" i="1"/>
  <c r="L106" i="1" s="1"/>
  <c r="O105" i="1"/>
  <c r="L105" i="1" s="1"/>
  <c r="O104" i="1"/>
  <c r="L104" i="1" s="1"/>
  <c r="O103" i="1"/>
  <c r="L103" i="1" s="1"/>
  <c r="O102" i="1"/>
  <c r="L102" i="1" s="1"/>
  <c r="O101" i="1"/>
  <c r="L101" i="1" s="1"/>
  <c r="O100" i="1"/>
  <c r="L100" i="1" s="1"/>
  <c r="O91" i="1"/>
  <c r="L91" i="1" s="1"/>
  <c r="O90" i="1"/>
  <c r="L90" i="1" s="1"/>
  <c r="O89" i="1"/>
  <c r="L89" i="1" s="1"/>
  <c r="O88" i="1"/>
  <c r="L88" i="1" s="1"/>
  <c r="O87" i="1"/>
  <c r="L87" i="1" s="1"/>
  <c r="O86" i="1"/>
  <c r="L86" i="1" s="1"/>
  <c r="O85" i="1"/>
  <c r="L85" i="1" s="1"/>
  <c r="O84" i="1"/>
  <c r="L84" i="1" s="1"/>
  <c r="O83" i="1"/>
  <c r="L83" i="1" s="1"/>
  <c r="O82" i="1"/>
  <c r="L82" i="1" s="1"/>
  <c r="O81" i="1"/>
  <c r="L81" i="1" s="1"/>
  <c r="O80" i="1"/>
  <c r="L80" i="1" s="1"/>
  <c r="O79" i="1"/>
  <c r="L79" i="1" s="1"/>
  <c r="O78" i="1"/>
  <c r="L78" i="1" s="1"/>
  <c r="O77" i="1"/>
  <c r="L77" i="1" s="1"/>
  <c r="O76" i="1"/>
  <c r="L76" i="1" s="1"/>
  <c r="O75" i="1"/>
  <c r="L75" i="1" s="1"/>
  <c r="O74" i="1"/>
  <c r="L74" i="1" s="1"/>
  <c r="O65" i="1"/>
  <c r="L65" i="1" s="1"/>
  <c r="O64" i="1"/>
  <c r="L64" i="1" s="1"/>
  <c r="O63" i="1"/>
  <c r="L63" i="1" s="1"/>
  <c r="O62" i="1"/>
  <c r="L62" i="1" s="1"/>
  <c r="O61" i="1"/>
  <c r="L61" i="1" s="1"/>
  <c r="O60" i="1"/>
  <c r="L60" i="1" s="1"/>
  <c r="O59" i="1"/>
  <c r="L59" i="1" s="1"/>
  <c r="O58" i="1"/>
  <c r="L58" i="1" s="1"/>
  <c r="O57" i="1"/>
  <c r="L57" i="1" s="1"/>
  <c r="O56" i="1"/>
  <c r="L56" i="1" s="1"/>
  <c r="O55" i="1"/>
  <c r="L55" i="1" s="1"/>
  <c r="O54" i="1"/>
  <c r="L54" i="1" s="1"/>
  <c r="O53" i="1"/>
  <c r="L53" i="1" s="1"/>
  <c r="O52" i="1"/>
  <c r="L52" i="1" s="1"/>
  <c r="O51" i="1"/>
  <c r="L51" i="1" s="1"/>
  <c r="O50" i="1"/>
  <c r="L50" i="1" s="1"/>
  <c r="O49" i="1"/>
  <c r="L49" i="1" s="1"/>
  <c r="O48" i="1"/>
  <c r="L48" i="1" s="1"/>
  <c r="O47" i="1"/>
  <c r="L47" i="1" s="1"/>
  <c r="O46" i="1"/>
  <c r="L46" i="1" s="1"/>
  <c r="O45" i="1"/>
  <c r="L45" i="1" s="1"/>
  <c r="O44" i="1"/>
  <c r="L44" i="1" s="1"/>
  <c r="O43" i="1"/>
  <c r="L43" i="1" s="1"/>
  <c r="O42" i="1"/>
  <c r="L42" i="1" s="1"/>
  <c r="O41" i="1"/>
  <c r="L41" i="1" s="1"/>
  <c r="O40" i="1"/>
  <c r="L40" i="1" s="1"/>
  <c r="O39" i="1"/>
  <c r="L39" i="1" s="1"/>
  <c r="O38" i="1"/>
  <c r="L38" i="1" s="1"/>
  <c r="O37" i="1"/>
  <c r="L37" i="1" s="1"/>
  <c r="O36" i="1"/>
  <c r="L36" i="1" s="1"/>
  <c r="O35" i="1"/>
  <c r="L35" i="1" s="1"/>
  <c r="O34" i="1"/>
  <c r="L34" i="1" s="1"/>
  <c r="O33" i="1"/>
  <c r="L33" i="1" s="1"/>
  <c r="O32" i="1"/>
  <c r="L32" i="1" s="1"/>
  <c r="O31" i="1"/>
  <c r="L31" i="1" s="1"/>
  <c r="O30" i="1"/>
  <c r="L30" i="1" s="1"/>
  <c r="O29" i="1"/>
  <c r="L29" i="1" s="1"/>
  <c r="O28" i="1"/>
  <c r="L28" i="1" s="1"/>
  <c r="O27" i="1"/>
  <c r="L27" i="1" s="1"/>
  <c r="G27" i="1" s="1"/>
  <c r="L9" i="7"/>
  <c r="C48" i="6"/>
  <c r="C49" i="6" s="1"/>
  <c r="C56" i="6" s="1"/>
  <c r="C43" i="6"/>
  <c r="C42" i="6"/>
  <c r="C41" i="6"/>
  <c r="C40" i="6"/>
  <c r="C39" i="6"/>
  <c r="E8" i="17" s="1"/>
  <c r="C33" i="6"/>
  <c r="C36" i="6"/>
  <c r="C31" i="6"/>
  <c r="C32" i="6" s="1"/>
  <c r="C27" i="6"/>
  <c r="C21" i="6"/>
  <c r="G12" i="9" l="1"/>
  <c r="G13" i="17"/>
  <c r="G16" i="17" s="1"/>
  <c r="G30" i="17" s="1"/>
  <c r="G23" i="13"/>
  <c r="H23" i="13"/>
  <c r="H30" i="13" s="1"/>
  <c r="H31" i="13" s="1"/>
  <c r="H34" i="13" s="1"/>
  <c r="H35" i="13" s="1"/>
  <c r="H36" i="13" s="1"/>
  <c r="H37" i="13" s="1"/>
  <c r="H38" i="13" s="1"/>
  <c r="H45" i="13" s="1"/>
  <c r="H46" i="13" s="1"/>
  <c r="C44" i="6"/>
  <c r="H23" i="15"/>
  <c r="H30" i="15" s="1"/>
  <c r="H31" i="15" s="1"/>
  <c r="I13" i="17"/>
  <c r="I16" i="17" s="1"/>
  <c r="I30" i="17" s="1"/>
  <c r="G23" i="15"/>
  <c r="H13" i="17"/>
  <c r="H16" i="17" s="1"/>
  <c r="H30" i="17" s="1"/>
  <c r="H23" i="14"/>
  <c r="H30" i="14" s="1"/>
  <c r="H31" i="14" s="1"/>
  <c r="H34" i="14" s="1"/>
  <c r="H35" i="14" s="1"/>
  <c r="H36" i="14" s="1"/>
  <c r="H37" i="14" s="1"/>
  <c r="H38" i="14" s="1"/>
  <c r="H45" i="14" s="1"/>
  <c r="H46" i="14" s="1"/>
  <c r="G23" i="14"/>
  <c r="F11" i="12"/>
  <c r="F22" i="12" s="1"/>
  <c r="F14" i="17" s="1"/>
  <c r="G23" i="16"/>
  <c r="H23" i="16"/>
  <c r="H30" i="16" s="1"/>
  <c r="H31" i="16" s="1"/>
  <c r="H34" i="16" s="1"/>
  <c r="H35" i="16" s="1"/>
  <c r="H36" i="16" s="1"/>
  <c r="H37" i="16" s="1"/>
  <c r="H38" i="16" s="1"/>
  <c r="H45" i="16" s="1"/>
  <c r="H46" i="16" s="1"/>
  <c r="J13" i="17"/>
  <c r="J16" i="17" s="1"/>
  <c r="J30" i="17" s="1"/>
  <c r="H34" i="12"/>
  <c r="G23" i="12"/>
  <c r="F13" i="17"/>
  <c r="A45" i="12"/>
  <c r="A46" i="12"/>
  <c r="F12" i="12"/>
  <c r="G12" i="12" s="1"/>
  <c r="F34" i="10"/>
  <c r="H34" i="10" s="1"/>
  <c r="H36" i="10" s="1"/>
  <c r="H37" i="10" s="1"/>
  <c r="F28" i="14"/>
  <c r="F40" i="10"/>
  <c r="H40" i="10" s="1"/>
  <c r="F28" i="16"/>
  <c r="F22" i="10"/>
  <c r="H22" i="10" s="1"/>
  <c r="F21" i="10"/>
  <c r="H21" i="10" s="1"/>
  <c r="F19" i="10"/>
  <c r="H19" i="10" s="1"/>
  <c r="F42" i="10"/>
  <c r="H42" i="10" s="1"/>
  <c r="F28" i="13"/>
  <c r="F18" i="10"/>
  <c r="H18" i="10" s="1"/>
  <c r="F29" i="10"/>
  <c r="H29" i="10" s="1"/>
  <c r="F20" i="10"/>
  <c r="H20" i="10" s="1"/>
  <c r="F27" i="10"/>
  <c r="H27" i="10" s="1"/>
  <c r="G20" i="12"/>
  <c r="C22" i="6"/>
  <c r="C23" i="6" s="1"/>
  <c r="F52" i="6"/>
  <c r="H52" i="6" s="1"/>
  <c r="F51" i="6"/>
  <c r="G51" i="6" s="1"/>
  <c r="AG22" i="5"/>
  <c r="AH22" i="5" s="1"/>
  <c r="AE22" i="5"/>
  <c r="AH21" i="5"/>
  <c r="AE21" i="5"/>
  <c r="AH20" i="5"/>
  <c r="AE20" i="5"/>
  <c r="AH19" i="5"/>
  <c r="AE19" i="5"/>
  <c r="AH18" i="5"/>
  <c r="AE18" i="5"/>
  <c r="AH17" i="5"/>
  <c r="AE17" i="5"/>
  <c r="AH16" i="5"/>
  <c r="AE16" i="5"/>
  <c r="AH15" i="5"/>
  <c r="AE15" i="5"/>
  <c r="AH14" i="5"/>
  <c r="AE14" i="5"/>
  <c r="AH13" i="5"/>
  <c r="AE13" i="5"/>
  <c r="AH12" i="5"/>
  <c r="AE12" i="5"/>
  <c r="AH11" i="5"/>
  <c r="AE11" i="5"/>
  <c r="AG10" i="5"/>
  <c r="AH10" i="5" s="1"/>
  <c r="AI10" i="5" s="1"/>
  <c r="AE10" i="5"/>
  <c r="Z22" i="5"/>
  <c r="AA22" i="5" s="1"/>
  <c r="X22" i="5"/>
  <c r="AA21" i="5"/>
  <c r="X21" i="5"/>
  <c r="AA20" i="5"/>
  <c r="X20" i="5"/>
  <c r="AA19" i="5"/>
  <c r="X19" i="5"/>
  <c r="AA18" i="5"/>
  <c r="X18" i="5"/>
  <c r="AA17" i="5"/>
  <c r="X17" i="5"/>
  <c r="AA16" i="5"/>
  <c r="X16" i="5"/>
  <c r="AA15" i="5"/>
  <c r="X15" i="5"/>
  <c r="AA14" i="5"/>
  <c r="X14" i="5"/>
  <c r="AA13" i="5"/>
  <c r="X13" i="5"/>
  <c r="AA12" i="5"/>
  <c r="X12" i="5"/>
  <c r="AA11" i="5"/>
  <c r="X11" i="5"/>
  <c r="Z10" i="5"/>
  <c r="AA10" i="5" s="1"/>
  <c r="AB10" i="5" s="1"/>
  <c r="X10" i="5"/>
  <c r="S22" i="5"/>
  <c r="T22" i="5" s="1"/>
  <c r="Q22" i="5"/>
  <c r="T21" i="5"/>
  <c r="Q21" i="5"/>
  <c r="T20" i="5"/>
  <c r="Q20" i="5"/>
  <c r="T19" i="5"/>
  <c r="Q19" i="5"/>
  <c r="T18" i="5"/>
  <c r="Q18" i="5"/>
  <c r="T17" i="5"/>
  <c r="Q17" i="5"/>
  <c r="T16" i="5"/>
  <c r="Q16" i="5"/>
  <c r="T15" i="5"/>
  <c r="Q15" i="5"/>
  <c r="T14" i="5"/>
  <c r="Q14" i="5"/>
  <c r="T13" i="5"/>
  <c r="Q13" i="5"/>
  <c r="T12" i="5"/>
  <c r="Q12" i="5"/>
  <c r="T11" i="5"/>
  <c r="Q11" i="5"/>
  <c r="S10" i="5"/>
  <c r="T10" i="5" s="1"/>
  <c r="U10" i="5" s="1"/>
  <c r="Q10" i="5"/>
  <c r="M21" i="5"/>
  <c r="M20" i="5"/>
  <c r="M19" i="5"/>
  <c r="M18" i="5"/>
  <c r="M17" i="5"/>
  <c r="M16" i="5"/>
  <c r="M15" i="5"/>
  <c r="M14" i="5"/>
  <c r="M13" i="5"/>
  <c r="M12" i="5"/>
  <c r="M11" i="5"/>
  <c r="F11" i="5"/>
  <c r="F12" i="5"/>
  <c r="F13" i="5"/>
  <c r="F14" i="5"/>
  <c r="F15" i="5"/>
  <c r="F16" i="5"/>
  <c r="F17" i="5"/>
  <c r="F18" i="5"/>
  <c r="F19" i="5"/>
  <c r="F20" i="5"/>
  <c r="F21" i="5"/>
  <c r="F22" i="5"/>
  <c r="F10" i="5"/>
  <c r="G10" i="5" s="1"/>
  <c r="L22" i="5"/>
  <c r="M22" i="5" s="1"/>
  <c r="L10" i="5"/>
  <c r="M10" i="5" s="1"/>
  <c r="N10" i="5" s="1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11" i="5"/>
  <c r="P11" i="5" s="1"/>
  <c r="W11" i="5" s="1"/>
  <c r="AD11" i="5" s="1"/>
  <c r="I12" i="5"/>
  <c r="P12" i="5" s="1"/>
  <c r="W12" i="5" s="1"/>
  <c r="AD12" i="5" s="1"/>
  <c r="I13" i="5"/>
  <c r="P13" i="5" s="1"/>
  <c r="W13" i="5" s="1"/>
  <c r="AD13" i="5" s="1"/>
  <c r="I14" i="5"/>
  <c r="P14" i="5" s="1"/>
  <c r="W14" i="5" s="1"/>
  <c r="AD14" i="5" s="1"/>
  <c r="I15" i="5"/>
  <c r="P15" i="5" s="1"/>
  <c r="W15" i="5" s="1"/>
  <c r="AD15" i="5" s="1"/>
  <c r="I16" i="5"/>
  <c r="P16" i="5" s="1"/>
  <c r="W16" i="5" s="1"/>
  <c r="AD16" i="5" s="1"/>
  <c r="I17" i="5"/>
  <c r="P17" i="5" s="1"/>
  <c r="W17" i="5" s="1"/>
  <c r="AD17" i="5" s="1"/>
  <c r="I18" i="5"/>
  <c r="P18" i="5" s="1"/>
  <c r="W18" i="5" s="1"/>
  <c r="AD18" i="5" s="1"/>
  <c r="I19" i="5"/>
  <c r="P19" i="5" s="1"/>
  <c r="W19" i="5" s="1"/>
  <c r="AD19" i="5" s="1"/>
  <c r="I20" i="5"/>
  <c r="P20" i="5" s="1"/>
  <c r="W20" i="5" s="1"/>
  <c r="AD20" i="5" s="1"/>
  <c r="I21" i="5"/>
  <c r="P21" i="5" s="1"/>
  <c r="W21" i="5" s="1"/>
  <c r="AD21" i="5" s="1"/>
  <c r="I22" i="5"/>
  <c r="P22" i="5" s="1"/>
  <c r="W22" i="5" s="1"/>
  <c r="AD22" i="5" s="1"/>
  <c r="I10" i="5"/>
  <c r="P10" i="5" s="1"/>
  <c r="W10" i="5" s="1"/>
  <c r="AD10" i="5" s="1"/>
  <c r="F74" i="4"/>
  <c r="G74" i="4" s="1"/>
  <c r="H74" i="4" s="1"/>
  <c r="I74" i="4" s="1"/>
  <c r="J74" i="4" s="1"/>
  <c r="B48" i="4"/>
  <c r="K74" i="4"/>
  <c r="G23" i="4"/>
  <c r="C16" i="6" s="1"/>
  <c r="R6" i="4"/>
  <c r="Q6" i="4"/>
  <c r="P6" i="4"/>
  <c r="O6" i="4"/>
  <c r="F8" i="4"/>
  <c r="M8" i="4" s="1"/>
  <c r="F9" i="4"/>
  <c r="M9" i="4" s="1"/>
  <c r="F10" i="4"/>
  <c r="K10" i="4" s="1"/>
  <c r="F11" i="4"/>
  <c r="M11" i="4" s="1"/>
  <c r="F7" i="4"/>
  <c r="M7" i="4" s="1"/>
  <c r="D13" i="3"/>
  <c r="D14" i="3"/>
  <c r="D15" i="3"/>
  <c r="D16" i="3"/>
  <c r="D12" i="3"/>
  <c r="C13" i="3"/>
  <c r="C14" i="3"/>
  <c r="C15" i="3"/>
  <c r="C16" i="3"/>
  <c r="C12" i="3"/>
  <c r="B16" i="3"/>
  <c r="B15" i="3"/>
  <c r="B14" i="3"/>
  <c r="A7" i="14" s="1"/>
  <c r="B13" i="3"/>
  <c r="B12" i="3"/>
  <c r="A4" i="4"/>
  <c r="I115" i="1"/>
  <c r="G106" i="1"/>
  <c r="I106" i="1" s="1"/>
  <c r="G105" i="1"/>
  <c r="G104" i="1"/>
  <c r="I104" i="1" s="1"/>
  <c r="G103" i="1"/>
  <c r="I103" i="1" s="1"/>
  <c r="G102" i="1"/>
  <c r="I102" i="1" s="1"/>
  <c r="G101" i="1"/>
  <c r="I101" i="1" s="1"/>
  <c r="G100" i="1"/>
  <c r="I100" i="1" s="1"/>
  <c r="G91" i="1"/>
  <c r="I91" i="1" s="1"/>
  <c r="G90" i="1"/>
  <c r="G89" i="1"/>
  <c r="G88" i="1"/>
  <c r="G87" i="1"/>
  <c r="G86" i="1"/>
  <c r="I86" i="1" s="1"/>
  <c r="G85" i="1"/>
  <c r="I85" i="1" s="1"/>
  <c r="G84" i="1"/>
  <c r="I84" i="1" s="1"/>
  <c r="G83" i="1"/>
  <c r="G82" i="1"/>
  <c r="G81" i="1"/>
  <c r="I81" i="1" s="1"/>
  <c r="G80" i="1"/>
  <c r="I80" i="1" s="1"/>
  <c r="G79" i="1"/>
  <c r="G78" i="1"/>
  <c r="I78" i="1" s="1"/>
  <c r="G77" i="1"/>
  <c r="I77" i="1" s="1"/>
  <c r="G76" i="1"/>
  <c r="I76" i="1" s="1"/>
  <c r="G75" i="1"/>
  <c r="I75" i="1" s="1"/>
  <c r="G74" i="1"/>
  <c r="G28" i="1"/>
  <c r="G29" i="1"/>
  <c r="G30" i="1"/>
  <c r="G31" i="1"/>
  <c r="I31" i="1" s="1"/>
  <c r="G32" i="1"/>
  <c r="G33" i="1"/>
  <c r="I33" i="1" s="1"/>
  <c r="G34" i="1"/>
  <c r="G35" i="1"/>
  <c r="G36" i="1"/>
  <c r="G37" i="1"/>
  <c r="G38" i="1"/>
  <c r="G39" i="1"/>
  <c r="I39" i="1" s="1"/>
  <c r="G40" i="1"/>
  <c r="G41" i="1"/>
  <c r="I41" i="1" s="1"/>
  <c r="G42" i="1"/>
  <c r="I42" i="1" s="1"/>
  <c r="G43" i="1"/>
  <c r="I43" i="1" s="1"/>
  <c r="G44" i="1"/>
  <c r="G45" i="1"/>
  <c r="G46" i="1"/>
  <c r="G47" i="1"/>
  <c r="I47" i="1" s="1"/>
  <c r="G48" i="1"/>
  <c r="G49" i="1"/>
  <c r="I49" i="1" s="1"/>
  <c r="G50" i="1"/>
  <c r="G51" i="1"/>
  <c r="I51" i="1" s="1"/>
  <c r="G52" i="1"/>
  <c r="G53" i="1"/>
  <c r="G54" i="1"/>
  <c r="G55" i="1"/>
  <c r="I55" i="1" s="1"/>
  <c r="G56" i="1"/>
  <c r="G57" i="1"/>
  <c r="I57" i="1" s="1"/>
  <c r="G58" i="1"/>
  <c r="I58" i="1" s="1"/>
  <c r="G59" i="1"/>
  <c r="G60" i="1"/>
  <c r="G61" i="1"/>
  <c r="G62" i="1"/>
  <c r="I62" i="1" s="1"/>
  <c r="G63" i="1"/>
  <c r="I63" i="1" s="1"/>
  <c r="G64" i="1"/>
  <c r="G65" i="1"/>
  <c r="I65" i="1" s="1"/>
  <c r="I27" i="1"/>
  <c r="AI11" i="5" l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D65" i="4" s="1"/>
  <c r="N65" i="4" s="1"/>
  <c r="G11" i="5"/>
  <c r="J7" i="17"/>
  <c r="J8" i="17" s="1"/>
  <c r="T15" i="1"/>
  <c r="W11" i="1" s="1"/>
  <c r="G12" i="5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D61" i="4" s="1"/>
  <c r="N61" i="4" s="1"/>
  <c r="H42" i="13"/>
  <c r="H43" i="13"/>
  <c r="H41" i="13"/>
  <c r="P13" i="3"/>
  <c r="R13" i="3" s="1"/>
  <c r="H40" i="13"/>
  <c r="T13" i="1"/>
  <c r="W15" i="1" s="1"/>
  <c r="H7" i="17"/>
  <c r="H8" i="17" s="1"/>
  <c r="E13" i="12"/>
  <c r="F13" i="12" s="1"/>
  <c r="G13" i="12" s="1"/>
  <c r="E13" i="15"/>
  <c r="F13" i="15" s="1"/>
  <c r="A6" i="12"/>
  <c r="A6" i="16"/>
  <c r="A6" i="15"/>
  <c r="A6" i="13"/>
  <c r="A6" i="14"/>
  <c r="G7" i="17"/>
  <c r="G8" i="17" s="1"/>
  <c r="T12" i="1"/>
  <c r="P16" i="3"/>
  <c r="R16" i="3" s="1"/>
  <c r="H41" i="16"/>
  <c r="H42" i="16"/>
  <c r="H40" i="16"/>
  <c r="H43" i="16"/>
  <c r="P14" i="3"/>
  <c r="R14" i="3" s="1"/>
  <c r="H40" i="14"/>
  <c r="H43" i="14"/>
  <c r="H41" i="14"/>
  <c r="H42" i="14"/>
  <c r="H34" i="15"/>
  <c r="H35" i="15" s="1"/>
  <c r="H36" i="15" s="1"/>
  <c r="H37" i="15" s="1"/>
  <c r="H38" i="15" s="1"/>
  <c r="H45" i="15" s="1"/>
  <c r="H46" i="15" s="1"/>
  <c r="H35" i="12"/>
  <c r="H36" i="12" s="1"/>
  <c r="H37" i="12" s="1"/>
  <c r="H38" i="12" s="1"/>
  <c r="H45" i="12" s="1"/>
  <c r="H46" i="12" s="1"/>
  <c r="N11" i="5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D62" i="4" s="1"/>
  <c r="N62" i="4" s="1"/>
  <c r="U11" i="5"/>
  <c r="U12" i="5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D63" i="4" s="1"/>
  <c r="N63" i="4" s="1"/>
  <c r="F7" i="17"/>
  <c r="F8" i="17" s="1"/>
  <c r="T11" i="1"/>
  <c r="F16" i="17"/>
  <c r="F30" i="17" s="1"/>
  <c r="A46" i="14"/>
  <c r="B11" i="14"/>
  <c r="A45" i="14"/>
  <c r="E28" i="7"/>
  <c r="G28" i="7" s="1"/>
  <c r="H46" i="1"/>
  <c r="E12" i="7"/>
  <c r="G12" i="7" s="1"/>
  <c r="H30" i="1"/>
  <c r="H103" i="1"/>
  <c r="E81" i="7"/>
  <c r="G81" i="7" s="1"/>
  <c r="I53" i="1"/>
  <c r="E35" i="7"/>
  <c r="G35" i="7" s="1"/>
  <c r="H53" i="1"/>
  <c r="I29" i="1"/>
  <c r="E11" i="7"/>
  <c r="G11" i="7" s="1"/>
  <c r="H29" i="1"/>
  <c r="E82" i="7"/>
  <c r="G82" i="7" s="1"/>
  <c r="H104" i="1"/>
  <c r="I30" i="1"/>
  <c r="I60" i="1"/>
  <c r="H60" i="1"/>
  <c r="E42" i="7"/>
  <c r="G42" i="7" s="1"/>
  <c r="I36" i="1"/>
  <c r="H36" i="1"/>
  <c r="E18" i="7"/>
  <c r="G18" i="7" s="1"/>
  <c r="I105" i="1"/>
  <c r="E83" i="7"/>
  <c r="G83" i="7" s="1"/>
  <c r="H105" i="1"/>
  <c r="H43" i="1"/>
  <c r="E25" i="7"/>
  <c r="G25" i="7" s="1"/>
  <c r="I90" i="1"/>
  <c r="H90" i="1"/>
  <c r="E70" i="7"/>
  <c r="G70" i="7" s="1"/>
  <c r="I46" i="1"/>
  <c r="E9" i="7"/>
  <c r="G9" i="7" s="1"/>
  <c r="H27" i="1"/>
  <c r="E24" i="7"/>
  <c r="G24" i="7" s="1"/>
  <c r="H42" i="1"/>
  <c r="E55" i="7"/>
  <c r="G55" i="7" s="1"/>
  <c r="H75" i="1"/>
  <c r="E63" i="7"/>
  <c r="G63" i="7" s="1"/>
  <c r="H83" i="1"/>
  <c r="K7" i="8"/>
  <c r="L7" i="8" s="1"/>
  <c r="H115" i="1"/>
  <c r="H121" i="1" s="1"/>
  <c r="H122" i="1" s="1"/>
  <c r="H123" i="1" s="1"/>
  <c r="H125" i="1" s="1"/>
  <c r="H124" i="1" s="1"/>
  <c r="H65" i="1"/>
  <c r="E47" i="7"/>
  <c r="G47" i="7" s="1"/>
  <c r="E39" i="7"/>
  <c r="G39" i="7" s="1"/>
  <c r="H57" i="1"/>
  <c r="H49" i="1"/>
  <c r="E31" i="7"/>
  <c r="G31" i="7" s="1"/>
  <c r="E23" i="7"/>
  <c r="G23" i="7" s="1"/>
  <c r="H41" i="1"/>
  <c r="H33" i="1"/>
  <c r="E15" i="7"/>
  <c r="G15" i="7" s="1"/>
  <c r="E56" i="7"/>
  <c r="G56" i="7" s="1"/>
  <c r="H76" i="1"/>
  <c r="E64" i="7"/>
  <c r="G64" i="7" s="1"/>
  <c r="H84" i="1"/>
  <c r="E78" i="7"/>
  <c r="G78" i="7" s="1"/>
  <c r="H100" i="1"/>
  <c r="E36" i="7"/>
  <c r="G36" i="7" s="1"/>
  <c r="H54" i="1"/>
  <c r="E20" i="7"/>
  <c r="G20" i="7" s="1"/>
  <c r="H38" i="1"/>
  <c r="I87" i="1"/>
  <c r="E67" i="7"/>
  <c r="G67" i="7" s="1"/>
  <c r="H87" i="1"/>
  <c r="I61" i="1"/>
  <c r="E43" i="7"/>
  <c r="G43" i="7" s="1"/>
  <c r="H61" i="1"/>
  <c r="I37" i="1"/>
  <c r="E19" i="7"/>
  <c r="G19" i="7" s="1"/>
  <c r="H37" i="1"/>
  <c r="H88" i="1"/>
  <c r="E68" i="7"/>
  <c r="G68" i="7" s="1"/>
  <c r="I44" i="1"/>
  <c r="H44" i="1"/>
  <c r="E26" i="7"/>
  <c r="G26" i="7" s="1"/>
  <c r="E69" i="7"/>
  <c r="G69" i="7" s="1"/>
  <c r="H89" i="1"/>
  <c r="I59" i="1"/>
  <c r="H59" i="1"/>
  <c r="E41" i="7"/>
  <c r="G41" i="7" s="1"/>
  <c r="H35" i="1"/>
  <c r="E17" i="7"/>
  <c r="G17" i="7" s="1"/>
  <c r="I82" i="1"/>
  <c r="H82" i="1"/>
  <c r="E62" i="7"/>
  <c r="G62" i="7" s="1"/>
  <c r="H106" i="1"/>
  <c r="E84" i="7"/>
  <c r="G84" i="7" s="1"/>
  <c r="E32" i="7"/>
  <c r="G32" i="7" s="1"/>
  <c r="H50" i="1"/>
  <c r="I83" i="1"/>
  <c r="I64" i="1"/>
  <c r="E46" i="7"/>
  <c r="G46" i="7" s="1"/>
  <c r="H64" i="1"/>
  <c r="I56" i="1"/>
  <c r="E38" i="7"/>
  <c r="G38" i="7" s="1"/>
  <c r="H56" i="1"/>
  <c r="I48" i="1"/>
  <c r="E30" i="7"/>
  <c r="G30" i="7" s="1"/>
  <c r="H48" i="1"/>
  <c r="I40" i="1"/>
  <c r="E22" i="7"/>
  <c r="G22" i="7" s="1"/>
  <c r="H40" i="1"/>
  <c r="I32" i="1"/>
  <c r="E14" i="7"/>
  <c r="G14" i="7" s="1"/>
  <c r="H32" i="1"/>
  <c r="H77" i="1"/>
  <c r="E57" i="7"/>
  <c r="G57" i="7" s="1"/>
  <c r="H85" i="1"/>
  <c r="E65" i="7"/>
  <c r="G65" i="7" s="1"/>
  <c r="E79" i="7"/>
  <c r="G79" i="7" s="1"/>
  <c r="H101" i="1"/>
  <c r="E44" i="7"/>
  <c r="G44" i="7" s="1"/>
  <c r="H62" i="1"/>
  <c r="I79" i="1"/>
  <c r="E59" i="7"/>
  <c r="G59" i="7" s="1"/>
  <c r="H79" i="1"/>
  <c r="I54" i="1"/>
  <c r="I45" i="1"/>
  <c r="E27" i="7"/>
  <c r="G27" i="7" s="1"/>
  <c r="H45" i="1"/>
  <c r="H80" i="1"/>
  <c r="E60" i="7"/>
  <c r="G60" i="7" s="1"/>
  <c r="I88" i="1"/>
  <c r="I52" i="1"/>
  <c r="H52" i="1"/>
  <c r="E34" i="7"/>
  <c r="G34" i="7" s="1"/>
  <c r="I28" i="1"/>
  <c r="H28" i="1"/>
  <c r="E10" i="7"/>
  <c r="G10" i="7" s="1"/>
  <c r="H81" i="1"/>
  <c r="E61" i="7"/>
  <c r="G61" i="7" s="1"/>
  <c r="I89" i="1"/>
  <c r="H51" i="1"/>
  <c r="E33" i="7"/>
  <c r="G33" i="7" s="1"/>
  <c r="I74" i="1"/>
  <c r="H74" i="1"/>
  <c r="E54" i="7"/>
  <c r="G54" i="7" s="1"/>
  <c r="E40" i="7"/>
  <c r="G40" i="7" s="1"/>
  <c r="H58" i="1"/>
  <c r="E16" i="7"/>
  <c r="G16" i="7" s="1"/>
  <c r="H34" i="1"/>
  <c r="E71" i="7"/>
  <c r="G71" i="7" s="1"/>
  <c r="H91" i="1"/>
  <c r="I34" i="1"/>
  <c r="I35" i="1"/>
  <c r="I38" i="1"/>
  <c r="I50" i="1"/>
  <c r="H63" i="1"/>
  <c r="E45" i="7"/>
  <c r="G45" i="7" s="1"/>
  <c r="E37" i="7"/>
  <c r="G37" i="7" s="1"/>
  <c r="H55" i="1"/>
  <c r="H47" i="1"/>
  <c r="E29" i="7"/>
  <c r="G29" i="7" s="1"/>
  <c r="E21" i="7"/>
  <c r="G21" i="7" s="1"/>
  <c r="H39" i="1"/>
  <c r="E13" i="7"/>
  <c r="G13" i="7" s="1"/>
  <c r="H31" i="1"/>
  <c r="H78" i="1"/>
  <c r="E58" i="7"/>
  <c r="G58" i="7" s="1"/>
  <c r="H86" i="1"/>
  <c r="E66" i="7"/>
  <c r="G66" i="7" s="1"/>
  <c r="E80" i="7"/>
  <c r="G80" i="7" s="1"/>
  <c r="H102" i="1"/>
  <c r="G11" i="12"/>
  <c r="J12" i="12"/>
  <c r="J14" i="12" s="1"/>
  <c r="H30" i="10"/>
  <c r="H31" i="10" s="1"/>
  <c r="N10" i="4" s="1"/>
  <c r="F19" i="15" s="1"/>
  <c r="G19" i="15" s="1"/>
  <c r="G30" i="15" s="1"/>
  <c r="F9" i="10"/>
  <c r="H9" i="10" s="1"/>
  <c r="H43" i="10"/>
  <c r="H44" i="10" s="1"/>
  <c r="N11" i="4" s="1"/>
  <c r="F19" i="16" s="1"/>
  <c r="H23" i="10"/>
  <c r="H24" i="10" s="1"/>
  <c r="N9" i="4" s="1"/>
  <c r="F19" i="14" s="1"/>
  <c r="G19" i="14" s="1"/>
  <c r="G30" i="14" s="1"/>
  <c r="C18" i="6"/>
  <c r="H50" i="6"/>
  <c r="M34" i="10"/>
  <c r="N34" i="10" s="1"/>
  <c r="O34" i="10" s="1"/>
  <c r="P34" i="10" s="1"/>
  <c r="Q34" i="10" s="1"/>
  <c r="M22" i="10"/>
  <c r="N22" i="10" s="1"/>
  <c r="O22" i="10" s="1"/>
  <c r="P22" i="10" s="1"/>
  <c r="Q22" i="10" s="1"/>
  <c r="M18" i="10"/>
  <c r="N18" i="10" s="1"/>
  <c r="O18" i="10" s="1"/>
  <c r="P18" i="10" s="1"/>
  <c r="Q18" i="10" s="1"/>
  <c r="M10" i="10"/>
  <c r="N10" i="10" s="1"/>
  <c r="O10" i="10" s="1"/>
  <c r="P10" i="10" s="1"/>
  <c r="Q10" i="10" s="1"/>
  <c r="M40" i="10"/>
  <c r="N40" i="10" s="1"/>
  <c r="O40" i="10" s="1"/>
  <c r="P40" i="10" s="1"/>
  <c r="Q40" i="10" s="1"/>
  <c r="M21" i="10"/>
  <c r="N21" i="10" s="1"/>
  <c r="O21" i="10" s="1"/>
  <c r="P21" i="10" s="1"/>
  <c r="Q21" i="10" s="1"/>
  <c r="M42" i="10"/>
  <c r="N42" i="10" s="1"/>
  <c r="O42" i="10" s="1"/>
  <c r="P42" i="10" s="1"/>
  <c r="Q42" i="10" s="1"/>
  <c r="M20" i="10"/>
  <c r="N20" i="10" s="1"/>
  <c r="O20" i="10" s="1"/>
  <c r="P20" i="10" s="1"/>
  <c r="Q20" i="10" s="1"/>
  <c r="M41" i="10"/>
  <c r="N41" i="10" s="1"/>
  <c r="O41" i="10" s="1"/>
  <c r="P41" i="10" s="1"/>
  <c r="Q41" i="10" s="1"/>
  <c r="M11" i="10"/>
  <c r="N11" i="10" s="1"/>
  <c r="O11" i="10" s="1"/>
  <c r="P11" i="10" s="1"/>
  <c r="Q11" i="10" s="1"/>
  <c r="M29" i="10"/>
  <c r="N29" i="10" s="1"/>
  <c r="O29" i="10" s="1"/>
  <c r="P29" i="10" s="1"/>
  <c r="Q29" i="10" s="1"/>
  <c r="M17" i="10"/>
  <c r="N17" i="10" s="1"/>
  <c r="O17" i="10" s="1"/>
  <c r="P17" i="10" s="1"/>
  <c r="Q17" i="10" s="1"/>
  <c r="M28" i="10"/>
  <c r="N28" i="10" s="1"/>
  <c r="O28" i="10" s="1"/>
  <c r="P28" i="10" s="1"/>
  <c r="Q28" i="10" s="1"/>
  <c r="M12" i="10"/>
  <c r="N12" i="10" s="1"/>
  <c r="O12" i="10" s="1"/>
  <c r="P12" i="10" s="1"/>
  <c r="Q12" i="10" s="1"/>
  <c r="M19" i="10"/>
  <c r="N19" i="10" s="1"/>
  <c r="O19" i="10" s="1"/>
  <c r="P19" i="10" s="1"/>
  <c r="Q19" i="10" s="1"/>
  <c r="M35" i="10"/>
  <c r="N35" i="10" s="1"/>
  <c r="O35" i="10" s="1"/>
  <c r="P35" i="10" s="1"/>
  <c r="Q35" i="10" s="1"/>
  <c r="M27" i="10"/>
  <c r="N27" i="10" s="1"/>
  <c r="O27" i="10" s="1"/>
  <c r="P27" i="10" s="1"/>
  <c r="Q27" i="10" s="1"/>
  <c r="M9" i="10"/>
  <c r="N9" i="10" s="1"/>
  <c r="O9" i="10" s="1"/>
  <c r="P9" i="10" s="1"/>
  <c r="Q9" i="10" s="1"/>
  <c r="L10" i="4"/>
  <c r="M10" i="4" s="1"/>
  <c r="A6" i="3"/>
  <c r="D17" i="3"/>
  <c r="R8" i="4"/>
  <c r="F29" i="13" s="1"/>
  <c r="G29" i="13" s="1"/>
  <c r="R7" i="4"/>
  <c r="F29" i="12" s="1"/>
  <c r="G29" i="12" s="1"/>
  <c r="F14" i="12"/>
  <c r="F28" i="15"/>
  <c r="G52" i="6"/>
  <c r="H51" i="6"/>
  <c r="F53" i="6"/>
  <c r="AB11" i="5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D64" i="4" s="1"/>
  <c r="N64" i="4" s="1"/>
  <c r="G14" i="12" l="1"/>
  <c r="H44" i="13"/>
  <c r="H40" i="15"/>
  <c r="H43" i="15"/>
  <c r="H42" i="15"/>
  <c r="P15" i="3"/>
  <c r="R15" i="3" s="1"/>
  <c r="H41" i="15"/>
  <c r="G13" i="15"/>
  <c r="G14" i="15" s="1"/>
  <c r="F14" i="15"/>
  <c r="H44" i="16"/>
  <c r="H44" i="14"/>
  <c r="P12" i="3"/>
  <c r="R12" i="3" s="1"/>
  <c r="H40" i="12"/>
  <c r="H43" i="12"/>
  <c r="H41" i="12"/>
  <c r="H42" i="12"/>
  <c r="F12" i="10"/>
  <c r="H12" i="10" s="1"/>
  <c r="F10" i="10"/>
  <c r="H10" i="10" s="1"/>
  <c r="M12" i="4"/>
  <c r="I7" i="17"/>
  <c r="I8" i="17" s="1"/>
  <c r="T14" i="1"/>
  <c r="C24" i="6"/>
  <c r="C25" i="6" s="1"/>
  <c r="C52" i="6" s="1"/>
  <c r="H49" i="6"/>
  <c r="E9" i="17"/>
  <c r="G19" i="16"/>
  <c r="G30" i="16" s="1"/>
  <c r="F30" i="16"/>
  <c r="G85" i="7"/>
  <c r="Q10" i="4" s="1"/>
  <c r="F26" i="15" s="1"/>
  <c r="F30" i="15" s="1"/>
  <c r="H107" i="1"/>
  <c r="H108" i="1" s="1"/>
  <c r="H109" i="1" s="1"/>
  <c r="H66" i="1"/>
  <c r="H92" i="1"/>
  <c r="G48" i="7"/>
  <c r="G72" i="7"/>
  <c r="P9" i="4" s="1"/>
  <c r="I22" i="12"/>
  <c r="I30" i="12" s="1"/>
  <c r="I31" i="12" s="1"/>
  <c r="G22" i="12"/>
  <c r="F11" i="10"/>
  <c r="H11" i="10" s="1"/>
  <c r="C51" i="6"/>
  <c r="C28" i="6"/>
  <c r="C29" i="6" s="1"/>
  <c r="C53" i="6" s="1"/>
  <c r="C35" i="6"/>
  <c r="C37" i="6" s="1"/>
  <c r="C54" i="6" s="1"/>
  <c r="C45" i="6"/>
  <c r="C46" i="6" s="1"/>
  <c r="C55" i="6" s="1"/>
  <c r="H53" i="6"/>
  <c r="H54" i="6" s="1"/>
  <c r="G53" i="6"/>
  <c r="G54" i="6" s="1"/>
  <c r="G55" i="6" s="1"/>
  <c r="F54" i="6"/>
  <c r="F55" i="6" s="1"/>
  <c r="R17" i="3" l="1"/>
  <c r="M16" i="1" s="1"/>
  <c r="H44" i="15"/>
  <c r="H44" i="12"/>
  <c r="W18" i="3"/>
  <c r="H13" i="10"/>
  <c r="H14" i="10" s="1"/>
  <c r="N8" i="4" s="1"/>
  <c r="F19" i="13" s="1"/>
  <c r="G19" i="13" s="1"/>
  <c r="G30" i="13" s="1"/>
  <c r="T16" i="1"/>
  <c r="W12" i="1"/>
  <c r="W16" i="1" s="1"/>
  <c r="G9" i="17"/>
  <c r="G10" i="17" s="1"/>
  <c r="G11" i="17" s="1"/>
  <c r="G29" i="17" s="1"/>
  <c r="G31" i="17" s="1"/>
  <c r="G18" i="17" s="1"/>
  <c r="H9" i="17"/>
  <c r="H10" i="17" s="1"/>
  <c r="H11" i="17" s="1"/>
  <c r="H29" i="17" s="1"/>
  <c r="H31" i="17" s="1"/>
  <c r="H18" i="17" s="1"/>
  <c r="H19" i="17" s="1"/>
  <c r="H20" i="17" s="1"/>
  <c r="H25" i="17" s="1"/>
  <c r="H32" i="17" s="1"/>
  <c r="H33" i="17" s="1"/>
  <c r="I9" i="17"/>
  <c r="I10" i="17" s="1"/>
  <c r="I11" i="17" s="1"/>
  <c r="I29" i="17" s="1"/>
  <c r="I31" i="17" s="1"/>
  <c r="I18" i="17" s="1"/>
  <c r="I19" i="17" s="1"/>
  <c r="I20" i="17" s="1"/>
  <c r="I25" i="17" s="1"/>
  <c r="I32" i="17" s="1"/>
  <c r="I33" i="17" s="1"/>
  <c r="F9" i="17"/>
  <c r="F10" i="17" s="1"/>
  <c r="F11" i="17" s="1"/>
  <c r="F29" i="17" s="1"/>
  <c r="F31" i="17" s="1"/>
  <c r="F18" i="17" s="1"/>
  <c r="J9" i="17"/>
  <c r="J10" i="17" s="1"/>
  <c r="J11" i="17" s="1"/>
  <c r="J29" i="17" s="1"/>
  <c r="J31" i="17" s="1"/>
  <c r="E10" i="17"/>
  <c r="R14" i="1"/>
  <c r="H93" i="1"/>
  <c r="H94" i="1" s="1"/>
  <c r="H96" i="1" s="1"/>
  <c r="H95" i="1" s="1"/>
  <c r="H111" i="1"/>
  <c r="H110" i="1" s="1"/>
  <c r="H67" i="1"/>
  <c r="H68" i="1" s="1"/>
  <c r="F27" i="14"/>
  <c r="F30" i="14" s="1"/>
  <c r="R13" i="1"/>
  <c r="O7" i="4"/>
  <c r="O8" i="4"/>
  <c r="I34" i="12"/>
  <c r="C57" i="6"/>
  <c r="H55" i="6"/>
  <c r="F28" i="12"/>
  <c r="N7" i="4" l="1"/>
  <c r="F19" i="12" s="1"/>
  <c r="G19" i="12" s="1"/>
  <c r="G30" i="12" s="1"/>
  <c r="F19" i="17"/>
  <c r="F20" i="17" s="1"/>
  <c r="F25" i="17" s="1"/>
  <c r="F32" i="17" s="1"/>
  <c r="F33" i="17" s="1"/>
  <c r="M15" i="3"/>
  <c r="O15" i="3" s="1"/>
  <c r="I23" i="17"/>
  <c r="I22" i="17"/>
  <c r="I21" i="17"/>
  <c r="I24" i="17"/>
  <c r="J18" i="17"/>
  <c r="J19" i="17" s="1"/>
  <c r="M14" i="3"/>
  <c r="O14" i="3" s="1"/>
  <c r="H24" i="17"/>
  <c r="H22" i="17"/>
  <c r="H23" i="17"/>
  <c r="H21" i="17"/>
  <c r="G19" i="17"/>
  <c r="G20" i="17" s="1"/>
  <c r="G25" i="17" s="1"/>
  <c r="G32" i="17" s="1"/>
  <c r="G33" i="17" s="1"/>
  <c r="G21" i="4"/>
  <c r="E15" i="13"/>
  <c r="E15" i="16"/>
  <c r="E15" i="15"/>
  <c r="E15" i="14"/>
  <c r="H70" i="1"/>
  <c r="H69" i="1" s="1"/>
  <c r="F26" i="12"/>
  <c r="R11" i="1"/>
  <c r="F26" i="13"/>
  <c r="F30" i="13" s="1"/>
  <c r="R12" i="1"/>
  <c r="I35" i="12"/>
  <c r="I36" i="12" s="1"/>
  <c r="I37" i="12" s="1"/>
  <c r="I38" i="12" s="1"/>
  <c r="I45" i="12" s="1"/>
  <c r="I46" i="12" s="1"/>
  <c r="G12" i="3" s="1"/>
  <c r="I12" i="3" s="1"/>
  <c r="E15" i="12"/>
  <c r="F15" i="12" s="1"/>
  <c r="F30" i="12" l="1"/>
  <c r="M12" i="3"/>
  <c r="F24" i="17"/>
  <c r="F23" i="17"/>
  <c r="F22" i="17"/>
  <c r="F21" i="17"/>
  <c r="M13" i="3"/>
  <c r="O13" i="3" s="1"/>
  <c r="G24" i="17"/>
  <c r="G23" i="17"/>
  <c r="G21" i="17"/>
  <c r="G22" i="17"/>
  <c r="J20" i="17"/>
  <c r="J25" i="17" s="1"/>
  <c r="J32" i="17" s="1"/>
  <c r="J33" i="17" s="1"/>
  <c r="F15" i="14"/>
  <c r="J15" i="14"/>
  <c r="J16" i="14" s="1"/>
  <c r="J31" i="14" s="1"/>
  <c r="J34" i="14" s="1"/>
  <c r="J15" i="15"/>
  <c r="J16" i="15" s="1"/>
  <c r="J31" i="15" s="1"/>
  <c r="F15" i="15"/>
  <c r="J15" i="16"/>
  <c r="J16" i="16" s="1"/>
  <c r="J31" i="16" s="1"/>
  <c r="F15" i="16"/>
  <c r="J15" i="13"/>
  <c r="J16" i="13" s="1"/>
  <c r="J31" i="13" s="1"/>
  <c r="F15" i="13"/>
  <c r="I17" i="3"/>
  <c r="H16" i="1" s="1"/>
  <c r="R16" i="1"/>
  <c r="I40" i="12"/>
  <c r="I42" i="12"/>
  <c r="I41" i="12"/>
  <c r="I43" i="12"/>
  <c r="J15" i="12"/>
  <c r="J16" i="12" s="1"/>
  <c r="J31" i="12" s="1"/>
  <c r="G15" i="12"/>
  <c r="G16" i="12" s="1"/>
  <c r="G31" i="12" s="1"/>
  <c r="F16" i="12"/>
  <c r="F31" i="12" l="1"/>
  <c r="F34" i="12" s="1"/>
  <c r="F35" i="12" s="1"/>
  <c r="F36" i="12" s="1"/>
  <c r="M16" i="3"/>
  <c r="O16" i="3" s="1"/>
  <c r="J22" i="17"/>
  <c r="J23" i="17"/>
  <c r="J24" i="17"/>
  <c r="J21" i="17"/>
  <c r="O12" i="3"/>
  <c r="J34" i="16"/>
  <c r="J35" i="16" s="1"/>
  <c r="J36" i="16" s="1"/>
  <c r="G15" i="15"/>
  <c r="G16" i="15" s="1"/>
  <c r="G31" i="15" s="1"/>
  <c r="G34" i="15" s="1"/>
  <c r="F16" i="15"/>
  <c r="F31" i="15" s="1"/>
  <c r="F34" i="15" s="1"/>
  <c r="F35" i="15" s="1"/>
  <c r="F36" i="15" s="1"/>
  <c r="F37" i="15" s="1"/>
  <c r="F38" i="15" s="1"/>
  <c r="F45" i="15" s="1"/>
  <c r="F46" i="15" s="1"/>
  <c r="J34" i="15"/>
  <c r="J35" i="15" s="1"/>
  <c r="J36" i="15" s="1"/>
  <c r="G15" i="16"/>
  <c r="G16" i="16" s="1"/>
  <c r="G31" i="16" s="1"/>
  <c r="F16" i="16"/>
  <c r="F31" i="16" s="1"/>
  <c r="F34" i="16" s="1"/>
  <c r="J34" i="13"/>
  <c r="J35" i="13" s="1"/>
  <c r="J36" i="13" s="1"/>
  <c r="J37" i="13" s="1"/>
  <c r="J38" i="13" s="1"/>
  <c r="J45" i="13" s="1"/>
  <c r="J46" i="13" s="1"/>
  <c r="J35" i="14"/>
  <c r="J36" i="14" s="1"/>
  <c r="J37" i="14" s="1"/>
  <c r="J38" i="14" s="1"/>
  <c r="J45" i="14" s="1"/>
  <c r="J46" i="14" s="1"/>
  <c r="G15" i="13"/>
  <c r="G16" i="13" s="1"/>
  <c r="G31" i="13" s="1"/>
  <c r="G34" i="13" s="1"/>
  <c r="G35" i="13" s="1"/>
  <c r="G36" i="13" s="1"/>
  <c r="G37" i="13" s="1"/>
  <c r="G38" i="13" s="1"/>
  <c r="G45" i="13" s="1"/>
  <c r="G46" i="13" s="1"/>
  <c r="F16" i="13"/>
  <c r="F31" i="13" s="1"/>
  <c r="G15" i="14"/>
  <c r="G16" i="14" s="1"/>
  <c r="G31" i="14" s="1"/>
  <c r="F16" i="14"/>
  <c r="F31" i="14" s="1"/>
  <c r="I44" i="12"/>
  <c r="J34" i="12"/>
  <c r="G34" i="12"/>
  <c r="G35" i="12" s="1"/>
  <c r="G36" i="12" s="1"/>
  <c r="O17" i="3" l="1"/>
  <c r="L16" i="1" s="1"/>
  <c r="M17" i="3"/>
  <c r="F34" i="14"/>
  <c r="F35" i="14" s="1"/>
  <c r="F36" i="14" s="1"/>
  <c r="F37" i="14" s="1"/>
  <c r="F38" i="14" s="1"/>
  <c r="F45" i="14" s="1"/>
  <c r="F46" i="14" s="1"/>
  <c r="F35" i="16"/>
  <c r="F36" i="16" s="1"/>
  <c r="F37" i="16" s="1"/>
  <c r="F38" i="16" s="1"/>
  <c r="F45" i="16" s="1"/>
  <c r="F46" i="16" s="1"/>
  <c r="G34" i="14"/>
  <c r="G35" i="14" s="1"/>
  <c r="G36" i="14" s="1"/>
  <c r="G37" i="14" s="1"/>
  <c r="G38" i="14" s="1"/>
  <c r="G45" i="14" s="1"/>
  <c r="G46" i="14" s="1"/>
  <c r="G34" i="16"/>
  <c r="G35" i="16" s="1"/>
  <c r="G36" i="16" s="1"/>
  <c r="G37" i="16" s="1"/>
  <c r="G38" i="16" s="1"/>
  <c r="G45" i="16" s="1"/>
  <c r="G46" i="16" s="1"/>
  <c r="F34" i="13"/>
  <c r="F35" i="13" s="1"/>
  <c r="F36" i="13" s="1"/>
  <c r="F37" i="13" s="1"/>
  <c r="F38" i="13" s="1"/>
  <c r="F45" i="13" s="1"/>
  <c r="F46" i="13" s="1"/>
  <c r="J13" i="3"/>
  <c r="L13" i="3" s="1"/>
  <c r="S13" i="3" s="1"/>
  <c r="O12" i="1" s="1"/>
  <c r="G40" i="13"/>
  <c r="G43" i="13"/>
  <c r="G42" i="13"/>
  <c r="G47" i="13"/>
  <c r="G41" i="13"/>
  <c r="F47" i="15"/>
  <c r="F42" i="15"/>
  <c r="E15" i="3"/>
  <c r="F15" i="3" s="1"/>
  <c r="F43" i="15"/>
  <c r="F40" i="15"/>
  <c r="F41" i="15"/>
  <c r="G35" i="15"/>
  <c r="G36" i="15" s="1"/>
  <c r="G37" i="15" s="1"/>
  <c r="G38" i="15" s="1"/>
  <c r="G45" i="15" s="1"/>
  <c r="G46" i="15" s="1"/>
  <c r="J37" i="15"/>
  <c r="J38" i="15" s="1"/>
  <c r="J45" i="15" s="1"/>
  <c r="J46" i="15" s="1"/>
  <c r="J40" i="14"/>
  <c r="J43" i="14"/>
  <c r="J41" i="14"/>
  <c r="J42" i="14"/>
  <c r="J40" i="13"/>
  <c r="J41" i="13"/>
  <c r="J42" i="13"/>
  <c r="J43" i="13"/>
  <c r="J37" i="16"/>
  <c r="J38" i="16" s="1"/>
  <c r="J45" i="16" s="1"/>
  <c r="J46" i="16" s="1"/>
  <c r="F37" i="12"/>
  <c r="F38" i="12" s="1"/>
  <c r="F45" i="12" s="1"/>
  <c r="F46" i="12" s="1"/>
  <c r="G37" i="12"/>
  <c r="G38" i="12" s="1"/>
  <c r="G45" i="12" s="1"/>
  <c r="G46" i="12" s="1"/>
  <c r="J35" i="12"/>
  <c r="J36" i="12" s="1"/>
  <c r="J37" i="12" s="1"/>
  <c r="J38" i="12" s="1"/>
  <c r="J45" i="12" s="1"/>
  <c r="J46" i="12" s="1"/>
  <c r="J47" i="12" s="1"/>
  <c r="T13" i="3" s="1"/>
  <c r="F44" i="15" l="1"/>
  <c r="E14" i="3"/>
  <c r="F14" i="3" s="1"/>
  <c r="F42" i="14"/>
  <c r="F40" i="14"/>
  <c r="F41" i="14"/>
  <c r="F47" i="14"/>
  <c r="F43" i="14"/>
  <c r="F43" i="13"/>
  <c r="F40" i="13"/>
  <c r="F41" i="13"/>
  <c r="E13" i="3"/>
  <c r="F13" i="3" s="1"/>
  <c r="F42" i="13"/>
  <c r="F47" i="13"/>
  <c r="J14" i="3"/>
  <c r="L14" i="3" s="1"/>
  <c r="S14" i="3" s="1"/>
  <c r="O13" i="1" s="1"/>
  <c r="G41" i="14"/>
  <c r="G40" i="14"/>
  <c r="G47" i="14"/>
  <c r="G42" i="14"/>
  <c r="G43" i="14"/>
  <c r="A21" i="3"/>
  <c r="V13" i="3"/>
  <c r="J44" i="13"/>
  <c r="G44" i="13"/>
  <c r="J16" i="3"/>
  <c r="L16" i="3" s="1"/>
  <c r="S16" i="3" s="1"/>
  <c r="O15" i="1" s="1"/>
  <c r="G47" i="16"/>
  <c r="G42" i="16"/>
  <c r="G40" i="16"/>
  <c r="G43" i="16"/>
  <c r="G41" i="16"/>
  <c r="E16" i="3"/>
  <c r="F16" i="3" s="1"/>
  <c r="F47" i="16"/>
  <c r="F40" i="16"/>
  <c r="F41" i="16"/>
  <c r="F42" i="16"/>
  <c r="F43" i="16"/>
  <c r="J40" i="16"/>
  <c r="J43" i="16"/>
  <c r="J42" i="16"/>
  <c r="J41" i="16"/>
  <c r="J44" i="14"/>
  <c r="J15" i="3"/>
  <c r="L15" i="3" s="1"/>
  <c r="S15" i="3" s="1"/>
  <c r="O14" i="1" s="1"/>
  <c r="G47" i="15"/>
  <c r="G43" i="15"/>
  <c r="G42" i="15"/>
  <c r="G41" i="15"/>
  <c r="G40" i="15"/>
  <c r="J41" i="15"/>
  <c r="J40" i="15"/>
  <c r="J43" i="15"/>
  <c r="J42" i="15"/>
  <c r="G47" i="12"/>
  <c r="J12" i="3"/>
  <c r="F47" i="12"/>
  <c r="E12" i="3"/>
  <c r="F12" i="3" s="1"/>
  <c r="J42" i="12"/>
  <c r="J41" i="12"/>
  <c r="J40" i="12"/>
  <c r="J43" i="12"/>
  <c r="G42" i="12"/>
  <c r="G41" i="12"/>
  <c r="G43" i="12"/>
  <c r="G40" i="12"/>
  <c r="F41" i="12"/>
  <c r="F40" i="12"/>
  <c r="F43" i="12"/>
  <c r="F42" i="12"/>
  <c r="W16" i="3" l="1"/>
  <c r="Q15" i="1" s="1"/>
  <c r="V11" i="1" s="1"/>
  <c r="W13" i="3"/>
  <c r="Q12" i="1" s="1"/>
  <c r="W14" i="3"/>
  <c r="Q13" i="1" s="1"/>
  <c r="V15" i="1" s="1"/>
  <c r="W15" i="3"/>
  <c r="Q14" i="1" s="1"/>
  <c r="P12" i="1"/>
  <c r="V17" i="3"/>
  <c r="P16" i="1" s="1"/>
  <c r="G44" i="16"/>
  <c r="J44" i="15"/>
  <c r="F44" i="13"/>
  <c r="F44" i="16"/>
  <c r="G44" i="14"/>
  <c r="G44" i="15"/>
  <c r="J44" i="16"/>
  <c r="F44" i="14"/>
  <c r="J17" i="3"/>
  <c r="L12" i="3"/>
  <c r="S12" i="3" s="1"/>
  <c r="O11" i="1" s="1"/>
  <c r="F17" i="3"/>
  <c r="G44" i="12"/>
  <c r="J44" i="12"/>
  <c r="F44" i="12"/>
  <c r="W12" i="3" l="1"/>
  <c r="N16" i="1"/>
  <c r="L17" i="3"/>
  <c r="K16" i="1" s="1"/>
  <c r="O16" i="1" s="1"/>
  <c r="S17" i="3" l="1"/>
  <c r="W17" i="3" l="1"/>
  <c r="W19" i="3" s="1"/>
  <c r="Q11" i="1"/>
  <c r="Q16" i="1" l="1"/>
  <c r="V12" i="1"/>
  <c r="V16" i="1" s="1"/>
</calcChain>
</file>

<file path=xl/sharedStrings.xml><?xml version="1.0" encoding="utf-8"?>
<sst xmlns="http://schemas.openxmlformats.org/spreadsheetml/2006/main" count="1773" uniqueCount="782">
  <si>
    <t>Tribunal Regional Federal da 6ª Região</t>
  </si>
  <si>
    <t>Seção Judiciária de Minas Gerais</t>
  </si>
  <si>
    <t>Subseção Judiciária de Sete Lagoas</t>
  </si>
  <si>
    <t xml:space="preserve">OCORRÊNCIAS MENSAIS DO FATURAMENTO </t>
  </si>
  <si>
    <t>UTILIZAÇÃO DO GESTOR CONTRATUAL PARA REALIZAÇÃO DO FATURAMENTO MENSAL</t>
  </si>
  <si>
    <t>DEFINIR VERSÃO DE APRESENTAÇÃO:</t>
  </si>
  <si>
    <t>DEFINIR BASE DE DESCONTOS/GLOSAS:</t>
  </si>
  <si>
    <t>MÊS CONTÁBIL</t>
  </si>
  <si>
    <t>Obs: Desconto atualmente aplicado (30 dias corridos).</t>
  </si>
  <si>
    <t>Informar número de Postos que não utilizam V.T.
(Coluna "D")</t>
  </si>
  <si>
    <t>Desconto automático de V.T.
(Coluna "F")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</si>
  <si>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</si>
  <si>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</si>
  <si>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</si>
  <si>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</si>
  <si>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</si>
  <si>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</si>
  <si>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</si>
  <si>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</si>
  <si>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</si>
  <si>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</si>
  <si>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Ajuste de V.T para fornecimento para
postos Não Optantes</t>
  </si>
  <si>
    <t>Dias de faltas após conversão das horas
(planilha auxiliar)</t>
  </si>
  <si>
    <t>Quant. Atrasos e Faltas</t>
  </si>
  <si>
    <t>Dias de Férias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</si>
  <si>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</si>
  <si>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</si>
  <si>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</si>
  <si>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</si>
  <si>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</si>
  <si>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</si>
  <si>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</si>
  <si>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</si>
  <si>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</si>
  <si>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t>RETENÇÃO 
GLOSA CONTA VINCULADA
(VERIFICAR NECESSIDADE)</t>
  </si>
  <si>
    <t>ELEMENTO 1</t>
  </si>
  <si>
    <t>ELEMENTO 2</t>
  </si>
  <si>
    <t>ELEMENTO 3</t>
  </si>
  <si>
    <t>ELEMENTO 4</t>
  </si>
  <si>
    <t>ELEMENTO 5</t>
  </si>
  <si>
    <t>VALOR TOTAL GLOSADOS</t>
  </si>
  <si>
    <t>OBSERVAÇÕES: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</si>
  <si>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</si>
  <si>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</si>
  <si>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</si>
  <si>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</si>
  <si>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</si>
  <si>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LISTA PARA OPÇÕES DE GLOSAS</t>
  </si>
  <si>
    <t>DIAS ÚTEIS (CONTRATO)</t>
  </si>
  <si>
    <t>Obs: Desconto por dias definidos em contrato.</t>
  </si>
  <si>
    <t>DIAS DO MÊS VIGENTE</t>
  </si>
  <si>
    <t>Informar</t>
  </si>
  <si>
    <t>Obs: Desconto por dias úteis mensais, ocorrência variável, devendo ser informado mensalmente.</t>
  </si>
  <si>
    <t>DIVISOR DE HORAS</t>
  </si>
  <si>
    <t>LISTA PARA TOTAL DE POSTOS</t>
  </si>
  <si>
    <t>Informar se titular do posto é optante pelo recebimento de V.T.
(Coluna "E")</t>
  </si>
  <si>
    <t>Preencher o número de dias (corridos) que o terceirizado que não recebe vt ficou afastado por férias ou faltas
(Coluna "G")</t>
  </si>
  <si>
    <t>Conversão das horas de ausência em dias de ausência
(Coluna "I")</t>
  </si>
  <si>
    <t>Servente de Limpeza 40% Insalubridade</t>
  </si>
  <si>
    <t>NÃO</t>
  </si>
  <si>
    <t xml:space="preserve">Servente de Limpeza  </t>
  </si>
  <si>
    <t>Copeira</t>
  </si>
  <si>
    <t>Zelador com Acúmulo de Lavador de Carro</t>
  </si>
  <si>
    <t>Auxiliar Administrativo</t>
  </si>
  <si>
    <t>2. Na célula “N15” deverá ser informado a quantidade de dias em que o trabalho insalubre foi realizado por outra servente do quadro, durante as férias da Servente de Limpeza 40% insalubre - titular.</t>
  </si>
  <si>
    <t>ITEM</t>
  </si>
  <si>
    <t>DESCRIÇÃO DO MATERIAL DE IMPEZA
SERVENTES DE LIMPEZA</t>
  </si>
  <si>
    <t>GASTO MENSAL</t>
  </si>
  <si>
    <t>REFERÊNCIA MENSAL PARA FORNECIMENTO</t>
  </si>
  <si>
    <t>VALORES UNITÁRIOS DO CONTRATO, CORRIGIDOS PELO REAJUSTE DE IPCA.
(SUBSTITUIR/IGUALAR MANUALMENTE OS PREÇOS UNITÁRIOS DA COLUNA "R" NA PLANILHA DE MATERIAIS - QUANDO HOUVER PLANIHA INICIAL DO CONTRATO)</t>
  </si>
  <si>
    <t>Material</t>
  </si>
  <si>
    <t>Unid.</t>
  </si>
  <si>
    <t>Marcas de Referência</t>
  </si>
  <si>
    <t>QNTDE "REAL" FORNECIDA
NO MÊS</t>
  </si>
  <si>
    <t>Custo Mensal</t>
  </si>
  <si>
    <t>Quantidade Mensal</t>
  </si>
  <si>
    <t>Quantidade Total</t>
  </si>
  <si>
    <t>Periodicidade</t>
  </si>
  <si>
    <t>Divisor</t>
  </si>
  <si>
    <t>VALOR INICIAL DO CONTRATO
(Informar após o término da licitação)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</si>
  <si>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</si>
  <si>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</si>
  <si>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</si>
  <si>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</si>
  <si>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</si>
  <si>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"G9" em diante)</t>
  </si>
  <si>
    <t>Ácido Muriático 1 litro</t>
  </si>
  <si>
    <t>Start</t>
  </si>
  <si>
    <t>Bimestral</t>
  </si>
  <si>
    <t>Água Sanitária 5L</t>
  </si>
  <si>
    <t>Galão</t>
  </si>
  <si>
    <t>Santa Clara</t>
  </si>
  <si>
    <t>Álcool em gel 5 litros</t>
  </si>
  <si>
    <t>Asseptgel</t>
  </si>
  <si>
    <t>Mensal</t>
  </si>
  <si>
    <t>Azulim Limpa Cerâmica</t>
  </si>
  <si>
    <t xml:space="preserve">Balde de 20 litros </t>
  </si>
  <si>
    <t>Arqplast</t>
  </si>
  <si>
    <t>Semestral</t>
  </si>
  <si>
    <t xml:space="preserve">Balde de 10 litros </t>
  </si>
  <si>
    <t>Sanremo</t>
  </si>
  <si>
    <t>Bom Ar 360ml</t>
  </si>
  <si>
    <t>Glade</t>
  </si>
  <si>
    <t xml:space="preserve">Desentupidor de pia </t>
  </si>
  <si>
    <t>Oliveira e Azevedo</t>
  </si>
  <si>
    <t xml:space="preserve">Desentupidor de vaso sanitário </t>
  </si>
  <si>
    <t>Canada</t>
  </si>
  <si>
    <t>Desinfetante concentrado Floral banheiro 5L</t>
  </si>
  <si>
    <t>Mirax Floral Bouquet</t>
  </si>
  <si>
    <t xml:space="preserve">Detergente líquido neutro 500 ml (limpol ou Similar) </t>
  </si>
  <si>
    <t>Limpol</t>
  </si>
  <si>
    <t>Escova de nylon multiuso</t>
  </si>
  <si>
    <t>Condor</t>
  </si>
  <si>
    <t xml:space="preserve">Escova Sanitária redonda p/ vaso sanit. </t>
  </si>
  <si>
    <t>Limpamania</t>
  </si>
  <si>
    <t>Esponja dupla face (Scotch-Brite ou similar)</t>
  </si>
  <si>
    <t>Scotch-brite</t>
  </si>
  <si>
    <t>Esponja Lã de aço pct c/ 8 unidades (Bombril ou Similar)</t>
  </si>
  <si>
    <t>Bombril</t>
  </si>
  <si>
    <t xml:space="preserve">Extensão elétrica, 20 metros, com 3 tomadas </t>
  </si>
  <si>
    <t>Daneva</t>
  </si>
  <si>
    <t>Anual</t>
  </si>
  <si>
    <t xml:space="preserve">Flanela branca 39 x 59cm </t>
  </si>
  <si>
    <t>Intextil</t>
  </si>
  <si>
    <t>Funil de plástico para cozinha</t>
  </si>
  <si>
    <t>Plasútil</t>
  </si>
  <si>
    <t>Kit limpador de vidros  com cabo extensor 6m</t>
  </si>
  <si>
    <t>Bralimpia</t>
  </si>
  <si>
    <t>Limpa vidro 500ml (Veja ou similar)</t>
  </si>
  <si>
    <t xml:space="preserve">Veja  </t>
  </si>
  <si>
    <t xml:space="preserve">Limpeza pesada Multiuso 500ml (Veja ou Similar) </t>
  </si>
  <si>
    <t xml:space="preserve">Luva de látex forrada de boa qualidade (tamanho G) </t>
  </si>
  <si>
    <t>Par</t>
  </si>
  <si>
    <t>Bettanin</t>
  </si>
  <si>
    <t xml:space="preserve"> Mangueira para Jardim 50 metros </t>
  </si>
  <si>
    <t>Tramontina</t>
  </si>
  <si>
    <t xml:space="preserve">Pá para lixo cabo 60 cm </t>
  </si>
  <si>
    <t xml:space="preserve">Papel higiênico branco, folha dupla, 30m (Personal, Neve ou Similar) </t>
  </si>
  <si>
    <t>Fardo c/ 64unid</t>
  </si>
  <si>
    <t>Neve</t>
  </si>
  <si>
    <t xml:space="preserve">Papel toalha branco 23 x 21 caixa c/ 1.000 fls (Economy ou Similar) </t>
  </si>
  <si>
    <t>Pacote</t>
  </si>
  <si>
    <t>Yuri</t>
  </si>
  <si>
    <t>Pedra Sanitária 25 g</t>
  </si>
  <si>
    <t>Lipex</t>
  </si>
  <si>
    <t xml:space="preserve">Rodo de borracha 40 cm, dupla borracha, com cabo longo </t>
  </si>
  <si>
    <t>Brubalar</t>
  </si>
  <si>
    <t xml:space="preserve">Rodo de borracha 60 cm, dupla borracha, com cabo longo </t>
  </si>
  <si>
    <t xml:space="preserve">Sabão em barra 200 gr. (Minuano ou similar) </t>
  </si>
  <si>
    <t>Minuano</t>
  </si>
  <si>
    <t>Sabão em pó 1 Kg (OMO ou Similar)</t>
  </si>
  <si>
    <t>Omo ou similar</t>
  </si>
  <si>
    <t xml:space="preserve">Sabonete Líquido Perolizado Erva Doce galão 5L </t>
  </si>
  <si>
    <t>Nobre</t>
  </si>
  <si>
    <t xml:space="preserve">Saco de algodão alvejado 80 x 60, 24 batidas, pano de chão </t>
  </si>
  <si>
    <t>Santa Margarida</t>
  </si>
  <si>
    <t xml:space="preserve">Saco de 100 lts. Preto Lixo, pacote com 100 unid. </t>
  </si>
  <si>
    <t>Pc</t>
  </si>
  <si>
    <t>Polisac</t>
  </si>
  <si>
    <t xml:space="preserve">Saco de 20 lts. Preto Lixo, pacote com 100 unid. </t>
  </si>
  <si>
    <t>Altaplast</t>
  </si>
  <si>
    <t xml:space="preserve">Vasculho limpa teto </t>
  </si>
  <si>
    <t>Oliveira  Azevedo</t>
  </si>
  <si>
    <t>Vassoura Pelo de boa qualidade</t>
  </si>
  <si>
    <t>Vassoura de Nylon</t>
  </si>
  <si>
    <t>Oliveira Azevedo</t>
  </si>
  <si>
    <t xml:space="preserve">Vassoura piaçava de boa qualidade </t>
  </si>
  <si>
    <t>Noviça</t>
  </si>
  <si>
    <t>DESPESA MENSAL</t>
  </si>
  <si>
    <t>TAXA ADMINISTRATIVA</t>
  </si>
  <si>
    <t>LUCRO</t>
  </si>
  <si>
    <t>TRIBUTOS</t>
  </si>
  <si>
    <t>VALOR TOTAL COM MATERIAIS DE LIMPEZA</t>
  </si>
  <si>
    <t>MATERIAIS DE LIMPEZA COPA
COPEIRA</t>
  </si>
  <si>
    <t>Balde 10L</t>
  </si>
  <si>
    <t>unid</t>
  </si>
  <si>
    <t>Coador de pano p/ Café - 20cm diâmetro</t>
  </si>
  <si>
    <t>Stolf</t>
  </si>
  <si>
    <t>Trimestral</t>
  </si>
  <si>
    <t>Desentupidor de pia</t>
  </si>
  <si>
    <t xml:space="preserve">Detergente líquido neutro 500 ml (Limpol ou Similar) </t>
  </si>
  <si>
    <t>Limpol ou similar</t>
  </si>
  <si>
    <t>Escova para limpeza de Taças e Garrafas</t>
  </si>
  <si>
    <t>Dynasty</t>
  </si>
  <si>
    <t>Escova de nylon Multiuso</t>
  </si>
  <si>
    <t>unid.</t>
  </si>
  <si>
    <t>Esponja dupla face</t>
  </si>
  <si>
    <t xml:space="preserve">Esponja Lã de aço pct c/ 8 unidades (Bombril ou Similar) </t>
  </si>
  <si>
    <t>pct</t>
  </si>
  <si>
    <t xml:space="preserve">Flanela branca 38 x 58cm </t>
  </si>
  <si>
    <t>Guardanapo de papel, folha simples, 24 x 22cm, pacote c/ 50 fls</t>
  </si>
  <si>
    <t>Santepel</t>
  </si>
  <si>
    <t>Limpa Alumínio</t>
  </si>
  <si>
    <t>par</t>
  </si>
  <si>
    <t xml:space="preserve">Multi uso 500 ml (Veja ou similar) </t>
  </si>
  <si>
    <t>Veja</t>
  </si>
  <si>
    <t>Pano de copa 60x35cm ( Karsten ou similar )</t>
  </si>
  <si>
    <t>Karsten</t>
  </si>
  <si>
    <t xml:space="preserve">Saco de algodão alvejado, 24 batidas, pano de chão </t>
  </si>
  <si>
    <t>Uzzilim</t>
  </si>
  <si>
    <t>VALOR TOTAL COM MATERIAIS DE COPA</t>
  </si>
  <si>
    <t>DESCRIÇÃO DO MATERIAL DE LIMPEZA DE AUTOMÓVEIS
ZELADOR COM ACÚMULO DE FUNÇÃO</t>
  </si>
  <si>
    <t>Estopa 150g para polimento</t>
  </si>
  <si>
    <t>Norton</t>
  </si>
  <si>
    <t>Cera para polimento</t>
  </si>
  <si>
    <t>Limpa Pneu 1l</t>
  </si>
  <si>
    <t>Tecbril</t>
  </si>
  <si>
    <t>Esponja</t>
  </si>
  <si>
    <t>Detailer</t>
  </si>
  <si>
    <t>Toalha Mágica</t>
  </si>
  <si>
    <t>Shampoo para carro</t>
  </si>
  <si>
    <t>Detersid</t>
  </si>
  <si>
    <t>Silicone para interior de carros</t>
  </si>
  <si>
    <t>3M</t>
  </si>
  <si>
    <t>VALOR TOTAL COM MATERIAIS DE LIMPEZA DE AUTOMÓVEIS</t>
  </si>
  <si>
    <t>Centureto Indústria  e Comércio Ltda</t>
  </si>
  <si>
    <t>Quadrimestral</t>
  </si>
  <si>
    <t>JORNADA DE TRABALHO</t>
  </si>
  <si>
    <t>INSTRUÇÕES DE PREENCHIMENTO - ANEXO II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</si>
  <si>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</si>
  <si>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</si>
  <si>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</si>
  <si>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</si>
  <si>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t>3.</t>
  </si>
  <si>
    <t>3.1</t>
  </si>
  <si>
    <t>Estas Abas estarão destacadas na Cor Amarela.</t>
  </si>
  <si>
    <t>3.2</t>
  </si>
  <si>
    <t>PREENCHIMENTO ABA "DADOS"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</si>
  <si>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"E14:E18").</t>
  </si>
  <si>
    <t xml:space="preserve"> - Informar piso salarial de cada categoria, correspondente à jornada de 220h. (Células "E7":"E11").</t>
  </si>
  <si>
    <t xml:space="preserve"> - Informar o valor do salário mínimo nacional vigente (base de cálculo para a cotação de insalubridade). (Célula "G28").</t>
  </si>
  <si>
    <t xml:space="preserve"> - Informar o valor unitário do Seguro de Vida, nos casos exigidos, conforme legislação vigente. (Célula "G31").</t>
  </si>
  <si>
    <t xml:space="preserve"> - Informar o valor unitário do Programa de Assistência Familiar - PAF, nos casos exigidos, conforme legislação vigente. (Célula "G32").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</si>
  <si>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</si>
  <si>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</si>
  <si>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</si>
  <si>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</si>
  <si>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>3.4</t>
  </si>
  <si>
    <t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</si>
  <si>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</si>
  <si>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</si>
  <si>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Materiais de Limpeza (Células "F9:F47)</t>
  </si>
  <si>
    <t xml:space="preserve"> - Materiais de Copa (Células "F54:71)</t>
  </si>
  <si>
    <t xml:space="preserve"> - Materiais de Limpeza Veicular (Células F78:F84)</t>
  </si>
  <si>
    <t>3.5</t>
  </si>
  <si>
    <t>PREENCHIMENTO ABA "EPI"</t>
  </si>
  <si>
    <t xml:space="preserve"> - Atentar-se às observações adicionais dispostas na própria ABA. (Célula "B8")</t>
  </si>
  <si>
    <t>3.6</t>
  </si>
  <si>
    <t>PREENCHIMENTO ABA "EQUIPAMENTOS"</t>
  </si>
  <si>
    <t xml:space="preserve"> - Informar os valores unitários de cada item nas células destacadas em amarelo dispostas na "Coluna D", de acordo com sua descrição "Colunas B:C".</t>
  </si>
  <si>
    <t>3.7</t>
  </si>
  <si>
    <t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</si>
  <si>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</si>
  <si>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</si>
  <si>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(Células "A24:A32")</t>
  </si>
  <si>
    <t>4.</t>
  </si>
  <si>
    <t>4.1</t>
  </si>
  <si>
    <t>5.</t>
  </si>
  <si>
    <t>5.1</t>
  </si>
  <si>
    <t>5.2</t>
  </si>
  <si>
    <t>Estas abas estão destacadas na Cor Cinza.</t>
  </si>
  <si>
    <t>6.</t>
  </si>
  <si>
    <t>6.1</t>
  </si>
  <si>
    <t>6.2</t>
  </si>
  <si>
    <t>Esta aba está destacada na Cor Azul.</t>
  </si>
  <si>
    <t xml:space="preserve">MÊS: </t>
  </si>
  <si>
    <t>VALORES EM R$</t>
  </si>
  <si>
    <t>ELEMENTO DE DESPESA</t>
  </si>
  <si>
    <t>CATEGORIA PROFISSIONAL</t>
  </si>
  <si>
    <t>TOTAL DO FATURAMENTO MENSAL</t>
  </si>
  <si>
    <t>CUSTO MENSAL</t>
  </si>
  <si>
    <t>GLOSA DE ATRASOS, FALTAS E DESCONTO DO TITULAR EM FÉRIAS (sem material)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</si>
  <si>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</si>
  <si>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</si>
  <si>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</si>
  <si>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</si>
  <si>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</si>
  <si>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PAGAMENTO INSALUBRIDADE EM SUBSTITUIÇÃO</t>
  </si>
  <si>
    <t>Custo Unitário da categoria</t>
  </si>
  <si>
    <t>Custo Mensal da categoria</t>
  </si>
  <si>
    <t>Dias de afastamento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</si>
  <si>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</si>
  <si>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</si>
  <si>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</si>
  <si>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</si>
  <si>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Valor Insalubridade por dia</t>
  </si>
  <si>
    <t>Quantidade de Dias</t>
  </si>
  <si>
    <t>Valor Devido</t>
  </si>
  <si>
    <t>339037-02</t>
  </si>
  <si>
    <t xml:space="preserve">TOTAL DO FATURAMENTO MENSAL </t>
  </si>
  <si>
    <t>Valor para Lance - Registro de oferta</t>
  </si>
  <si>
    <t>VALOR DO MATERIAL</t>
  </si>
  <si>
    <t>TOTAL DO FATURAMENTO ANUAL</t>
  </si>
  <si>
    <t>2. Na célula “R12” deverá ser informado a quantidade de dias em que o trabalho insalubre foi realizado por outra servente do quadro, durante as férias da titular.</t>
  </si>
  <si>
    <t>Elemento de Despesa</t>
  </si>
  <si>
    <t>Quantidade de Postos</t>
  </si>
  <si>
    <t>Carga Horária
(Horas)</t>
  </si>
  <si>
    <t>Salário Base II
(Conforme Jornada Contratada)
(R$)</t>
  </si>
  <si>
    <t xml:space="preserve">
Insalubridade
Grau de Risco
(%)</t>
  </si>
  <si>
    <t>Valor Insalubridade
(R$)</t>
  </si>
  <si>
    <t>Valor Acúmulo de Função
(R$)</t>
  </si>
  <si>
    <t>Remuneração Total
(Grupo A)
(R$)</t>
  </si>
  <si>
    <t>Uniforme
(R$)</t>
  </si>
  <si>
    <t>Material de Limpeza Rateado
(R$)</t>
  </si>
  <si>
    <t>Material de Copa Rateado
(R$)</t>
  </si>
  <si>
    <t xml:space="preserve"> Material de Limpeza  Veicular
(R$)</t>
  </si>
  <si>
    <t>Depreciação Rateada
(R$)</t>
  </si>
  <si>
    <t>EPI COVID 19 (Máscara tecido)
(R$)</t>
  </si>
  <si>
    <t>CÓDIGO DE ELEMENTO DE DESPESA
(CONTROLE DA CONTRATANTE)</t>
  </si>
  <si>
    <t>RATEIO
INSUMOS</t>
  </si>
  <si>
    <t>TOTAL</t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</si>
  <si>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</si>
  <si>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</si>
  <si>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</si>
  <si>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</si>
  <si>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</si>
  <si>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SINTAPPI/MG</t>
  </si>
  <si>
    <t>Informar o sindicato utilizado pela Licitante.</t>
  </si>
  <si>
    <t>Número de registro da CCT - Código MTE</t>
  </si>
  <si>
    <t>MG001474/2023</t>
  </si>
  <si>
    <t>Informar o número de registro da Convenção Coletiva de Tralbalho utilizada no processo licitatório, junto ao Ministério do Trabalho e Emprego.</t>
  </si>
  <si>
    <t>Vigência da CCT utilizada</t>
  </si>
  <si>
    <t>01/04/2023 à 31/03/2024</t>
  </si>
  <si>
    <t>Informar a vigência da Convenção Coletiva de Trabalho utilizada no processo licitatório.</t>
  </si>
  <si>
    <t>Data base da categoria</t>
  </si>
  <si>
    <t>01º de Abril</t>
  </si>
  <si>
    <t>Informar a data base da Convenção Coletiva de Trabalho utilizada no processo licitatório.</t>
  </si>
  <si>
    <t>ENCARGOS SOCIAIS E TRABALHISTAS</t>
  </si>
  <si>
    <t>-</t>
  </si>
  <si>
    <t>Percentual de Encargos (TOTAL)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</si>
  <si>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</si>
  <si>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</si>
  <si>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</si>
  <si>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</si>
  <si>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</si>
  <si>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SALÁRIO BASE PARE CÁLCULO DE INSALUBRIDADE</t>
  </si>
  <si>
    <t>SALÁRIO MINÍMO NACIONAL – 2023</t>
  </si>
  <si>
    <t>Informar base salarial para fins de cálculo de Insalubridade.</t>
  </si>
  <si>
    <t>BENEFÍCIOS</t>
  </si>
  <si>
    <t>Seguro de Vida em Grupo</t>
  </si>
  <si>
    <t>Programa de Assistência Familiar - PAF</t>
  </si>
  <si>
    <t>Vale Transporte</t>
  </si>
  <si>
    <t>Vale Alimentação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</si>
  <si>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</si>
  <si>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</si>
  <si>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</si>
  <si>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</si>
  <si>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</si>
  <si>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</si>
  <si>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</si>
  <si>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</si>
  <si>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</si>
  <si>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Informar opção tributária da Licitante. Atentar-se às observações do "Montante D".</t>
  </si>
  <si>
    <t>COFINS</t>
  </si>
  <si>
    <t>Informar percentual da Licitante. Atentar-se às observações do "Montante D".</t>
  </si>
  <si>
    <t>PIS/PASEP</t>
  </si>
  <si>
    <t>ISSQN</t>
  </si>
  <si>
    <t>Informar percentual do código tributário municipal, local da execução das atividades.</t>
  </si>
  <si>
    <t>Informar o tipo de tributo e apresentar as justificativas legais para inclusão. Informar percentual da Licitante. Atentar-se às observações do "Montante D".</t>
  </si>
  <si>
    <t>Soma dos tributos</t>
  </si>
  <si>
    <t>PREVISÃO DE REAJUSTE IPCA - 12 (DOZE) MESES DE CONTRATO - INFORMATIVO PARA SER UTILIZADO DURANTE A GESTÃO CONTRATUAL</t>
  </si>
  <si>
    <t>UNIFORME</t>
  </si>
  <si>
    <t>MATERIAIS
DIVERSOS</t>
  </si>
  <si>
    <t>EPI COVID</t>
  </si>
  <si>
    <t>SEG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</si>
  <si>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</si>
  <si>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</si>
  <si>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</si>
  <si>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</si>
  <si>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</si>
  <si>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</si>
  <si>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</si>
  <si>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</si>
  <si>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</si>
  <si>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</si>
  <si>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</si>
  <si>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</si>
  <si>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</si>
  <si>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MATERIAIS DIVERSOS</t>
  </si>
  <si>
    <t>CONTROLE DE REAJUSTE IPCA - EPI COVID</t>
  </si>
  <si>
    <t>CONTROLE DE REAJUSTE IPCA - SEGURO DE VIDA</t>
  </si>
  <si>
    <t>VALOR INICIAL DO CONTRATO</t>
  </si>
  <si>
    <t>Fórmula SE, para inclusão após o término do processo licitatório. (INSERIR NA CÉLULA "G31")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</si>
  <si>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</si>
  <si>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</si>
  <si>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</si>
  <si>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</si>
  <si>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</si>
  <si>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</si>
  <si>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</si>
  <si>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</si>
  <si>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TERMO ADITIVO / APOSTILAMENTO / ALTERAÇÃO CONTRATUAL</t>
  </si>
  <si>
    <t>Obs: Descrever alerações. EX: Como é realizado no Extrato.</t>
  </si>
  <si>
    <t>LUCRO REAL</t>
  </si>
  <si>
    <t>*OBS 1 -
Salário Base I (Piso Para 220h/m)
(R$)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</si>
  <si>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</si>
  <si>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</si>
  <si>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</si>
  <si>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</si>
  <si>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</si>
  <si>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</si>
  <si>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</si>
  <si>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</si>
  <si>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</si>
  <si>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</si>
  <si>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</si>
  <si>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</si>
  <si>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</si>
  <si>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</si>
  <si>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</si>
  <si>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</si>
  <si>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</si>
  <si>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</si>
  <si>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</si>
  <si>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</si>
  <si>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</si>
  <si>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</si>
  <si>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</si>
  <si>
    <t>Planilha de Encargos Sociais e Trabalhistas</t>
  </si>
  <si>
    <t>ANEXO II</t>
  </si>
  <si>
    <t>INSTRUÇÕES DE PREENCHIMENTO - Informar/Alterar somente as células destacadas na Cor Amarela, de acordo com o percentual da Licitante.</t>
  </si>
  <si>
    <t>QUADRO RESUMO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</si>
  <si>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</si>
  <si>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</si>
  <si>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</si>
  <si>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</si>
  <si>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</si>
  <si>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</si>
  <si>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</si>
  <si>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</si>
  <si>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</si>
  <si>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</si>
  <si>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SAT - Seguro Acidentes Trabalho - (RAT x FAP)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</si>
  <si>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</si>
  <si>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</si>
  <si>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</si>
  <si>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</si>
  <si>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</si>
  <si>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</si>
  <si>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</si>
  <si>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</si>
  <si>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</si>
  <si>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</si>
  <si>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</si>
  <si>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</si>
  <si>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</si>
  <si>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</si>
  <si>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</si>
  <si>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</si>
  <si>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</si>
  <si>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</si>
  <si>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</si>
  <si>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</si>
  <si>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</si>
  <si>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</si>
  <si>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</si>
  <si>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</si>
  <si>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</si>
  <si>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</si>
  <si>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</si>
  <si>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</si>
  <si>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</si>
  <si>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</si>
  <si>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PERCENTUAIS PARA CONTINGENCIAMENTO DE ENCARGOS TRABALHISTAS A SEREM APLICADOS SOBRE A NOTA FISCAL (UTILIZAÇÃO DURANTE A VIGÊNCIA CONTRATUAL)</t>
  </si>
  <si>
    <t>Incidência do submódulo 4.1 sobre custo de reposição</t>
  </si>
  <si>
    <t>Total Grupo B.4 - Custo de reposição do profissional ausente</t>
  </si>
  <si>
    <t>Título</t>
  </si>
  <si>
    <t>VARIAÇÃO RAT AJUSTADO 0,50% A 6%</t>
  </si>
  <si>
    <t>Grupo C</t>
  </si>
  <si>
    <t>Outros (especificar)</t>
  </si>
  <si>
    <t>EMPRESAS</t>
  </si>
  <si>
    <t>Indenização Adicional</t>
  </si>
  <si>
    <t xml:space="preserve">Grupo </t>
  </si>
  <si>
    <t>Mínimo</t>
  </si>
  <si>
    <t>Máximo</t>
  </si>
  <si>
    <t>LICITANTE</t>
  </si>
  <si>
    <t>Total Grupo C - Indenização Adicional</t>
  </si>
  <si>
    <t>SUBMÓDULO E.1 - da IN 02/2008 MPOG:</t>
  </si>
  <si>
    <t>Quadro Resumo - Encargos Sociais e Trabalhistas</t>
  </si>
  <si>
    <t>SAT (RATxFAP):</t>
  </si>
  <si>
    <t>13º salário</t>
  </si>
  <si>
    <t>13º Salário + Adicional de Férias</t>
  </si>
  <si>
    <t>Férias</t>
  </si>
  <si>
    <t>1/3 constitucional</t>
  </si>
  <si>
    <t>Custo de Rescisão</t>
  </si>
  <si>
    <t>Custo de Reposição do profissional Ausente</t>
  </si>
  <si>
    <t>Incidência do Grupo A (*)</t>
  </si>
  <si>
    <t>Multa do FGTS</t>
  </si>
  <si>
    <t>Total dos Encargos Sociais Trabalhistas</t>
  </si>
  <si>
    <t>Encargos a contingenciar</t>
  </si>
  <si>
    <t>Taxa da conta-corrente vinculada (inciso II art. 2º IN 001/2013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</si>
  <si>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</si>
  <si>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>Total a contingenciar</t>
  </si>
  <si>
    <t>INSTRUÇÕES DE PREENCHIMENTO - Informar/Alterar somente as células destacadas na Cor Amarela, de acordo com o valor unitário da Licitante.</t>
  </si>
  <si>
    <t>DESCRIÇÃO DO MATERIAL</t>
  </si>
  <si>
    <t>OBSERVAÇÕES</t>
  </si>
  <si>
    <t>REFERÊNCIA</t>
  </si>
  <si>
    <t>Preço Unitário</t>
  </si>
  <si>
    <t>Quantidade</t>
  </si>
  <si>
    <t>DIVISOR</t>
  </si>
  <si>
    <t xml:space="preserve"> Extensão elétrica, 20 metros, com 3 tomadas </t>
  </si>
  <si>
    <t xml:space="preserve"> Kit limpador de vidros  com cabo extensor 6m</t>
  </si>
  <si>
    <t>Fardo c/ 64 unidades</t>
  </si>
  <si>
    <t>Marca de Referência</t>
  </si>
  <si>
    <t>PREÇO UNITÁRIO</t>
  </si>
  <si>
    <t>TOTAL DO CONSUMO MENSAL</t>
  </si>
  <si>
    <t>Papel higiênico branco, folha dupla, 30m (Personal, Neve ou Similar)</t>
  </si>
  <si>
    <t>Descrição</t>
  </si>
  <si>
    <t>Categoria</t>
  </si>
  <si>
    <t>Unidade</t>
  </si>
  <si>
    <t>TOTAL DO QUANTITAVO MENSAL</t>
  </si>
  <si>
    <t>TOTAL MENSAL</t>
  </si>
  <si>
    <t>Item</t>
  </si>
  <si>
    <t xml:space="preserve">200h/m </t>
  </si>
  <si>
    <t>OBSERVAÇÃO:</t>
  </si>
  <si>
    <t>A concessão das máscaras somente ocorrerá com solicitação da Justiça Federal e será ressarcida mediante apresentação de Nota Fiscal.</t>
  </si>
  <si>
    <t>DEMONSTRATIVO DO QUANTITATIVO ANUAL DE EPI's</t>
  </si>
  <si>
    <t>CATEGORIA</t>
  </si>
  <si>
    <t>Carga Horária</t>
  </si>
  <si>
    <t>TOTAL DE EPI NO CONTRATO</t>
  </si>
  <si>
    <t>Quantitativo Quadrimestral</t>
  </si>
  <si>
    <t>Valor Total</t>
  </si>
  <si>
    <t>ANUAL</t>
  </si>
  <si>
    <t>Quadrimestres por ano</t>
  </si>
  <si>
    <t>Zelador</t>
  </si>
  <si>
    <t>TOTAL GERAL DE MÁSCARAS ESTIMADAS</t>
  </si>
  <si>
    <t>Por unitário por posto</t>
  </si>
  <si>
    <t>Valores em R$</t>
  </si>
  <si>
    <t>Especificação</t>
  </si>
  <si>
    <t>Quant.</t>
  </si>
  <si>
    <t>Valor Unitário</t>
  </si>
  <si>
    <t>Depreciação 20% ao Ano</t>
  </si>
  <si>
    <t>Repasse Mensal</t>
  </si>
  <si>
    <t xml:space="preserve">RELAÇÃO DE MÁQUINAS E EQUIPAMENTOS SERVENTE </t>
  </si>
  <si>
    <t>Carretel tipo: enrolador mangueira de jardim 50m</t>
  </si>
  <si>
    <t>Escada Alumínio 10 degraus</t>
  </si>
  <si>
    <t>Lavadora de alta pressão</t>
  </si>
  <si>
    <t xml:space="preserve">Total da Depreciação de Máquinas e Equipamentos de Servente </t>
  </si>
  <si>
    <t>Serviços de Limpeza e Conservação</t>
  </si>
  <si>
    <t>QUANT.</t>
  </si>
  <si>
    <t>DESCRIÇÃO DE UNIFORME</t>
  </si>
  <si>
    <t>CORES</t>
  </si>
  <si>
    <t>TOTAL DO QUANTITATIVO</t>
  </si>
  <si>
    <t xml:space="preserve">Servente </t>
  </si>
  <si>
    <t>Calça</t>
  </si>
  <si>
    <t>Tecido bi-stretch, gabardine, 100%, poliéster, elástico na cintura, reta, com 2 bolsos, tamanhos PP, P, M, G, GG e EX</t>
  </si>
  <si>
    <t>Preta ou azul marinho</t>
  </si>
  <si>
    <t>Camisa</t>
  </si>
  <si>
    <t>Camisa gola polo, Modelo Tradicional Masculino/Feminino, Tecido de Malha 100% Algodão, Fio 30.1 P</t>
  </si>
  <si>
    <t>Bege ou creme</t>
  </si>
  <si>
    <t>TOTAL DE POSTOS</t>
  </si>
  <si>
    <t>Calçado</t>
  </si>
  <si>
    <t>Botina de segurança, em couro, sem ponteira e confortável, atendendo as exigências das Normas de Segurança do Trabalho</t>
  </si>
  <si>
    <t>Preta</t>
  </si>
  <si>
    <t>Bota</t>
  </si>
  <si>
    <t>Bota em PVC, atendendo as Normas de Segurança do Trabalho vigentes</t>
  </si>
  <si>
    <t>Soma</t>
  </si>
  <si>
    <t xml:space="preserve">CÁLCULO VALOR DO REPASSE MENSAL SERVENTE DE LIMPEZA </t>
  </si>
  <si>
    <t xml:space="preserve"> Copeira</t>
  </si>
  <si>
    <t>Calça social feminina Oxford ou similar</t>
  </si>
  <si>
    <t xml:space="preserve">Preta </t>
  </si>
  <si>
    <t>Branca</t>
  </si>
  <si>
    <t>Avental</t>
  </si>
  <si>
    <t>Avental Comum Oxford</t>
  </si>
  <si>
    <t>Preto</t>
  </si>
  <si>
    <t>Touca</t>
  </si>
  <si>
    <t>Touca de poliéster com aba em tecido</t>
  </si>
  <si>
    <t>Sapato de EVA com solado antiderrapante,  atendendo as exigências das Normas de Segurança do Trabalho</t>
  </si>
  <si>
    <t>CÁLCULO VALOR DO REPASSE MENSAL COPEIRA</t>
  </si>
  <si>
    <t>Jeans santista ou similiar, modelo tradicional</t>
  </si>
  <si>
    <t>Azul Marinho</t>
  </si>
  <si>
    <t>Cinza Claro</t>
  </si>
  <si>
    <t>CÁLCULO VALOR DO REPASSE MENSAL  DE ZELADOR</t>
  </si>
  <si>
    <t>Zelador com acúmulo de Lavador de Veículos</t>
  </si>
  <si>
    <t>Em PVC, com peitilho, resistente, comprido</t>
  </si>
  <si>
    <t>Branco</t>
  </si>
  <si>
    <t>CÁLCULO VALOR DO REPASSE MENSAL ZELADOR COM ACÚMULO DE LAVADOR DE CARRO</t>
  </si>
  <si>
    <t>Calça social feminina preta Oxford</t>
  </si>
  <si>
    <t>Sapatilha Feminina antiderrapante</t>
  </si>
  <si>
    <t>CÁLCULO VALOR DO REPASSE MENSAL AUXILIAR ADMINISTRATIVO</t>
  </si>
  <si>
    <t>ESPECIFICAÇÕES</t>
  </si>
  <si>
    <t xml:space="preserve">ESPECIFICAÇÕES </t>
  </si>
  <si>
    <t>MODELO</t>
  </si>
  <si>
    <t>COR</t>
  </si>
  <si>
    <t>Calça Feminina / Masculina</t>
  </si>
  <si>
    <t>Servente</t>
  </si>
  <si>
    <t>Calça reta, com elástico na cintura, dois bolsos modelo faca nas laterais</t>
  </si>
  <si>
    <t>Tamanhos PP, P, M, G, GG e EX</t>
  </si>
  <si>
    <t>Tecido Bi Stretch, em microfibra gabardine, 100% poliéster</t>
  </si>
  <si>
    <t xml:space="preserve">Camisa Feminina / Masculina </t>
  </si>
  <si>
    <t>Polo tradicional, em 50% algodão e 50% poliéster, com 2 botões</t>
  </si>
  <si>
    <t>Bege/ Creme/ Branca</t>
  </si>
  <si>
    <t>Tecido em malha 88% poliamida e 12% elastano</t>
  </si>
  <si>
    <t>Touca protetora em tecido nas bordas e tela</t>
  </si>
  <si>
    <t>Lavável</t>
  </si>
  <si>
    <t>Calça Jeans santista ou similar, modelo tradicional</t>
  </si>
  <si>
    <t>1. As costuras devem ser rebatidas e bem acabadas de modo a impedir desfiamento ou esgarçamento do tecido.</t>
  </si>
  <si>
    <t>2. A casa do botão deve ser feita de modo a impedir desfiamento ou esgarçamento do tecido.</t>
  </si>
  <si>
    <t>3. As peças deverão ter etiquetas nos locais convencionais com indicação do tecido, marca do confeccionista, tamanho do manequim.</t>
  </si>
  <si>
    <t>4. A qualidade da costura e do tecido serão critérios para aprovação do uniforme.</t>
  </si>
  <si>
    <t>5. Os calçados devem ser confortáveis e durarem um ano, pelo menos e, serão testados;</t>
  </si>
  <si>
    <t>6. No caso das camisas, o emblema com nome da empresa deverá constar só na parte da frente;</t>
  </si>
  <si>
    <t xml:space="preserve">7. Quando da renovação contratual os uniformes deverão ser repostos na quantidade, qualidade e especificações pactuadas em Contrato. </t>
  </si>
  <si>
    <t>8. Haverá sanções, descritas em Contrato, caso a CONTRATADA não cumpra com as obrigações contratuais referentes aos uniformes.</t>
  </si>
  <si>
    <t>Planilha de Custo e Formação de Preço Mensal Por Categoria Profissional</t>
  </si>
  <si>
    <t>COM MATERIAL</t>
  </si>
  <si>
    <t>SEM MATERIAL</t>
  </si>
  <si>
    <t>CUSTO INSALUBRIDADE</t>
  </si>
  <si>
    <t>33390.37.02 - Limpeza e Conservação</t>
  </si>
  <si>
    <t>MONTANTE "A" - Mão de Obra</t>
  </si>
  <si>
    <t>Função</t>
  </si>
  <si>
    <t>Carga Horária Mensal</t>
  </si>
  <si>
    <t xml:space="preserve"> Salário Base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</si>
  <si>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</si>
  <si>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</si>
  <si>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</si>
  <si>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</si>
  <si>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</si>
  <si>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</si>
  <si>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</si>
  <si>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Valores Unitarios</t>
  </si>
  <si>
    <t>Uniforme</t>
  </si>
  <si>
    <t xml:space="preserve">Seguro de vida  </t>
  </si>
  <si>
    <t>Material de Limpeza</t>
  </si>
  <si>
    <t>Material de Copa</t>
  </si>
  <si>
    <t>Material COVID 19 (tecido)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</si>
  <si>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</si>
  <si>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</si>
  <si>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</si>
  <si>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</si>
  <si>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</si>
  <si>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Percentual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</si>
  <si>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</si>
  <si>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</si>
  <si>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</si>
  <si>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</si>
  <si>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</si>
  <si>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</si>
  <si>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 xml:space="preserve">DESCRIÇÃO </t>
  </si>
  <si>
    <t>4.5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</si>
  <si>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</si>
  <si>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</si>
  <si>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</si>
  <si>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</si>
  <si>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</si>
  <si>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</si>
  <si>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</si>
  <si>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</si>
  <si>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</si>
  <si>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</si>
  <si>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</si>
  <si>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</si>
  <si>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</si>
  <si>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</si>
  <si>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</si>
  <si>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</si>
  <si>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</si>
  <si>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</si>
  <si>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</si>
  <si>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</si>
  <si>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</si>
  <si>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</si>
  <si>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</si>
  <si>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</si>
  <si>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</si>
  <si>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</si>
  <si>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</si>
  <si>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</si>
  <si>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</si>
  <si>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</si>
  <si>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</si>
  <si>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Número de dias para fornecimento</t>
  </si>
  <si>
    <t>Custeio do trabalhador (participação legal)</t>
  </si>
  <si>
    <t>Valor da tarifa</t>
  </si>
  <si>
    <t>Inserir valor unitário do Ticket.</t>
  </si>
  <si>
    <t>Inserir percentual de participação do trabalhador.</t>
  </si>
  <si>
    <t>Inserir a quantidade de tarifas diárias.</t>
  </si>
  <si>
    <t>Número de Tarifas por dia</t>
  </si>
  <si>
    <t>Valor Unitário do Ticket</t>
  </si>
  <si>
    <t>Inserir o valor unitário da tarifa.</t>
  </si>
  <si>
    <t>Número de dias utilizados para a precificação. Número determinado em edital. Não será permitido alteração.</t>
  </si>
  <si>
    <t>Inserir valor unitário mensal.</t>
  </si>
  <si>
    <t>Deslocamento Insalubridade</t>
  </si>
  <si>
    <t>FATOR K</t>
  </si>
  <si>
    <t>Valor em R$</t>
  </si>
  <si>
    <t>1. Para apoio ao lançamento de ausências de horas, sugere-se a utilização da planilha complementar abaixo. O preenchimento das horas convertidas deve ocorrer na Coluna "I".</t>
  </si>
  <si>
    <r>
      <rPr>
        <b/>
        <u/>
        <sz val="10"/>
        <rFont val="Calibri"/>
        <family val="2"/>
        <scheme val="minor"/>
      </rPr>
      <t xml:space="preserve">ANÁLISE CRÍTICA </t>
    </r>
    <r>
      <rPr>
        <b/>
        <sz val="10"/>
        <rFont val="Calibri"/>
        <family val="2"/>
        <scheme val="minor"/>
      </rPr>
      <t>SOBRE O FORNECIMENTO DOS MATERIAIS
ESTIMATIVA MENSAL x FORNECIMENTO EFETIVO
(INFORMAÇÃO COMO PARÂMETRO DE INDICATIVO)</t>
    </r>
  </si>
  <si>
    <t xml:space="preserve"> - Informar o percentual de acúmulo de função a ser aplicado. (Célula "I10").</t>
  </si>
  <si>
    <t>*OBS 2 -
Acúmulo de Função / Acréscimo Salarial
(%)</t>
  </si>
  <si>
    <t>*OBS 3 -
Tempo de Execução de Atividades em Acúmulo
(%)</t>
  </si>
  <si>
    <t>*OBS 4 -
Base Para Cálculo de Acúmulo de Função
(R$)</t>
  </si>
  <si>
    <t>OBS 3: Informar % do tempo de acúmulo de função.   OBS 4: Informar salário base.</t>
  </si>
  <si>
    <t xml:space="preserve"> - Informar o percentual correspondente ao tempo de execução da atividade acumulada. (Célula "J10").</t>
  </si>
  <si>
    <t xml:space="preserve"> - Informar o salário base para cálculo da atividade acumulada. (Célula "K10").</t>
  </si>
  <si>
    <t xml:space="preserve"> - Informar o percentual correspondente ao RAT, conforme atividade principal da licitante. (Célula "G24").</t>
  </si>
  <si>
    <t xml:space="preserve"> - Informar o valor unitário da tarifa de transporte público vigente à data de apresentação da proposta, conforme legislação vigente. (Célula "G33").</t>
  </si>
  <si>
    <t xml:space="preserve"> - Informar o quantitativo unitário diário de tarifas de transporte público (ex.: 1 tarifa para ida e 1 tarifa para volta = Total de 2 tarifas). (Célula "G34").</t>
  </si>
  <si>
    <t xml:space="preserve"> - Informar o percentual de desconto à título de participação do trabalhador em relação ao fornecimento de vale transporte, nos casos exigidos, conforme legislação vigente. (Célula "G35").</t>
  </si>
  <si>
    <t xml:space="preserve"> - Informar o percentual de desconto à título de participação do trabalhador em relação ao fornecimento de Vale Alimentação, nos casos exigidos, conforme legislação vigente. (Célula "G39").</t>
  </si>
  <si>
    <t xml:space="preserve"> - Informar o percentual relativo às Despesas Administrativas da licitante. (Células "G44").</t>
  </si>
  <si>
    <t xml:space="preserve"> - Informar o percentual relativo ao Lucro da licitante. (Células "G45").</t>
  </si>
  <si>
    <t xml:space="preserve"> - Informar a opção tributária da licitante (Células "F51") conforme legislação vigente, OBSERVANDO as instruções contantes na Célula "B48".</t>
  </si>
  <si>
    <t xml:space="preserve"> - Informar o percentual da alíquota COFINS (Células "G52") conforme legislação vigente, OBSERVANDO as instruções contantes na Célula "B48".</t>
  </si>
  <si>
    <t xml:space="preserve"> - Informar o percentual da alíquota PIS/PASEP (Células "G53") conforme legislação vigente, OBSERVANDO as instruções contantes na Célula "B48".</t>
  </si>
  <si>
    <t xml:space="preserve"> - Informar o percentual da alíquota ISSQN (Células "G54") conforme legislação vigente, OBSERVANDO as instruções contantes na Célula "B48".</t>
  </si>
  <si>
    <t>Esta aba está destacada na Cor Laranja.</t>
  </si>
  <si>
    <t>Os nomes das abas estarão abreviados para otimização da planilha.</t>
  </si>
  <si>
    <t>7.</t>
  </si>
  <si>
    <t>7.1</t>
  </si>
  <si>
    <t>7.2</t>
  </si>
  <si>
    <r>
      <t xml:space="preserve">Para efeitos de lance/oferta, as licitantes devem considerar o valor da célula "T17", da Aba "Resumo", correspondente ao </t>
    </r>
    <r>
      <rPr>
        <b/>
        <sz val="10"/>
        <rFont val="Calibri"/>
        <family val="2"/>
        <scheme val="minor"/>
      </rPr>
      <t>VALOR MENSAL.</t>
    </r>
  </si>
  <si>
    <t>Não será necessário realizar nenhuma alteração nesta aba, pois conterá apenas o reflexo dos dados preenchidos nas abas anteriores (conforme explicação nº 3).</t>
  </si>
  <si>
    <t xml:space="preserve"> - Informar o valor unitário do ticket de Vale Alimentação, nos casos exigidos, conforme legislação vigente. (Célula "G37").</t>
  </si>
  <si>
    <t xml:space="preserve"> - Incluir outros custos não previstos previamente, bem como descrevê-los, em caso de previsão legal, devendo ser apresentadas justificativas para a inserção. (Células "B40" e "G40").</t>
  </si>
  <si>
    <t xml:space="preserve"> - Incluir outros custos não previstos previamente, bem como descrevê-los, em caso de previsão legal, devendo ser apresentadas justificativas para a inserção. (Células "B41" e "G41").</t>
  </si>
  <si>
    <t xml:space="preserve"> - Incluir outros impostos não inseridos previamente, bem como descrevê-los, em caso de previsão legal, devendo ser apresentadas justificativas para a inserção. (Células "B55" e "G55").</t>
  </si>
  <si>
    <t xml:space="preserve"> - Atentar-se às observações continuadas ao final do quadro de encargos (Célula "B59"), com as demais instruções cabíveis aos percentuais dispostos nesta Aba.</t>
  </si>
  <si>
    <t xml:space="preserve"> - Informar o valor unitário do item "máscara de proteção facial" na "célula J7" destacada em amarelo, de acordo com sua descrição "Colunas B:I".</t>
  </si>
  <si>
    <t xml:space="preserve"> - O preenchimento das células da Coluna "H" está permitida somente para inserção de Observações, caso necessário.</t>
  </si>
  <si>
    <r>
      <t>A Aba "</t>
    </r>
    <r>
      <rPr>
        <b/>
        <sz val="10"/>
        <rFont val="Calibri"/>
        <family val="2"/>
        <scheme val="minor"/>
      </rPr>
      <t>Especificações</t>
    </r>
    <r>
      <rPr>
        <sz val="10"/>
        <rFont val="Calibri"/>
        <family val="2"/>
        <scheme val="minor"/>
      </rPr>
      <t xml:space="preserve">", corresponde ao detalhamento dos </t>
    </r>
    <r>
      <rPr>
        <b/>
        <sz val="10"/>
        <rFont val="Calibri"/>
        <family val="2"/>
        <scheme val="minor"/>
      </rPr>
      <t>Uniformes</t>
    </r>
    <r>
      <rPr>
        <sz val="10"/>
        <rFont val="Calibri"/>
        <family val="2"/>
        <scheme val="minor"/>
      </rPr>
      <t>, servindo apenas para consulta e entendimento dos tipos de uniforme solicitados para o fornecimento.</t>
    </r>
  </si>
  <si>
    <r>
      <rPr>
        <b/>
        <sz val="10"/>
        <rFont val="Calibri"/>
        <family val="2"/>
        <scheme val="minor"/>
      </rPr>
      <t>Não será necessário realizar nenhuma alteração nas abas contendo o detalhamento de custos de cada categoria profissional.</t>
    </r>
    <r>
      <rPr>
        <sz val="10"/>
        <rFont val="Calibri"/>
        <family val="2"/>
        <scheme val="minor"/>
      </rPr>
      <t xml:space="preserve"> Estas abas conterão apenas o reflexo dos dados preenchidos nas abas anteriores (conforme explicação nº 3).</t>
    </r>
  </si>
  <si>
    <r>
      <t>A Aba "</t>
    </r>
    <r>
      <rPr>
        <b/>
        <sz val="10"/>
        <rFont val="Calibri"/>
        <family val="2"/>
        <scheme val="minor"/>
      </rPr>
      <t>Resumo</t>
    </r>
    <r>
      <rPr>
        <sz val="10"/>
        <rFont val="Calibri"/>
        <family val="2"/>
        <scheme val="minor"/>
      </rPr>
      <t>" contém o detalhamento dos custos unitários por categoria profissional, além de conter o preço final da proposta.</t>
    </r>
  </si>
  <si>
    <r>
      <t>A Aba "</t>
    </r>
    <r>
      <rPr>
        <b/>
        <sz val="10"/>
        <rFont val="Calibri"/>
        <family val="2"/>
        <scheme val="minor"/>
      </rPr>
      <t>Custo Estimado Substituto</t>
    </r>
    <r>
      <rPr>
        <sz val="10"/>
        <rFont val="Calibri"/>
        <family val="2"/>
        <scheme val="minor"/>
      </rPr>
      <t>" contém valores estimados com os profissionais substitutos do titular em férias.</t>
    </r>
  </si>
  <si>
    <r>
      <t xml:space="preserve">Destaca-se que após o preenchimento destas Abas (de acordo com as instruções contidas no item 3), os preços individuais das </t>
    </r>
    <r>
      <rPr>
        <b/>
        <sz val="10"/>
        <rFont val="Calibri"/>
        <family val="2"/>
        <scheme val="minor"/>
      </rPr>
      <t>categorias</t>
    </r>
    <r>
      <rPr>
        <sz val="10"/>
        <rFont val="Calibri"/>
        <family val="2"/>
        <scheme val="minor"/>
      </rPr>
      <t xml:space="preserve"> profissionais serão refletidos automaticamente para as suas abas correspondentes (Serv Ins, Serv, Copeira, Zel ac. e Aux).</t>
    </r>
  </si>
  <si>
    <r>
      <t xml:space="preserve">As demais células estarão </t>
    </r>
    <r>
      <rPr>
        <b/>
        <sz val="10"/>
        <rFont val="Calibri"/>
        <family val="2"/>
        <scheme val="minor"/>
      </rPr>
      <t>bloqueadas</t>
    </r>
    <r>
      <rPr>
        <sz val="10"/>
        <rFont val="Calibri"/>
        <family val="2"/>
        <scheme val="minor"/>
      </rPr>
      <t xml:space="preserve"> para edição das licitantes.</t>
    </r>
  </si>
  <si>
    <t>As Abas necessárias para o preenchimento estão organizadas em uma sequência lógica, sendo Dados; Encargos; Materiais (limpeza, copa e limpeza de veículos); EPI; Equipamentos; Uniforme.</t>
  </si>
  <si>
    <r>
      <t xml:space="preserve">Sugere-se o preenchimento das seguintes abas em sequência: </t>
    </r>
    <r>
      <rPr>
        <sz val="10"/>
        <rFont val="Calibri"/>
        <family val="2"/>
        <scheme val="minor"/>
      </rPr>
      <t>Dados, Encargos, Materiais, EPI, Equipamentos e Uniforme, para a realização de cálculos completa da planilha de composição de custos.</t>
    </r>
  </si>
  <si>
    <t>ANEXO II - PLANILHA DE CUSTO E FORMAÇÃO DE PREÇO MENSAL ESTIMATIVO - PLANILHA DE DADOS</t>
  </si>
  <si>
    <t>ANEXO II - CUSTO ESTIMATIVO DE MATERIAIS DE LIMPEZA</t>
  </si>
  <si>
    <t>ANEXO II - CUSTO ESTIMATIVO DE MATERIAIS DE INSUMOS EPI - COVID 19</t>
  </si>
  <si>
    <t>ANEXO II - CUSTO ESTIMATIVO DE PREÇOS DE EQUIPAMENTOS</t>
  </si>
  <si>
    <t>ANEXO II - CUSTO ESTIMATIVO DE PREÇOS DOS UNIFORMES</t>
  </si>
  <si>
    <t xml:space="preserve">ANEXO II - PLANILHA DE CUSTO ESTIMATIVO DE UNIFORMES </t>
  </si>
  <si>
    <t xml:space="preserve">ANEXO II - PLANILHA DE CUSTO E FORMAÇÃO DE PREÇO MENSAL ESTIMATIVO DO PROFISSIONAL SUBSTITUTO DO TITULAR EM FÉRIAS </t>
  </si>
  <si>
    <t xml:space="preserve">  Alterar FAP e RAT na aba "DADOS"</t>
  </si>
  <si>
    <t>Obs: Informar a jornada de trabalho do posto analisado. Em sequência, informar as horas completas faltantes e posteriormente os minutos. Ex: 10:25h faltantes - Lançar 10 na célula "D22" e lançar 25 na célula "E22".
Lançar o resultado convertido na coluna "H".</t>
  </si>
  <si>
    <r>
      <t xml:space="preserve">INSTRUÇÕES DE PREENCHIMENTO
UTILIZAÇÃO EXCLUSIVA FISCAL/GESTOR
PARA AUXILIAR NO VALOR DE FATURAMENTO
Preencher as células destacadas na cor </t>
    </r>
    <r>
      <rPr>
        <b/>
        <sz val="10"/>
        <color rgb="FFFF0000"/>
        <rFont val="Calibri"/>
        <family val="2"/>
        <scheme val="minor"/>
      </rPr>
      <t>vermelha</t>
    </r>
    <r>
      <rPr>
        <b/>
        <sz val="10"/>
        <rFont val="Calibri"/>
        <family val="2"/>
        <scheme val="minor"/>
      </rPr>
      <t xml:space="preserve"> para realização dos cálculos das demais abas.
Não é necessário preenchimento de outras abas.</t>
    </r>
  </si>
  <si>
    <t>ANEXO II - PLANILHA DE CUSTO E FORMAÇÃO DE PREÇO MENSAL ESTIMATIVO INTEGRAL - RESUMO</t>
  </si>
  <si>
    <t>Quant. de Profissionais</t>
  </si>
  <si>
    <t>Quantidade Mensal por categoria</t>
  </si>
  <si>
    <t>Quantidade Mensal total fornecida</t>
  </si>
  <si>
    <t>Preço 
Unitário</t>
  </si>
  <si>
    <t>Valor Mensal
por categoria</t>
  </si>
  <si>
    <t>Quantidade de EPI's  (Máscara PFF2/N95) 
Por Profissional</t>
  </si>
  <si>
    <t>1.1</t>
  </si>
  <si>
    <t>Informar a quantidade de máscaras fornecidas no mês para:</t>
  </si>
  <si>
    <t>1.2</t>
  </si>
  <si>
    <t>1.3</t>
  </si>
  <si>
    <t>1.4</t>
  </si>
  <si>
    <t>1.5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</si>
  <si>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</si>
  <si>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</si>
  <si>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</si>
  <si>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</si>
  <si>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</si>
  <si>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Dias de Glosas de V.A no Mês</t>
  </si>
  <si>
    <t>CUSTO DE VALE ALIMENTAÇÃO</t>
  </si>
  <si>
    <t>CUSTO DE VALE-TRANSPORTE</t>
  </si>
  <si>
    <t>Desconto de Vale Alimentação em recesso forense ou ponto facultativo.</t>
  </si>
  <si>
    <t>Dias de Recesso e/ou ponto facultativo</t>
  </si>
  <si>
    <t>Valor da Glosa do vale alimentação da categoria</t>
  </si>
  <si>
    <t>Valor da Glosa do vale transporte da categoria</t>
  </si>
  <si>
    <t>Custo Mensal  do vale alimentação da categoria com Encargos</t>
  </si>
  <si>
    <t>Total da Glosa de Atrasos, Faltas, Desconto do Titular em Férias sem substituição e Desconto de V.A para recessos.</t>
  </si>
  <si>
    <t>SIM</t>
  </si>
  <si>
    <t>GLOSA VALE ALIMENTAÇÃO</t>
  </si>
  <si>
    <t>GLOSA VALE TRANSPORTE</t>
  </si>
  <si>
    <t>TOTAL GLOSAS</t>
  </si>
  <si>
    <t>ACRÉSCIMO DE INSALUBRIDADE</t>
  </si>
  <si>
    <t>Desconto de V.A. por dias de recesso forense e/ou ponto facultativo.
(Coluna "M")</t>
  </si>
  <si>
    <t>Nº de dias corridos de férias sem substituição quando o adicional de insalubridade é passado para outra servente do quadro.
(Coluna "N")</t>
  </si>
  <si>
    <t>Preencher nº de dias úteis em que o optante de V.T realizou trabalho em Home Office OU dias de Recesso Forense / Ponto facultativo
(Coluna "H")</t>
  </si>
  <si>
    <t>Dias de Home Office OU Recesso para os postos Optantes de V.T.</t>
  </si>
  <si>
    <t>OBS 1: Inserir piso salarial correspondente à jornada de 220h mensais.      OBS 2: Informar % de acúmulo de função.</t>
  </si>
  <si>
    <t>DESCRIÇÃO DOS EPIS</t>
  </si>
  <si>
    <t xml:space="preserve"> - Informar o fator correspondente ao FAP, conforme extraído do relatório FapWeb. (Célula "G25").</t>
  </si>
  <si>
    <t>Máscara de proteção respiratória pff2/n95 - sem válvula de exalação. máscara com formato dobrável ou concha com fixação dupl a, ajuste no septo nasal com clip nasal, e material antialérgico. a fixação dupla em elástico obrigatoriamente deve ajustar o elástico inferior atrás do pescoço e abaixo das orelhas e o elástico superior bem no alto da cabeça, acima das orelhas para assegurar a vedação, sendo obrigatória a apresentação de amostra.</t>
  </si>
  <si>
    <t>PLANILHA PARA LICITAÇÃO (PRECIFICAÇÃO)</t>
  </si>
  <si>
    <t>VALOR TOTAL COM MATERIAIS DE EPI COVID</t>
  </si>
  <si>
    <t>ANEXO II - CUSTO ESTIMATIVO DE MATERIAIS DE LIMPEZA COPA</t>
  </si>
  <si>
    <t>ANEXO II - CUSTO ESTIMATIVO DE MATERIAIS DE LIMPEZA VEICULAR</t>
  </si>
  <si>
    <t>KSN ou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</si>
</sst>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* #,##0.00_-;\-* #,##0.00_-;_-* \-??_-;_-@_-"/>
    <numFmt numFmtId="166" formatCode="#,##0_ ;\-#,##0\ "/>
    <numFmt numFmtId="167" formatCode="_(* #,##0_);_(* \(#,##0\);_(* \-??_);_(@_)"/>
    <numFmt numFmtId="168" formatCode="0.0000"/>
    <numFmt numFmtId="169" formatCode="* #,##0.00\ ;* \(#,##0.00\);* \-#\ ;@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0"/>
      <name val="Times New Roman"/>
      <family val="1"/>
      <charset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indexed="57"/>
      <name val="Calibri"/>
      <family val="2"/>
      <charset val="1"/>
    </font>
    <font>
      <sz val="11"/>
      <color indexed="63"/>
      <name val="Calibri"/>
      <family val="2"/>
      <charset val="1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Times New Roman"/>
      <family val="1"/>
      <charset val="1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.5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6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Times New Roman"/>
      <family val="1"/>
    </font>
    <font>
      <b/>
      <sz val="12"/>
      <color indexed="42"/>
      <name val="Calibri"/>
      <family val="2"/>
      <scheme val="minor"/>
    </font>
    <font>
      <b/>
      <sz val="2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E3E3E3"/>
      </patternFill>
    </fill>
    <fill>
      <patternFill patternType="mediumGray">
        <bgColor theme="0" tint="-0.24994659260841701"/>
      </patternFill>
    </fill>
    <fill>
      <patternFill patternType="solid">
        <fgColor rgb="FFFFFFCC"/>
        <bgColor indexed="27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B0F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FFFF9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indexed="57"/>
      </patternFill>
    </fill>
    <fill>
      <patternFill patternType="solid">
        <fgColor rgb="FF10243E"/>
        <bgColor rgb="FF333333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3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3" tint="0.59999389629810485"/>
        <bgColor indexed="64"/>
      </patternFill>
    </fill>
  </fills>
  <borders count="39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164" fontId="6" fillId="0" borderId="0" applyBorder="0" applyProtection="0"/>
    <xf numFmtId="44" fontId="6" fillId="0" borderId="0" applyFill="0" applyBorder="0" applyAlignment="0" applyProtection="0"/>
    <xf numFmtId="0" fontId="17" fillId="0" borderId="0"/>
    <xf numFmtId="164" fontId="4" fillId="0" borderId="0" applyBorder="0" applyProtection="0"/>
    <xf numFmtId="0" fontId="17" fillId="0" borderId="0"/>
    <xf numFmtId="164" fontId="4" fillId="0" borderId="0" applyBorder="0" applyProtection="0"/>
    <xf numFmtId="0" fontId="17" fillId="0" borderId="0"/>
    <xf numFmtId="0" fontId="20" fillId="0" borderId="0" applyBorder="0" applyProtection="0"/>
    <xf numFmtId="0" fontId="17" fillId="0" borderId="0"/>
    <xf numFmtId="165" fontId="21" fillId="0" borderId="0" applyBorder="0" applyProtection="0"/>
    <xf numFmtId="0" fontId="17" fillId="0" borderId="0"/>
    <xf numFmtId="9" fontId="6" fillId="0" borderId="0" applyFont="0" applyFill="0" applyBorder="0" applyAlignment="0" applyProtection="0"/>
    <xf numFmtId="0" fontId="4" fillId="0" borderId="0"/>
    <xf numFmtId="9" fontId="4" fillId="0" borderId="0" applyBorder="0" applyProtection="0"/>
    <xf numFmtId="9" fontId="4" fillId="0" borderId="0" applyBorder="0" applyProtection="0"/>
    <xf numFmtId="0" fontId="17" fillId="0" borderId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9" fontId="17" fillId="0" borderId="0" applyBorder="0" applyProtection="0"/>
    <xf numFmtId="0" fontId="4" fillId="0" borderId="0"/>
    <xf numFmtId="164" fontId="17" fillId="0" borderId="0" applyBorder="0" applyProtection="0"/>
    <xf numFmtId="165" fontId="17" fillId="0" borderId="0" applyBorder="0" applyProtection="0"/>
    <xf numFmtId="0" fontId="44" fillId="0" borderId="0"/>
    <xf numFmtId="169" fontId="17" fillId="0" borderId="0" applyBorder="0" applyProtection="0"/>
  </cellStyleXfs>
  <cellXfs count="1387">
    <xf numFmtId="0" fontId="0" fillId="0" borderId="0" xfId="0"/>
    <xf numFmtId="0" fontId="5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0" fontId="5" fillId="0" borderId="0" xfId="4" applyFont="1" applyAlignment="1">
      <alignment horizontal="left" vertical="center"/>
    </xf>
    <xf numFmtId="0" fontId="5" fillId="0" borderId="2" xfId="4" applyFont="1" applyBorder="1" applyAlignment="1">
      <alignment horizontal="center" vertical="center" wrapText="1"/>
    </xf>
    <xf numFmtId="1" fontId="8" fillId="0" borderId="7" xfId="4" applyNumberFormat="1" applyFont="1" applyBorder="1" applyAlignment="1">
      <alignment horizontal="center" vertical="center"/>
    </xf>
    <xf numFmtId="0" fontId="8" fillId="0" borderId="2" xfId="4" applyFont="1" applyBorder="1" applyAlignment="1">
      <alignment vertical="center" wrapText="1"/>
    </xf>
    <xf numFmtId="1" fontId="8" fillId="0" borderId="2" xfId="4" applyNumberFormat="1" applyFont="1" applyBorder="1" applyAlignment="1">
      <alignment horizontal="center" vertical="center"/>
    </xf>
    <xf numFmtId="165" fontId="15" fillId="7" borderId="2" xfId="4" applyNumberFormat="1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16" fillId="0" borderId="0" xfId="4" applyFont="1" applyAlignment="1">
      <alignment horizontal="left" vertical="center"/>
    </xf>
    <xf numFmtId="0" fontId="5" fillId="0" borderId="0" xfId="4" applyFont="1" applyAlignment="1">
      <alignment horizontal="left" vertical="center" wrapText="1"/>
    </xf>
    <xf numFmtId="0" fontId="8" fillId="0" borderId="0" xfId="4" applyFont="1" applyAlignment="1">
      <alignment horizontal="left" vertical="center"/>
    </xf>
    <xf numFmtId="0" fontId="2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/>
    </xf>
    <xf numFmtId="0" fontId="5" fillId="0" borderId="2" xfId="4" applyFont="1" applyBorder="1"/>
    <xf numFmtId="0" fontId="5" fillId="0" borderId="2" xfId="4" applyFont="1" applyBorder="1" applyAlignment="1">
      <alignment horizontal="left"/>
    </xf>
    <xf numFmtId="0" fontId="5" fillId="0" borderId="23" xfId="4" applyFont="1" applyBorder="1"/>
    <xf numFmtId="0" fontId="7" fillId="0" borderId="0" xfId="0" applyFont="1"/>
    <xf numFmtId="0" fontId="8" fillId="0" borderId="0" xfId="0" applyFont="1"/>
    <xf numFmtId="0" fontId="13" fillId="5" borderId="2" xfId="6" applyNumberFormat="1" applyFont="1" applyFill="1" applyBorder="1" applyAlignment="1">
      <alignment horizontal="center" vertical="center" wrapText="1"/>
    </xf>
    <xf numFmtId="0" fontId="13" fillId="5" borderId="9" xfId="6" applyNumberFormat="1" applyFont="1" applyFill="1" applyBorder="1" applyAlignment="1">
      <alignment horizontal="center" vertical="center" wrapText="1"/>
    </xf>
    <xf numFmtId="44" fontId="8" fillId="0" borderId="2" xfId="7" applyFont="1" applyFill="1" applyBorder="1" applyAlignment="1">
      <alignment horizontal="center" vertical="center"/>
    </xf>
    <xf numFmtId="44" fontId="8" fillId="0" borderId="9" xfId="7" applyFont="1" applyFill="1" applyBorder="1" applyAlignment="1">
      <alignment vertical="center"/>
    </xf>
    <xf numFmtId="0" fontId="8" fillId="0" borderId="2" xfId="4" applyFont="1" applyBorder="1" applyAlignment="1">
      <alignment horizontal="center" vertical="center"/>
    </xf>
    <xf numFmtId="44" fontId="13" fillId="5" borderId="16" xfId="7" applyFont="1" applyFill="1" applyBorder="1" applyAlignment="1">
      <alignment horizontal="center" vertical="center" wrapText="1"/>
    </xf>
    <xf numFmtId="44" fontId="13" fillId="5" borderId="17" xfId="7" applyFont="1" applyFill="1" applyBorder="1" applyAlignment="1">
      <alignment horizontal="center" vertical="center" wrapText="1"/>
    </xf>
    <xf numFmtId="44" fontId="13" fillId="5" borderId="15" xfId="7" applyFont="1" applyFill="1" applyBorder="1" applyAlignment="1">
      <alignment vertical="center" wrapText="1"/>
    </xf>
    <xf numFmtId="0" fontId="13" fillId="0" borderId="0" xfId="8" applyFont="1" applyAlignment="1">
      <alignment horizontal="center" vertical="center" wrapText="1"/>
    </xf>
    <xf numFmtId="0" fontId="8" fillId="0" borderId="0" xfId="8" applyFont="1"/>
    <xf numFmtId="0" fontId="8" fillId="0" borderId="10" xfId="8" applyFont="1" applyBorder="1" applyAlignment="1">
      <alignment horizontal="center" vertical="center" wrapText="1"/>
    </xf>
    <xf numFmtId="0" fontId="14" fillId="6" borderId="10" xfId="6" quotePrefix="1" applyNumberFormat="1" applyFont="1" applyFill="1" applyBorder="1" applyAlignment="1" applyProtection="1">
      <alignment horizontal="center" vertical="center"/>
      <protection locked="0"/>
    </xf>
    <xf numFmtId="164" fontId="8" fillId="0" borderId="26" xfId="9" applyFont="1" applyBorder="1" applyAlignment="1" applyProtection="1">
      <alignment vertical="center"/>
    </xf>
    <xf numFmtId="0" fontId="8" fillId="0" borderId="2" xfId="11" applyNumberFormat="1" applyFont="1" applyBorder="1" applyAlignment="1" applyProtection="1">
      <alignment horizontal="center" vertical="center" wrapText="1"/>
    </xf>
    <xf numFmtId="0" fontId="14" fillId="6" borderId="43" xfId="6" quotePrefix="1" applyNumberFormat="1" applyFont="1" applyFill="1" applyBorder="1" applyAlignment="1" applyProtection="1">
      <alignment horizontal="center" vertical="center"/>
      <protection locked="0"/>
    </xf>
    <xf numFmtId="164" fontId="8" fillId="0" borderId="44" xfId="9" applyFont="1" applyBorder="1" applyAlignment="1" applyProtection="1">
      <alignment vertical="center"/>
    </xf>
    <xf numFmtId="0" fontId="8" fillId="0" borderId="17" xfId="8" applyFont="1" applyBorder="1" applyAlignment="1">
      <alignment horizontal="center" vertical="center"/>
    </xf>
    <xf numFmtId="44" fontId="14" fillId="0" borderId="15" xfId="7" applyFont="1" applyBorder="1" applyAlignment="1">
      <alignment horizontal="center" vertical="center"/>
    </xf>
    <xf numFmtId="44" fontId="8" fillId="0" borderId="17" xfId="7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10" fontId="13" fillId="5" borderId="37" xfId="6" applyNumberFormat="1" applyFont="1" applyFill="1" applyBorder="1" applyAlignment="1">
      <alignment horizontal="center" vertical="center" wrapText="1"/>
    </xf>
    <xf numFmtId="0" fontId="8" fillId="0" borderId="0" xfId="8" applyFont="1" applyAlignment="1">
      <alignment horizontal="center" vertical="center"/>
    </xf>
    <xf numFmtId="1" fontId="8" fillId="0" borderId="7" xfId="13" applyNumberFormat="1" applyFont="1" applyBorder="1" applyAlignment="1" applyProtection="1">
      <alignment horizontal="center" vertical="center" wrapText="1"/>
    </xf>
    <xf numFmtId="0" fontId="8" fillId="0" borderId="2" xfId="13" applyFont="1" applyBorder="1" applyAlignment="1" applyProtection="1">
      <alignment horizontal="center" vertical="center" wrapText="1"/>
    </xf>
    <xf numFmtId="1" fontId="8" fillId="0" borderId="12" xfId="13" applyNumberFormat="1" applyFont="1" applyBorder="1" applyAlignment="1" applyProtection="1">
      <alignment horizontal="center" vertical="center" wrapText="1"/>
    </xf>
    <xf numFmtId="0" fontId="8" fillId="0" borderId="13" xfId="13" applyFont="1" applyBorder="1" applyAlignment="1" applyProtection="1">
      <alignment horizontal="center" vertical="center" wrapText="1"/>
    </xf>
    <xf numFmtId="1" fontId="8" fillId="0" borderId="15" xfId="13" applyNumberFormat="1" applyFont="1" applyBorder="1" applyAlignment="1" applyProtection="1">
      <alignment horizontal="center" vertical="center" wrapText="1"/>
    </xf>
    <xf numFmtId="0" fontId="8" fillId="0" borderId="16" xfId="13" applyFont="1" applyBorder="1" applyAlignment="1" applyProtection="1">
      <alignment horizontal="center" vertical="center" wrapText="1"/>
    </xf>
    <xf numFmtId="0" fontId="2" fillId="0" borderId="15" xfId="4" applyFont="1" applyBorder="1" applyAlignment="1">
      <alignment horizontal="center" vertical="center"/>
    </xf>
    <xf numFmtId="3" fontId="5" fillId="0" borderId="14" xfId="4" applyNumberFormat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/>
    <xf numFmtId="0" fontId="22" fillId="0" borderId="0" xfId="0" applyFont="1" applyAlignment="1">
      <alignment horizontal="left"/>
    </xf>
    <xf numFmtId="0" fontId="8" fillId="2" borderId="50" xfId="0" applyFont="1" applyFill="1" applyBorder="1" applyAlignment="1">
      <alignment horizontal="left"/>
    </xf>
    <xf numFmtId="0" fontId="8" fillId="2" borderId="0" xfId="0" applyFont="1" applyFill="1"/>
    <xf numFmtId="0" fontId="8" fillId="11" borderId="0" xfId="0" applyFont="1" applyFill="1"/>
    <xf numFmtId="0" fontId="23" fillId="12" borderId="0" xfId="0" applyFont="1" applyFill="1"/>
    <xf numFmtId="0" fontId="13" fillId="5" borderId="81" xfId="6" applyNumberFormat="1" applyFont="1" applyFill="1" applyBorder="1" applyAlignment="1">
      <alignment horizontal="center" vertical="center" wrapText="1"/>
    </xf>
    <xf numFmtId="0" fontId="13" fillId="5" borderId="82" xfId="6" applyNumberFormat="1" applyFont="1" applyFill="1" applyBorder="1" applyAlignment="1">
      <alignment horizontal="center" vertical="center" wrapText="1"/>
    </xf>
    <xf numFmtId="0" fontId="8" fillId="0" borderId="98" xfId="8" applyFont="1" applyBorder="1" applyAlignment="1">
      <alignment horizontal="center" vertical="center" wrapText="1"/>
    </xf>
    <xf numFmtId="167" fontId="8" fillId="0" borderId="0" xfId="15" applyNumberFormat="1" applyFont="1" applyBorder="1" applyAlignment="1" applyProtection="1">
      <alignment horizontal="center" vertical="center"/>
    </xf>
    <xf numFmtId="164" fontId="8" fillId="0" borderId="0" xfId="15" applyNumberFormat="1" applyFont="1" applyBorder="1" applyAlignment="1" applyProtection="1">
      <alignment horizontal="center" vertical="center"/>
    </xf>
    <xf numFmtId="2" fontId="8" fillId="0" borderId="89" xfId="15" applyNumberFormat="1" applyFont="1" applyBorder="1" applyAlignment="1" applyProtection="1">
      <alignment horizontal="center" vertical="center"/>
    </xf>
    <xf numFmtId="0" fontId="13" fillId="0" borderId="101" xfId="1" applyNumberFormat="1" applyFont="1" applyBorder="1" applyAlignment="1" applyProtection="1">
      <alignment horizontal="center" vertical="center"/>
    </xf>
    <xf numFmtId="0" fontId="8" fillId="0" borderId="96" xfId="1" applyNumberFormat="1" applyFont="1" applyBorder="1" applyAlignment="1" applyProtection="1">
      <alignment horizontal="center" vertical="center"/>
    </xf>
    <xf numFmtId="4" fontId="8" fillId="0" borderId="96" xfId="1" applyNumberFormat="1" applyFont="1" applyBorder="1" applyAlignment="1" applyProtection="1">
      <alignment horizontal="center" vertical="center"/>
    </xf>
    <xf numFmtId="4" fontId="8" fillId="0" borderId="102" xfId="1" applyNumberFormat="1" applyFont="1" applyBorder="1" applyAlignment="1" applyProtection="1">
      <alignment horizontal="center" vertical="center"/>
    </xf>
    <xf numFmtId="43" fontId="8" fillId="0" borderId="96" xfId="1" applyFont="1" applyBorder="1" applyAlignment="1" applyProtection="1">
      <alignment vertical="center" wrapText="1"/>
    </xf>
    <xf numFmtId="4" fontId="29" fillId="25" borderId="115" xfId="1" applyNumberFormat="1" applyFont="1" applyFill="1" applyBorder="1" applyAlignment="1" applyProtection="1">
      <alignment horizontal="center" vertical="center"/>
    </xf>
    <xf numFmtId="0" fontId="8" fillId="0" borderId="98" xfId="0" applyFont="1" applyBorder="1" applyAlignment="1">
      <alignment horizontal="center" vertical="center" wrapText="1"/>
    </xf>
    <xf numFmtId="0" fontId="8" fillId="0" borderId="96" xfId="13" applyFont="1" applyBorder="1" applyAlignment="1" applyProtection="1">
      <alignment horizontal="center" vertical="center" wrapText="1"/>
    </xf>
    <xf numFmtId="0" fontId="5" fillId="0" borderId="54" xfId="4" applyFont="1" applyBorder="1"/>
    <xf numFmtId="0" fontId="7" fillId="0" borderId="55" xfId="0" applyFont="1" applyBorder="1"/>
    <xf numFmtId="0" fontId="8" fillId="0" borderId="55" xfId="0" applyFont="1" applyBorder="1"/>
    <xf numFmtId="0" fontId="5" fillId="0" borderId="55" xfId="4" applyFont="1" applyBorder="1"/>
    <xf numFmtId="0" fontId="5" fillId="0" borderId="56" xfId="4" applyFont="1" applyBorder="1"/>
    <xf numFmtId="0" fontId="5" fillId="0" borderId="57" xfId="4" applyFont="1" applyBorder="1"/>
    <xf numFmtId="0" fontId="5" fillId="0" borderId="58" xfId="4" applyFont="1" applyBorder="1"/>
    <xf numFmtId="0" fontId="5" fillId="0" borderId="72" xfId="4" applyFont="1" applyBorder="1" applyAlignment="1">
      <alignment vertical="center" wrapText="1"/>
    </xf>
    <xf numFmtId="1" fontId="5" fillId="0" borderId="72" xfId="4" applyNumberFormat="1" applyFont="1" applyBorder="1" applyAlignment="1">
      <alignment horizontal="center" vertical="center"/>
    </xf>
    <xf numFmtId="1" fontId="5" fillId="0" borderId="71" xfId="4" applyNumberFormat="1" applyFont="1" applyBorder="1" applyAlignment="1">
      <alignment horizontal="center" vertical="center"/>
    </xf>
    <xf numFmtId="4" fontId="5" fillId="0" borderId="72" xfId="4" applyNumberFormat="1" applyFont="1" applyBorder="1" applyAlignment="1">
      <alignment horizontal="center" vertical="center"/>
    </xf>
    <xf numFmtId="4" fontId="5" fillId="0" borderId="73" xfId="4" applyNumberFormat="1" applyFont="1" applyBorder="1" applyAlignment="1">
      <alignment horizontal="center" vertical="center"/>
    </xf>
    <xf numFmtId="10" fontId="5" fillId="2" borderId="2" xfId="3" applyNumberFormat="1" applyFont="1" applyFill="1" applyBorder="1" applyAlignment="1" applyProtection="1">
      <alignment horizontal="center" vertical="center"/>
      <protection locked="0"/>
    </xf>
    <xf numFmtId="2" fontId="5" fillId="2" borderId="2" xfId="4" applyNumberFormat="1" applyFont="1" applyFill="1" applyBorder="1" applyAlignment="1" applyProtection="1">
      <alignment horizontal="center" vertical="center"/>
      <protection locked="0"/>
    </xf>
    <xf numFmtId="4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2" xfId="4" applyFont="1" applyFill="1" applyBorder="1" applyAlignment="1" applyProtection="1">
      <alignment horizontal="center" vertical="center"/>
      <protection locked="0"/>
    </xf>
    <xf numFmtId="0" fontId="8" fillId="0" borderId="96" xfId="11" applyNumberFormat="1" applyFont="1" applyBorder="1" applyAlignment="1" applyProtection="1">
      <alignment horizontal="center" vertical="center" wrapText="1"/>
    </xf>
    <xf numFmtId="1" fontId="8" fillId="0" borderId="105" xfId="13" applyNumberFormat="1" applyFont="1" applyBorder="1" applyAlignment="1" applyProtection="1">
      <alignment horizontal="center" vertical="center" wrapText="1"/>
    </xf>
    <xf numFmtId="0" fontId="8" fillId="0" borderId="96" xfId="13" applyFont="1" applyBorder="1" applyAlignment="1" applyProtection="1">
      <alignment horizontal="left" vertical="center" wrapText="1"/>
    </xf>
    <xf numFmtId="0" fontId="25" fillId="0" borderId="14" xfId="0" applyFont="1" applyBorder="1" applyAlignment="1">
      <alignment horizontal="right" vertical="center"/>
    </xf>
    <xf numFmtId="0" fontId="13" fillId="19" borderId="2" xfId="0" applyFont="1" applyFill="1" applyBorder="1" applyAlignment="1">
      <alignment horizontal="center" vertical="center" wrapText="1"/>
    </xf>
    <xf numFmtId="0" fontId="40" fillId="19" borderId="2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0" fontId="40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10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10" fontId="43" fillId="20" borderId="2" xfId="17" applyNumberFormat="1" applyFont="1" applyFill="1" applyBorder="1" applyAlignment="1">
      <alignment horizontal="center" vertical="center"/>
    </xf>
    <xf numFmtId="0" fontId="8" fillId="0" borderId="96" xfId="12" applyFont="1" applyBorder="1" applyAlignment="1">
      <alignment horizontal="center" vertical="center"/>
    </xf>
    <xf numFmtId="0" fontId="8" fillId="0" borderId="89" xfId="0" applyFont="1" applyBorder="1" applyAlignment="1">
      <alignment vertical="center" wrapText="1"/>
    </xf>
    <xf numFmtId="0" fontId="8" fillId="0" borderId="89" xfId="12" applyFont="1" applyBorder="1" applyAlignment="1">
      <alignment vertical="center" wrapText="1"/>
    </xf>
    <xf numFmtId="2" fontId="8" fillId="0" borderId="0" xfId="1" applyNumberFormat="1" applyFont="1" applyFill="1" applyBorder="1" applyAlignment="1" applyProtection="1">
      <alignment horizontal="center" vertical="center"/>
    </xf>
    <xf numFmtId="1" fontId="8" fillId="0" borderId="96" xfId="1" applyNumberFormat="1" applyFont="1" applyFill="1" applyBorder="1" applyAlignment="1" applyProtection="1">
      <alignment horizontal="center" vertical="center"/>
    </xf>
    <xf numFmtId="1" fontId="8" fillId="0" borderId="0" xfId="1" applyNumberFormat="1" applyFont="1" applyFill="1" applyBorder="1" applyAlignment="1" applyProtection="1">
      <alignment horizontal="center" vertical="center"/>
    </xf>
    <xf numFmtId="1" fontId="8" fillId="0" borderId="89" xfId="1" applyNumberFormat="1" applyFont="1" applyFill="1" applyBorder="1" applyAlignment="1" applyProtection="1">
      <alignment horizontal="center" vertical="center"/>
    </xf>
    <xf numFmtId="1" fontId="8" fillId="0" borderId="72" xfId="1" applyNumberFormat="1" applyFont="1" applyFill="1" applyBorder="1" applyAlignment="1" applyProtection="1">
      <alignment horizontal="center" vertical="center"/>
    </xf>
    <xf numFmtId="4" fontId="8" fillId="0" borderId="102" xfId="1" applyNumberFormat="1" applyFont="1" applyFill="1" applyBorder="1" applyAlignment="1" applyProtection="1">
      <alignment horizontal="center" vertical="center"/>
    </xf>
    <xf numFmtId="4" fontId="13" fillId="0" borderId="102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13" fillId="0" borderId="111" xfId="1" applyNumberFormat="1" applyFont="1" applyFill="1" applyBorder="1" applyAlignment="1" applyProtection="1">
      <alignment horizontal="center" vertical="center"/>
    </xf>
    <xf numFmtId="4" fontId="27" fillId="0" borderId="58" xfId="1" applyNumberFormat="1" applyFont="1" applyFill="1" applyBorder="1" applyAlignment="1" applyProtection="1">
      <alignment horizontal="center" vertical="center"/>
    </xf>
    <xf numFmtId="4" fontId="13" fillId="0" borderId="137" xfId="1" applyNumberFormat="1" applyFont="1" applyFill="1" applyBorder="1" applyAlignment="1" applyProtection="1">
      <alignment horizontal="center" vertical="center"/>
    </xf>
    <xf numFmtId="4" fontId="45" fillId="0" borderId="58" xfId="1" applyNumberFormat="1" applyFont="1" applyFill="1" applyBorder="1" applyAlignment="1" applyProtection="1">
      <alignment horizontal="center" vertical="center"/>
    </xf>
    <xf numFmtId="4" fontId="27" fillId="0" borderId="88" xfId="1" applyNumberFormat="1" applyFont="1" applyFill="1" applyBorder="1" applyAlignment="1" applyProtection="1">
      <alignment horizontal="center" vertical="center"/>
    </xf>
    <xf numFmtId="4" fontId="24" fillId="25" borderId="134" xfId="1" applyNumberFormat="1" applyFont="1" applyFill="1" applyBorder="1" applyAlignment="1" applyProtection="1">
      <alignment horizontal="center" vertical="center"/>
    </xf>
    <xf numFmtId="2" fontId="8" fillId="2" borderId="96" xfId="1" applyNumberFormat="1" applyFont="1" applyFill="1" applyBorder="1" applyAlignment="1" applyProtection="1">
      <alignment horizontal="center" vertical="center"/>
      <protection locked="0"/>
    </xf>
    <xf numFmtId="4" fontId="5" fillId="0" borderId="55" xfId="0" applyNumberFormat="1" applyFont="1" applyBorder="1" applyAlignment="1">
      <alignment horizontal="center"/>
    </xf>
    <xf numFmtId="4" fontId="5" fillId="0" borderId="56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58" xfId="0" applyNumberFormat="1" applyFont="1" applyBorder="1" applyAlignment="1">
      <alignment horizontal="center"/>
    </xf>
    <xf numFmtId="0" fontId="8" fillId="0" borderId="89" xfId="0" applyFont="1" applyBorder="1" applyAlignment="1">
      <alignment horizontal="center" vertical="center" wrapText="1"/>
    </xf>
    <xf numFmtId="0" fontId="7" fillId="0" borderId="89" xfId="0" applyFont="1" applyBorder="1" applyAlignment="1">
      <alignment vertical="center" wrapText="1"/>
    </xf>
    <xf numFmtId="0" fontId="13" fillId="30" borderId="10" xfId="0" applyFont="1" applyFill="1" applyBorder="1" applyAlignment="1">
      <alignment horizontal="center" vertical="center"/>
    </xf>
    <xf numFmtId="0" fontId="13" fillId="30" borderId="35" xfId="0" applyFont="1" applyFill="1" applyBorder="1" applyAlignment="1">
      <alignment horizontal="center" vertical="center"/>
    </xf>
    <xf numFmtId="0" fontId="13" fillId="30" borderId="26" xfId="0" applyFont="1" applyFill="1" applyBorder="1" applyAlignment="1">
      <alignment horizontal="center" vertical="center"/>
    </xf>
    <xf numFmtId="0" fontId="8" fillId="0" borderId="0" xfId="12" applyFont="1"/>
    <xf numFmtId="0" fontId="8" fillId="14" borderId="76" xfId="12" applyFont="1" applyFill="1" applyBorder="1" applyAlignment="1">
      <alignment vertical="center" wrapText="1"/>
    </xf>
    <xf numFmtId="0" fontId="19" fillId="0" borderId="96" xfId="12" applyFont="1" applyBorder="1" applyAlignment="1">
      <alignment horizontal="center" vertical="center" wrapText="1"/>
    </xf>
    <xf numFmtId="0" fontId="19" fillId="0" borderId="154" xfId="12" applyFont="1" applyBorder="1" applyAlignment="1">
      <alignment horizontal="center" vertical="center"/>
    </xf>
    <xf numFmtId="1" fontId="8" fillId="0" borderId="96" xfId="12" applyNumberFormat="1" applyFont="1" applyBorder="1" applyAlignment="1" applyProtection="1">
      <alignment horizontal="center" vertical="center"/>
      <protection locked="0"/>
    </xf>
    <xf numFmtId="10" fontId="8" fillId="0" borderId="96" xfId="12" applyNumberFormat="1" applyFont="1" applyBorder="1" applyAlignment="1" applyProtection="1">
      <alignment horizontal="center" vertical="center"/>
      <protection locked="0"/>
    </xf>
    <xf numFmtId="164" fontId="8" fillId="0" borderId="0" xfId="22" applyFont="1" applyBorder="1" applyAlignment="1" applyProtection="1">
      <alignment vertical="center"/>
    </xf>
    <xf numFmtId="0" fontId="8" fillId="0" borderId="96" xfId="12" applyFont="1" applyBorder="1" applyAlignment="1">
      <alignment horizontal="left" vertical="center"/>
    </xf>
    <xf numFmtId="0" fontId="8" fillId="0" borderId="98" xfId="12" applyFont="1" applyBorder="1" applyAlignment="1">
      <alignment horizontal="center" vertical="center" wrapText="1"/>
    </xf>
    <xf numFmtId="0" fontId="8" fillId="0" borderId="118" xfId="12" applyFont="1" applyBorder="1" applyAlignment="1">
      <alignment vertical="center"/>
    </xf>
    <xf numFmtId="4" fontId="8" fillId="0" borderId="118" xfId="12" applyNumberFormat="1" applyFont="1" applyBorder="1" applyAlignment="1">
      <alignment vertical="center"/>
    </xf>
    <xf numFmtId="0" fontId="8" fillId="0" borderId="142" xfId="12" applyFont="1" applyBorder="1" applyAlignment="1">
      <alignment vertical="center"/>
    </xf>
    <xf numFmtId="4" fontId="8" fillId="0" borderId="142" xfId="12" applyNumberFormat="1" applyFont="1" applyBorder="1" applyAlignment="1">
      <alignment vertical="center"/>
    </xf>
    <xf numFmtId="43" fontId="8" fillId="0" borderId="0" xfId="12" applyNumberFormat="1" applyFont="1"/>
    <xf numFmtId="10" fontId="8" fillId="0" borderId="96" xfId="12" applyNumberFormat="1" applyFont="1" applyBorder="1" applyAlignment="1">
      <alignment horizontal="center" vertical="center"/>
    </xf>
    <xf numFmtId="4" fontId="8" fillId="0" borderId="96" xfId="12" applyNumberFormat="1" applyFont="1" applyBorder="1" applyAlignment="1">
      <alignment horizontal="center" vertical="center"/>
    </xf>
    <xf numFmtId="2" fontId="8" fillId="0" borderId="96" xfId="12" applyNumberFormat="1" applyFont="1" applyBorder="1" applyAlignment="1">
      <alignment horizontal="center" vertical="center"/>
    </xf>
    <xf numFmtId="2" fontId="8" fillId="0" borderId="96" xfId="22" applyNumberFormat="1" applyFont="1" applyBorder="1" applyAlignment="1" applyProtection="1">
      <alignment horizontal="center" vertical="center"/>
    </xf>
    <xf numFmtId="2" fontId="8" fillId="0" borderId="96" xfId="1" applyNumberFormat="1" applyFont="1" applyBorder="1" applyAlignment="1" applyProtection="1">
      <alignment horizontal="center" vertical="center"/>
    </xf>
    <xf numFmtId="2" fontId="8" fillId="0" borderId="96" xfId="23" applyNumberFormat="1" applyFont="1" applyBorder="1" applyAlignment="1" applyProtection="1">
      <alignment horizontal="center" vertical="center"/>
    </xf>
    <xf numFmtId="2" fontId="8" fillId="0" borderId="96" xfId="24" applyNumberFormat="1" applyFont="1" applyBorder="1" applyAlignment="1" applyProtection="1">
      <alignment horizontal="center" vertical="center"/>
    </xf>
    <xf numFmtId="2" fontId="8" fillId="0" borderId="116" xfId="1" applyNumberFormat="1" applyFont="1" applyBorder="1" applyAlignment="1" applyProtection="1">
      <alignment horizontal="center" vertical="center"/>
    </xf>
    <xf numFmtId="2" fontId="8" fillId="0" borderId="116" xfId="22" applyNumberFormat="1" applyFont="1" applyBorder="1" applyAlignment="1" applyProtection="1">
      <alignment horizontal="center" vertical="center"/>
    </xf>
    <xf numFmtId="10" fontId="8" fillId="0" borderId="96" xfId="3" applyNumberFormat="1" applyFont="1" applyBorder="1" applyAlignment="1" applyProtection="1">
      <alignment horizontal="center" vertical="center"/>
    </xf>
    <xf numFmtId="4" fontId="8" fillId="0" borderId="96" xfId="22" applyNumberFormat="1" applyFont="1" applyBorder="1" applyAlignment="1" applyProtection="1">
      <alignment horizontal="center" vertical="center"/>
    </xf>
    <xf numFmtId="4" fontId="8" fillId="0" borderId="96" xfId="1" applyNumberFormat="1" applyFont="1" applyBorder="1" applyAlignment="1" applyProtection="1">
      <alignment horizontal="center" vertical="center"/>
      <protection locked="0"/>
    </xf>
    <xf numFmtId="4" fontId="8" fillId="0" borderId="96" xfId="24" applyNumberFormat="1" applyFont="1" applyBorder="1" applyAlignment="1" applyProtection="1">
      <alignment horizontal="center" vertical="center"/>
    </xf>
    <xf numFmtId="4" fontId="8" fillId="0" borderId="116" xfId="22" applyNumberFormat="1" applyFont="1" applyBorder="1" applyAlignment="1" applyProtection="1">
      <alignment horizontal="center" vertical="center"/>
    </xf>
    <xf numFmtId="4" fontId="8" fillId="0" borderId="0" xfId="12" applyNumberFormat="1" applyFont="1" applyAlignment="1">
      <alignment horizontal="center"/>
    </xf>
    <xf numFmtId="4" fontId="13" fillId="14" borderId="74" xfId="22" applyNumberFormat="1" applyFont="1" applyFill="1" applyBorder="1" applyAlignment="1" applyProtection="1">
      <alignment horizontal="center" vertical="center"/>
    </xf>
    <xf numFmtId="4" fontId="8" fillId="14" borderId="96" xfId="22" applyNumberFormat="1" applyFont="1" applyFill="1" applyBorder="1" applyAlignment="1" applyProtection="1">
      <alignment horizontal="center" vertical="center"/>
    </xf>
    <xf numFmtId="0" fontId="8" fillId="0" borderId="116" xfId="12" applyFont="1" applyBorder="1" applyAlignment="1" applyProtection="1">
      <alignment vertical="center" wrapText="1"/>
      <protection locked="0"/>
    </xf>
    <xf numFmtId="10" fontId="8" fillId="0" borderId="116" xfId="12" applyNumberFormat="1" applyFont="1" applyBorder="1" applyAlignment="1" applyProtection="1">
      <alignment horizontal="center" vertical="center" wrapText="1"/>
      <protection locked="0"/>
    </xf>
    <xf numFmtId="4" fontId="8" fillId="14" borderId="116" xfId="22" applyNumberFormat="1" applyFont="1" applyFill="1" applyBorder="1" applyAlignment="1" applyProtection="1">
      <alignment horizontal="center" vertical="center"/>
    </xf>
    <xf numFmtId="10" fontId="8" fillId="0" borderId="72" xfId="12" applyNumberFormat="1" applyFont="1" applyBorder="1" applyAlignment="1" applyProtection="1">
      <alignment horizontal="center" vertical="center"/>
      <protection locked="0"/>
    </xf>
    <xf numFmtId="4" fontId="13" fillId="14" borderId="89" xfId="22" applyNumberFormat="1" applyFont="1" applyFill="1" applyBorder="1" applyAlignment="1" applyProtection="1">
      <alignment horizontal="center" vertical="center"/>
    </xf>
    <xf numFmtId="2" fontId="5" fillId="2" borderId="89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89" xfId="25" applyNumberFormat="1" applyFont="1" applyFill="1" applyBorder="1" applyAlignment="1" applyProtection="1">
      <alignment horizontal="center" vertical="center"/>
      <protection locked="0"/>
    </xf>
    <xf numFmtId="10" fontId="5" fillId="16" borderId="2" xfId="3" applyNumberFormat="1" applyFont="1" applyFill="1" applyBorder="1" applyAlignment="1" applyProtection="1">
      <alignment horizontal="center" vertical="center"/>
      <protection locked="0"/>
    </xf>
    <xf numFmtId="10" fontId="8" fillId="0" borderId="116" xfId="12" applyNumberFormat="1" applyFont="1" applyBorder="1" applyAlignment="1">
      <alignment horizontal="center" vertical="center"/>
    </xf>
    <xf numFmtId="0" fontId="13" fillId="14" borderId="147" xfId="12" applyFont="1" applyFill="1" applyBorder="1" applyAlignment="1">
      <alignment vertical="center"/>
    </xf>
    <xf numFmtId="0" fontId="13" fillId="14" borderId="162" xfId="12" applyFont="1" applyFill="1" applyBorder="1" applyAlignment="1">
      <alignment vertical="center"/>
    </xf>
    <xf numFmtId="10" fontId="13" fillId="14" borderId="163" xfId="12" applyNumberFormat="1" applyFont="1" applyFill="1" applyBorder="1" applyAlignment="1">
      <alignment horizontal="center" vertical="center"/>
    </xf>
    <xf numFmtId="4" fontId="13" fillId="14" borderId="163" xfId="12" applyNumberFormat="1" applyFont="1" applyFill="1" applyBorder="1" applyAlignment="1">
      <alignment vertical="center"/>
    </xf>
    <xf numFmtId="4" fontId="13" fillId="14" borderId="163" xfId="22" applyNumberFormat="1" applyFont="1" applyFill="1" applyBorder="1" applyAlignment="1" applyProtection="1">
      <alignment horizontal="center" vertical="center"/>
    </xf>
    <xf numFmtId="4" fontId="13" fillId="14" borderId="164" xfId="22" applyNumberFormat="1" applyFont="1" applyFill="1" applyBorder="1" applyAlignment="1" applyProtection="1">
      <alignment horizontal="center" vertical="center"/>
    </xf>
    <xf numFmtId="10" fontId="13" fillId="14" borderId="116" xfId="12" applyNumberFormat="1" applyFont="1" applyFill="1" applyBorder="1" applyAlignment="1">
      <alignment horizontal="center" vertical="center"/>
    </xf>
    <xf numFmtId="4" fontId="13" fillId="14" borderId="116" xfId="12" applyNumberFormat="1" applyFont="1" applyFill="1" applyBorder="1" applyAlignment="1">
      <alignment horizontal="center" vertical="center"/>
    </xf>
    <xf numFmtId="4" fontId="13" fillId="14" borderId="117" xfId="22" applyNumberFormat="1" applyFont="1" applyFill="1" applyBorder="1" applyAlignment="1" applyProtection="1">
      <alignment horizontal="center" vertical="center"/>
    </xf>
    <xf numFmtId="4" fontId="27" fillId="14" borderId="89" xfId="22" applyNumberFormat="1" applyFont="1" applyFill="1" applyBorder="1" applyAlignment="1" applyProtection="1">
      <alignment horizontal="center" vertical="center"/>
    </xf>
    <xf numFmtId="0" fontId="7" fillId="0" borderId="30" xfId="12" applyFont="1" applyBorder="1" applyAlignment="1">
      <alignment vertical="center"/>
    </xf>
    <xf numFmtId="0" fontId="7" fillId="0" borderId="31" xfId="12" applyFont="1" applyBorder="1" applyAlignment="1">
      <alignment vertical="center"/>
    </xf>
    <xf numFmtId="0" fontId="8" fillId="0" borderId="31" xfId="12" applyFont="1" applyBorder="1" applyAlignment="1">
      <alignment vertical="center"/>
    </xf>
    <xf numFmtId="4" fontId="8" fillId="0" borderId="31" xfId="12" applyNumberFormat="1" applyFont="1" applyBorder="1" applyAlignment="1">
      <alignment horizontal="center" vertical="center"/>
    </xf>
    <xf numFmtId="4" fontId="8" fillId="0" borderId="31" xfId="12" applyNumberFormat="1" applyFont="1" applyBorder="1" applyAlignment="1">
      <alignment horizontal="center"/>
    </xf>
    <xf numFmtId="4" fontId="8" fillId="0" borderId="32" xfId="12" applyNumberFormat="1" applyFont="1" applyBorder="1" applyAlignment="1">
      <alignment horizontal="center"/>
    </xf>
    <xf numFmtId="0" fontId="7" fillId="0" borderId="57" xfId="12" applyFont="1" applyBorder="1" applyAlignment="1">
      <alignment vertical="center"/>
    </xf>
    <xf numFmtId="0" fontId="7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4" fontId="8" fillId="0" borderId="0" xfId="12" applyNumberFormat="1" applyFont="1" applyAlignment="1">
      <alignment horizontal="center" vertical="center"/>
    </xf>
    <xf numFmtId="4" fontId="8" fillId="0" borderId="58" xfId="12" applyNumberFormat="1" applyFont="1" applyBorder="1" applyAlignment="1">
      <alignment horizontal="center"/>
    </xf>
    <xf numFmtId="0" fontId="19" fillId="0" borderId="57" xfId="12" applyFont="1" applyBorder="1"/>
    <xf numFmtId="0" fontId="19" fillId="0" borderId="0" xfId="12" applyFont="1"/>
    <xf numFmtId="0" fontId="19" fillId="0" borderId="101" xfId="12" applyFont="1" applyBorder="1" applyAlignment="1">
      <alignment horizontal="center" vertical="center"/>
    </xf>
    <xf numFmtId="4" fontId="8" fillId="0" borderId="102" xfId="22" applyNumberFormat="1" applyFont="1" applyBorder="1" applyAlignment="1" applyProtection="1">
      <alignment horizontal="center" vertical="center"/>
    </xf>
    <xf numFmtId="4" fontId="8" fillId="0" borderId="176" xfId="22" applyNumberFormat="1" applyFont="1" applyBorder="1" applyAlignment="1" applyProtection="1">
      <alignment horizontal="center" vertical="center"/>
    </xf>
    <xf numFmtId="4" fontId="13" fillId="14" borderId="93" xfId="22" applyNumberFormat="1" applyFont="1" applyFill="1" applyBorder="1" applyAlignment="1" applyProtection="1">
      <alignment horizontal="center" vertical="center"/>
    </xf>
    <xf numFmtId="4" fontId="13" fillId="14" borderId="179" xfId="22" applyNumberFormat="1" applyFont="1" applyFill="1" applyBorder="1" applyAlignment="1" applyProtection="1">
      <alignment horizontal="center" vertical="center"/>
    </xf>
    <xf numFmtId="4" fontId="13" fillId="14" borderId="180" xfId="22" applyNumberFormat="1" applyFont="1" applyFill="1" applyBorder="1" applyAlignment="1" applyProtection="1">
      <alignment horizontal="center" vertical="center"/>
    </xf>
    <xf numFmtId="0" fontId="8" fillId="0" borderId="101" xfId="12" applyFont="1" applyBorder="1" applyAlignment="1">
      <alignment horizontal="left" vertical="center"/>
    </xf>
    <xf numFmtId="0" fontId="8" fillId="0" borderId="129" xfId="12" applyFont="1" applyBorder="1" applyAlignment="1">
      <alignment vertical="center"/>
    </xf>
    <xf numFmtId="0" fontId="8" fillId="0" borderId="141" xfId="12" applyFont="1" applyBorder="1" applyAlignment="1">
      <alignment vertical="center"/>
    </xf>
    <xf numFmtId="4" fontId="13" fillId="14" borderId="137" xfId="22" applyNumberFormat="1" applyFont="1" applyFill="1" applyBorder="1" applyAlignment="1" applyProtection="1">
      <alignment horizontal="center" vertical="center"/>
    </xf>
    <xf numFmtId="4" fontId="13" fillId="14" borderId="188" xfId="22" applyNumberFormat="1" applyFont="1" applyFill="1" applyBorder="1" applyAlignment="1" applyProtection="1">
      <alignment horizontal="center" vertical="center"/>
    </xf>
    <xf numFmtId="4" fontId="27" fillId="14" borderId="93" xfId="22" applyNumberFormat="1" applyFont="1" applyFill="1" applyBorder="1" applyAlignment="1" applyProtection="1">
      <alignment horizontal="center" vertical="center"/>
    </xf>
    <xf numFmtId="2" fontId="27" fillId="14" borderId="16" xfId="20" applyNumberFormat="1" applyFont="1" applyFill="1" applyBorder="1" applyAlignment="1" applyProtection="1">
      <alignment horizontal="center" vertical="center"/>
    </xf>
    <xf numFmtId="44" fontId="13" fillId="21" borderId="17" xfId="2" applyFont="1" applyFill="1" applyBorder="1" applyAlignment="1" applyProtection="1">
      <alignment horizontal="center" vertical="center"/>
    </xf>
    <xf numFmtId="43" fontId="8" fillId="0" borderId="96" xfId="12" applyNumberFormat="1" applyFont="1" applyBorder="1" applyAlignment="1" applyProtection="1">
      <alignment horizontal="center" vertical="center"/>
      <protection locked="0"/>
    </xf>
    <xf numFmtId="0" fontId="8" fillId="0" borderId="0" xfId="29" applyFont="1"/>
    <xf numFmtId="0" fontId="32" fillId="0" borderId="57" xfId="29" applyFont="1" applyBorder="1"/>
    <xf numFmtId="0" fontId="47" fillId="0" borderId="0" xfId="29" applyFont="1" applyAlignment="1">
      <alignment vertical="center" wrapText="1"/>
    </xf>
    <xf numFmtId="0" fontId="25" fillId="0" borderId="0" xfId="29" applyFont="1" applyAlignment="1">
      <alignment vertical="center"/>
    </xf>
    <xf numFmtId="0" fontId="39" fillId="23" borderId="57" xfId="29" applyFont="1" applyFill="1" applyBorder="1" applyAlignment="1">
      <alignment horizontal="center" vertical="center"/>
    </xf>
    <xf numFmtId="0" fontId="13" fillId="0" borderId="0" xfId="29" applyFont="1"/>
    <xf numFmtId="0" fontId="49" fillId="34" borderId="78" xfId="29" applyFont="1" applyFill="1" applyBorder="1" applyAlignment="1">
      <alignment horizontal="center" vertical="center"/>
    </xf>
    <xf numFmtId="4" fontId="49" fillId="34" borderId="79" xfId="29" applyNumberFormat="1" applyFont="1" applyFill="1" applyBorder="1" applyAlignment="1">
      <alignment vertical="center"/>
    </xf>
    <xf numFmtId="0" fontId="39" fillId="24" borderId="78" xfId="29" applyFont="1" applyFill="1" applyBorder="1" applyAlignment="1">
      <alignment vertical="center"/>
    </xf>
    <xf numFmtId="0" fontId="39" fillId="24" borderId="79" xfId="29" applyFont="1" applyFill="1" applyBorder="1" applyAlignment="1">
      <alignment vertical="center"/>
    </xf>
    <xf numFmtId="4" fontId="39" fillId="24" borderId="79" xfId="29" applyNumberFormat="1" applyFont="1" applyFill="1" applyBorder="1" applyAlignment="1">
      <alignment vertical="center"/>
    </xf>
    <xf numFmtId="49" fontId="48" fillId="23" borderId="191" xfId="29" applyNumberFormat="1" applyFont="1" applyFill="1" applyBorder="1" applyAlignment="1" applyProtection="1">
      <alignment horizontal="center" vertical="center" wrapText="1"/>
      <protection locked="0"/>
    </xf>
    <xf numFmtId="49" fontId="25" fillId="0" borderId="79" xfId="29" applyNumberFormat="1" applyFont="1" applyBorder="1" applyAlignment="1">
      <alignment horizontal="center" vertical="center" wrapText="1"/>
    </xf>
    <xf numFmtId="0" fontId="10" fillId="14" borderId="147" xfId="4" applyFont="1" applyFill="1" applyBorder="1" applyAlignment="1">
      <alignment vertical="center"/>
    </xf>
    <xf numFmtId="0" fontId="30" fillId="14" borderId="162" xfId="4" applyFont="1" applyFill="1" applyBorder="1" applyAlignment="1">
      <alignment vertical="center" wrapText="1"/>
    </xf>
    <xf numFmtId="0" fontId="31" fillId="14" borderId="162" xfId="4" applyFont="1" applyFill="1" applyBorder="1" applyAlignment="1">
      <alignment vertical="center"/>
    </xf>
    <xf numFmtId="0" fontId="10" fillId="14" borderId="162" xfId="4" applyFont="1" applyFill="1" applyBorder="1" applyAlignment="1">
      <alignment vertical="center"/>
    </xf>
    <xf numFmtId="0" fontId="19" fillId="14" borderId="158" xfId="4" applyFont="1" applyFill="1" applyBorder="1" applyAlignment="1">
      <alignment horizontal="center" vertical="center" wrapText="1"/>
    </xf>
    <xf numFmtId="0" fontId="8" fillId="14" borderId="159" xfId="4" applyFont="1" applyFill="1" applyBorder="1" applyAlignment="1">
      <alignment horizontal="center" vertical="center"/>
    </xf>
    <xf numFmtId="0" fontId="8" fillId="14" borderId="110" xfId="4" applyFont="1" applyFill="1" applyBorder="1" applyAlignment="1">
      <alignment horizontal="center" vertical="center" wrapText="1"/>
    </xf>
    <xf numFmtId="0" fontId="8" fillId="14" borderId="157" xfId="4" applyFont="1" applyFill="1" applyBorder="1" applyAlignment="1">
      <alignment horizontal="center" vertical="center" wrapText="1"/>
    </xf>
    <xf numFmtId="0" fontId="12" fillId="2" borderId="89" xfId="4" applyFont="1" applyFill="1" applyBorder="1" applyAlignment="1">
      <alignment horizontal="center" vertical="center" wrapText="1"/>
    </xf>
    <xf numFmtId="44" fontId="8" fillId="0" borderId="89" xfId="2" applyFont="1" applyBorder="1" applyAlignment="1">
      <alignment horizontal="center" vertical="center"/>
    </xf>
    <xf numFmtId="44" fontId="8" fillId="0" borderId="93" xfId="2" applyFont="1" applyBorder="1" applyAlignment="1">
      <alignment horizontal="center" vertical="center"/>
    </xf>
    <xf numFmtId="44" fontId="13" fillId="5" borderId="84" xfId="2" applyFont="1" applyFill="1" applyBorder="1" applyAlignment="1">
      <alignment horizontal="center" vertical="center" wrapText="1"/>
    </xf>
    <xf numFmtId="10" fontId="13" fillId="5" borderId="104" xfId="6" applyNumberFormat="1" applyFont="1" applyFill="1" applyBorder="1" applyAlignment="1">
      <alignment horizontal="center" vertical="center" wrapText="1"/>
    </xf>
    <xf numFmtId="44" fontId="13" fillId="5" borderId="93" xfId="2" applyFont="1" applyFill="1" applyBorder="1" applyAlignment="1">
      <alignment horizontal="center" vertical="center" wrapText="1"/>
    </xf>
    <xf numFmtId="44" fontId="13" fillId="5" borderId="17" xfId="2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center" wrapText="1"/>
    </xf>
    <xf numFmtId="44" fontId="5" fillId="0" borderId="100" xfId="2" applyFont="1" applyFill="1" applyBorder="1" applyAlignment="1" applyProtection="1">
      <alignment horizontal="right" vertical="center"/>
    </xf>
    <xf numFmtId="44" fontId="27" fillId="14" borderId="204" xfId="2" applyFont="1" applyFill="1" applyBorder="1" applyAlignment="1" applyProtection="1">
      <alignment vertical="center"/>
    </xf>
    <xf numFmtId="43" fontId="12" fillId="0" borderId="206" xfId="1" applyFont="1" applyFill="1" applyBorder="1" applyAlignment="1" applyProtection="1">
      <alignment horizontal="center" vertical="center"/>
    </xf>
    <xf numFmtId="4" fontId="5" fillId="0" borderId="81" xfId="4" applyNumberFormat="1" applyFont="1" applyBorder="1" applyAlignment="1">
      <alignment horizontal="center" vertical="center"/>
    </xf>
    <xf numFmtId="43" fontId="12" fillId="0" borderId="82" xfId="1" applyFont="1" applyFill="1" applyBorder="1" applyAlignment="1" applyProtection="1">
      <alignment horizontal="center" vertical="center"/>
    </xf>
    <xf numFmtId="43" fontId="12" fillId="0" borderId="84" xfId="1" applyFont="1" applyFill="1" applyBorder="1" applyAlignment="1" applyProtection="1">
      <alignment horizontal="center" vertical="center"/>
    </xf>
    <xf numFmtId="4" fontId="5" fillId="0" borderId="83" xfId="4" applyNumberFormat="1" applyFont="1" applyBorder="1" applyAlignment="1">
      <alignment horizontal="center" vertical="center"/>
    </xf>
    <xf numFmtId="4" fontId="5" fillId="0" borderId="210" xfId="4" applyNumberFormat="1" applyFont="1" applyBorder="1" applyAlignment="1">
      <alignment horizontal="center" vertical="center"/>
    </xf>
    <xf numFmtId="0" fontId="8" fillId="14" borderId="211" xfId="4" applyFont="1" applyFill="1" applyBorder="1" applyAlignment="1">
      <alignment horizontal="center" vertical="center" wrapText="1"/>
    </xf>
    <xf numFmtId="0" fontId="8" fillId="14" borderId="212" xfId="4" applyFont="1" applyFill="1" applyBorder="1" applyAlignment="1">
      <alignment horizontal="center" vertical="center" wrapText="1"/>
    </xf>
    <xf numFmtId="0" fontId="8" fillId="14" borderId="213" xfId="4" applyFont="1" applyFill="1" applyBorder="1" applyAlignment="1">
      <alignment horizontal="center" vertical="center" wrapText="1"/>
    </xf>
    <xf numFmtId="43" fontId="12" fillId="0" borderId="214" xfId="1" applyFont="1" applyFill="1" applyBorder="1" applyAlignment="1" applyProtection="1">
      <alignment horizontal="center" vertical="center"/>
    </xf>
    <xf numFmtId="4" fontId="5" fillId="0" borderId="215" xfId="4" applyNumberFormat="1" applyFont="1" applyBorder="1" applyAlignment="1">
      <alignment horizontal="center" vertical="center"/>
    </xf>
    <xf numFmtId="43" fontId="12" fillId="0" borderId="216" xfId="1" applyFont="1" applyFill="1" applyBorder="1" applyAlignment="1" applyProtection="1">
      <alignment horizontal="center" vertical="center"/>
    </xf>
    <xf numFmtId="4" fontId="5" fillId="0" borderId="217" xfId="4" applyNumberFormat="1" applyFont="1" applyBorder="1" applyAlignment="1">
      <alignment horizontal="center" vertical="center"/>
    </xf>
    <xf numFmtId="0" fontId="8" fillId="14" borderId="219" xfId="4" applyFont="1" applyFill="1" applyBorder="1" applyAlignment="1">
      <alignment horizontal="center" vertical="center" wrapText="1"/>
    </xf>
    <xf numFmtId="0" fontId="19" fillId="0" borderId="220" xfId="0" applyFont="1" applyBorder="1" applyAlignment="1">
      <alignment horizontal="center" vertical="center" wrapText="1"/>
    </xf>
    <xf numFmtId="0" fontId="8" fillId="0" borderId="226" xfId="8" applyFont="1" applyBorder="1" applyAlignment="1">
      <alignment horizontal="center" vertical="center"/>
    </xf>
    <xf numFmtId="1" fontId="8" fillId="0" borderId="227" xfId="14" applyNumberFormat="1" applyFont="1" applyBorder="1" applyAlignment="1">
      <alignment horizontal="center" vertical="center" wrapText="1"/>
    </xf>
    <xf numFmtId="0" fontId="8" fillId="0" borderId="89" xfId="4" applyFont="1" applyBorder="1" applyAlignment="1" applyProtection="1">
      <alignment horizontal="center" vertical="center"/>
      <protection locked="0"/>
    </xf>
    <xf numFmtId="0" fontId="8" fillId="0" borderId="2" xfId="4" applyFont="1" applyBorder="1" applyAlignment="1" applyProtection="1">
      <alignment horizontal="center" vertical="center"/>
      <protection locked="0"/>
    </xf>
    <xf numFmtId="2" fontId="8" fillId="0" borderId="89" xfId="4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31" fillId="0" borderId="0" xfId="4" applyFont="1" applyAlignment="1">
      <alignment horizontal="left" vertical="center"/>
    </xf>
    <xf numFmtId="44" fontId="8" fillId="0" borderId="0" xfId="7" applyFont="1" applyBorder="1" applyProtection="1"/>
    <xf numFmtId="0" fontId="5" fillId="0" borderId="0" xfId="4" applyFont="1" applyAlignment="1">
      <alignment vertical="center"/>
    </xf>
    <xf numFmtId="14" fontId="12" fillId="0" borderId="0" xfId="4" applyNumberFormat="1" applyFont="1" applyAlignment="1">
      <alignment horizontal="left" vertical="center"/>
    </xf>
    <xf numFmtId="0" fontId="5" fillId="0" borderId="0" xfId="0" applyFont="1"/>
    <xf numFmtId="0" fontId="12" fillId="0" borderId="0" xfId="4" applyFont="1" applyAlignment="1">
      <alignment vertical="center" wrapText="1"/>
    </xf>
    <xf numFmtId="168" fontId="10" fillId="0" borderId="0" xfId="4" applyNumberFormat="1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1" fontId="5" fillId="0" borderId="2" xfId="4" applyNumberFormat="1" applyFont="1" applyBorder="1" applyAlignment="1">
      <alignment horizontal="center" vertical="center"/>
    </xf>
    <xf numFmtId="0" fontId="5" fillId="0" borderId="2" xfId="4" applyFont="1" applyBorder="1" applyAlignment="1">
      <alignment vertical="center" wrapText="1"/>
    </xf>
    <xf numFmtId="10" fontId="5" fillId="0" borderId="2" xfId="3" applyNumberFormat="1" applyFont="1" applyFill="1" applyBorder="1" applyAlignment="1" applyProtection="1">
      <alignment horizontal="center" vertical="center"/>
    </xf>
    <xf numFmtId="4" fontId="12" fillId="0" borderId="2" xfId="1" applyNumberFormat="1" applyFont="1" applyFill="1" applyBorder="1" applyAlignment="1" applyProtection="1">
      <alignment horizontal="center" vertical="center"/>
    </xf>
    <xf numFmtId="43" fontId="15" fillId="7" borderId="2" xfId="1" applyFont="1" applyFill="1" applyBorder="1" applyAlignment="1" applyProtection="1">
      <alignment horizontal="center" vertical="center"/>
    </xf>
    <xf numFmtId="2" fontId="5" fillId="0" borderId="2" xfId="3" applyNumberFormat="1" applyFont="1" applyBorder="1" applyAlignment="1" applyProtection="1">
      <alignment horizontal="center" vertical="center"/>
    </xf>
    <xf numFmtId="0" fontId="12" fillId="0" borderId="0" xfId="4" applyFont="1" applyAlignment="1">
      <alignment vertical="center"/>
    </xf>
    <xf numFmtId="0" fontId="12" fillId="0" borderId="10" xfId="4" applyFont="1" applyBorder="1" applyAlignment="1">
      <alignment horizontal="center" vertical="center"/>
    </xf>
    <xf numFmtId="4" fontId="12" fillId="0" borderId="10" xfId="1" applyNumberFormat="1" applyFont="1" applyFill="1" applyBorder="1" applyAlignment="1" applyProtection="1">
      <alignment horizontal="center" vertical="center"/>
    </xf>
    <xf numFmtId="0" fontId="5" fillId="0" borderId="8" xfId="4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10" fontId="5" fillId="0" borderId="2" xfId="3" applyNumberFormat="1" applyFont="1" applyBorder="1" applyAlignment="1" applyProtection="1">
      <alignment horizontal="center" vertical="center"/>
    </xf>
    <xf numFmtId="0" fontId="5" fillId="0" borderId="14" xfId="4" applyFont="1" applyBorder="1" applyAlignment="1">
      <alignment vertical="center"/>
    </xf>
    <xf numFmtId="10" fontId="12" fillId="0" borderId="2" xfId="3" applyNumberFormat="1" applyFont="1" applyBorder="1" applyAlignment="1" applyProtection="1">
      <alignment horizontal="center" vertical="center"/>
    </xf>
    <xf numFmtId="0" fontId="5" fillId="0" borderId="39" xfId="4" applyFont="1" applyBorder="1" applyAlignment="1">
      <alignment vertical="center"/>
    </xf>
    <xf numFmtId="43" fontId="5" fillId="0" borderId="37" xfId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" fillId="0" borderId="89" xfId="0" applyNumberFormat="1" applyFont="1" applyBorder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43" fontId="5" fillId="0" borderId="0" xfId="1" applyFont="1" applyBorder="1" applyAlignment="1" applyProtection="1"/>
    <xf numFmtId="0" fontId="12" fillId="17" borderId="2" xfId="4" applyFont="1" applyFill="1" applyBorder="1" applyAlignment="1">
      <alignment horizontal="center" vertical="center"/>
    </xf>
    <xf numFmtId="0" fontId="12" fillId="17" borderId="2" xfId="4" applyFont="1" applyFill="1" applyBorder="1" applyAlignment="1">
      <alignment horizontal="center" vertical="center" wrapText="1"/>
    </xf>
    <xf numFmtId="10" fontId="2" fillId="0" borderId="2" xfId="4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5" fillId="0" borderId="0" xfId="4" applyFont="1" applyAlignment="1">
      <alignment horizontal="left"/>
    </xf>
    <xf numFmtId="0" fontId="12" fillId="18" borderId="2" xfId="6" applyNumberFormat="1" applyFont="1" applyFill="1" applyBorder="1" applyAlignment="1" applyProtection="1">
      <alignment horizontal="center" vertical="center" wrapText="1"/>
    </xf>
    <xf numFmtId="0" fontId="33" fillId="18" borderId="2" xfId="6" applyNumberFormat="1" applyFont="1" applyFill="1" applyBorder="1" applyAlignment="1" applyProtection="1">
      <alignment horizontal="center" vertical="center" wrapText="1"/>
    </xf>
    <xf numFmtId="44" fontId="2" fillId="0" borderId="2" xfId="7" applyFont="1" applyBorder="1" applyAlignment="1" applyProtection="1">
      <alignment horizontal="center" vertical="center"/>
    </xf>
    <xf numFmtId="44" fontId="5" fillId="0" borderId="2" xfId="7" applyFont="1" applyBorder="1" applyAlignment="1" applyProtection="1">
      <alignment horizontal="center" vertical="center"/>
    </xf>
    <xf numFmtId="0" fontId="5" fillId="0" borderId="82" xfId="4" applyFont="1" applyBorder="1"/>
    <xf numFmtId="0" fontId="5" fillId="0" borderId="10" xfId="4" applyFont="1" applyBorder="1"/>
    <xf numFmtId="0" fontId="5" fillId="0" borderId="160" xfId="4" applyFont="1" applyBorder="1"/>
    <xf numFmtId="0" fontId="5" fillId="0" borderId="41" xfId="4" applyFont="1" applyBorder="1"/>
    <xf numFmtId="0" fontId="5" fillId="0" borderId="8" xfId="4" applyFont="1" applyBorder="1"/>
    <xf numFmtId="0" fontId="5" fillId="0" borderId="11" xfId="4" applyFont="1" applyBorder="1"/>
    <xf numFmtId="0" fontId="5" fillId="0" borderId="39" xfId="4" applyFont="1" applyBorder="1"/>
    <xf numFmtId="0" fontId="5" fillId="0" borderId="21" xfId="4" applyFont="1" applyBorder="1"/>
    <xf numFmtId="49" fontId="25" fillId="0" borderId="80" xfId="29" applyNumberFormat="1" applyFont="1" applyBorder="1" applyAlignment="1">
      <alignment horizontal="center" vertical="center" wrapText="1"/>
    </xf>
    <xf numFmtId="4" fontId="49" fillId="34" borderId="80" xfId="29" applyNumberFormat="1" applyFont="1" applyFill="1" applyBorder="1" applyAlignment="1">
      <alignment vertical="center"/>
    </xf>
    <xf numFmtId="0" fontId="8" fillId="0" borderId="35" xfId="29" applyFont="1" applyBorder="1" applyAlignment="1">
      <alignment horizontal="center" vertical="center"/>
    </xf>
    <xf numFmtId="10" fontId="8" fillId="0" borderId="10" xfId="29" applyNumberFormat="1" applyFont="1" applyBorder="1" applyAlignment="1">
      <alignment horizontal="center" vertical="center"/>
    </xf>
    <xf numFmtId="4" fontId="8" fillId="23" borderId="10" xfId="30" applyNumberFormat="1" applyFont="1" applyFill="1" applyBorder="1" applyAlignment="1" applyProtection="1">
      <alignment vertical="center"/>
    </xf>
    <xf numFmtId="4" fontId="8" fillId="23" borderId="26" xfId="30" applyNumberFormat="1" applyFont="1" applyFill="1" applyBorder="1" applyAlignment="1" applyProtection="1">
      <alignment vertical="center"/>
    </xf>
    <xf numFmtId="0" fontId="8" fillId="0" borderId="208" xfId="29" applyFont="1" applyBorder="1" applyAlignment="1">
      <alignment horizontal="center" vertical="center"/>
    </xf>
    <xf numFmtId="10" fontId="38" fillId="0" borderId="222" xfId="29" applyNumberFormat="1" applyFont="1" applyBorder="1" applyAlignment="1">
      <alignment horizontal="center" vertical="center"/>
    </xf>
    <xf numFmtId="4" fontId="8" fillId="23" borderId="222" xfId="30" applyNumberFormat="1" applyFont="1" applyFill="1" applyBorder="1" applyAlignment="1" applyProtection="1">
      <alignment vertical="center"/>
    </xf>
    <xf numFmtId="4" fontId="8" fillId="23" borderId="209" xfId="30" applyNumberFormat="1" applyFont="1" applyFill="1" applyBorder="1" applyAlignment="1" applyProtection="1">
      <alignment vertical="center"/>
    </xf>
    <xf numFmtId="10" fontId="39" fillId="0" borderId="222" xfId="29" applyNumberFormat="1" applyFont="1" applyBorder="1" applyAlignment="1">
      <alignment horizontal="center" vertical="center"/>
    </xf>
    <xf numFmtId="4" fontId="13" fillId="23" borderId="222" xfId="30" applyNumberFormat="1" applyFont="1" applyFill="1" applyBorder="1" applyAlignment="1" applyProtection="1">
      <alignment horizontal="right" vertical="center"/>
    </xf>
    <xf numFmtId="4" fontId="13" fillId="23" borderId="209" xfId="30" applyNumberFormat="1" applyFont="1" applyFill="1" applyBorder="1" applyAlignment="1" applyProtection="1">
      <alignment horizontal="right" vertical="center"/>
    </xf>
    <xf numFmtId="0" fontId="39" fillId="24" borderId="208" xfId="29" applyFont="1" applyFill="1" applyBorder="1" applyAlignment="1" applyProtection="1">
      <alignment horizontal="center" vertical="center"/>
      <protection locked="0"/>
    </xf>
    <xf numFmtId="0" fontId="39" fillId="24" borderId="222" xfId="29" applyFont="1" applyFill="1" applyBorder="1" applyAlignment="1" applyProtection="1">
      <alignment vertical="center"/>
      <protection locked="0"/>
    </xf>
    <xf numFmtId="0" fontId="8" fillId="0" borderId="208" xfId="29" applyFont="1" applyBorder="1" applyAlignment="1" applyProtection="1">
      <alignment horizontal="center" vertical="center"/>
      <protection locked="0"/>
    </xf>
    <xf numFmtId="0" fontId="8" fillId="0" borderId="222" xfId="29" applyFont="1" applyBorder="1" applyAlignment="1" applyProtection="1">
      <alignment vertical="center"/>
      <protection locked="0"/>
    </xf>
    <xf numFmtId="4" fontId="8" fillId="0" borderId="222" xfId="29" applyNumberFormat="1" applyFont="1" applyBorder="1" applyAlignment="1" applyProtection="1">
      <alignment vertical="center"/>
      <protection locked="0"/>
    </xf>
    <xf numFmtId="4" fontId="8" fillId="0" borderId="209" xfId="29" applyNumberFormat="1" applyFont="1" applyBorder="1" applyAlignment="1" applyProtection="1">
      <alignment vertical="center"/>
      <protection locked="0"/>
    </xf>
    <xf numFmtId="4" fontId="39" fillId="0" borderId="222" xfId="29" applyNumberFormat="1" applyFont="1" applyBorder="1" applyAlignment="1" applyProtection="1">
      <alignment vertical="center"/>
      <protection locked="0"/>
    </xf>
    <xf numFmtId="4" fontId="39" fillId="0" borderId="209" xfId="29" applyNumberFormat="1" applyFont="1" applyBorder="1" applyAlignment="1" applyProtection="1">
      <alignment vertical="center"/>
      <protection locked="0"/>
    </xf>
    <xf numFmtId="10" fontId="39" fillId="24" borderId="222" xfId="29" applyNumberFormat="1" applyFont="1" applyFill="1" applyBorder="1" applyAlignment="1">
      <alignment horizontal="center" vertical="center"/>
    </xf>
    <xf numFmtId="10" fontId="8" fillId="0" borderId="222" xfId="29" applyNumberFormat="1" applyFont="1" applyBorder="1" applyAlignment="1" applyProtection="1">
      <alignment vertical="center" wrapText="1"/>
      <protection locked="0"/>
    </xf>
    <xf numFmtId="4" fontId="8" fillId="23" borderId="222" xfId="29" applyNumberFormat="1" applyFont="1" applyFill="1" applyBorder="1" applyAlignment="1">
      <alignment horizontal="right" vertical="center"/>
    </xf>
    <xf numFmtId="4" fontId="8" fillId="23" borderId="209" xfId="29" applyNumberFormat="1" applyFont="1" applyFill="1" applyBorder="1" applyAlignment="1">
      <alignment horizontal="right" vertical="center"/>
    </xf>
    <xf numFmtId="0" fontId="39" fillId="0" borderId="208" xfId="29" applyFont="1" applyBorder="1" applyAlignment="1" applyProtection="1">
      <alignment horizontal="center" vertical="center"/>
      <protection locked="0"/>
    </xf>
    <xf numFmtId="10" fontId="39" fillId="0" borderId="222" xfId="29" applyNumberFormat="1" applyFont="1" applyBorder="1" applyAlignment="1" applyProtection="1">
      <alignment vertical="center" wrapText="1"/>
      <protection locked="0"/>
    </xf>
    <xf numFmtId="4" fontId="39" fillId="23" borderId="222" xfId="29" applyNumberFormat="1" applyFont="1" applyFill="1" applyBorder="1" applyAlignment="1" applyProtection="1">
      <alignment horizontal="right" vertical="center"/>
      <protection locked="0"/>
    </xf>
    <xf numFmtId="4" fontId="39" fillId="23" borderId="209" xfId="29" applyNumberFormat="1" applyFont="1" applyFill="1" applyBorder="1" applyAlignment="1" applyProtection="1">
      <alignment horizontal="right" vertical="center"/>
      <protection locked="0"/>
    </xf>
    <xf numFmtId="0" fontId="8" fillId="23" borderId="208" xfId="29" applyFont="1" applyFill="1" applyBorder="1" applyAlignment="1" applyProtection="1">
      <alignment horizontal="center" vertical="center"/>
      <protection locked="0"/>
    </xf>
    <xf numFmtId="0" fontId="39" fillId="0" borderId="237" xfId="29" applyFont="1" applyBorder="1" applyAlignment="1" applyProtection="1">
      <alignment vertical="center"/>
      <protection locked="0"/>
    </xf>
    <xf numFmtId="0" fontId="8" fillId="0" borderId="238" xfId="29" applyFont="1" applyBorder="1" applyAlignment="1" applyProtection="1">
      <alignment vertical="center" wrapText="1"/>
      <protection locked="0"/>
    </xf>
    <xf numFmtId="4" fontId="39" fillId="0" borderId="238" xfId="29" applyNumberFormat="1" applyFont="1" applyBorder="1" applyAlignment="1" applyProtection="1">
      <alignment horizontal="right" vertical="center"/>
      <protection locked="0"/>
    </xf>
    <xf numFmtId="4" fontId="39" fillId="0" borderId="239" xfId="29" applyNumberFormat="1" applyFont="1" applyBorder="1" applyAlignment="1" applyProtection="1">
      <alignment horizontal="right" vertical="center"/>
      <protection locked="0"/>
    </xf>
    <xf numFmtId="0" fontId="39" fillId="24" borderId="35" xfId="29" applyFont="1" applyFill="1" applyBorder="1" applyAlignment="1">
      <alignment vertical="center"/>
    </xf>
    <xf numFmtId="0" fontId="39" fillId="24" borderId="10" xfId="29" applyFont="1" applyFill="1" applyBorder="1" applyAlignment="1">
      <alignment vertical="center"/>
    </xf>
    <xf numFmtId="0" fontId="8" fillId="0" borderId="222" xfId="29" applyFont="1" applyBorder="1" applyAlignment="1">
      <alignment vertical="center"/>
    </xf>
    <xf numFmtId="4" fontId="38" fillId="23" borderId="222" xfId="29" applyNumberFormat="1" applyFont="1" applyFill="1" applyBorder="1" applyAlignment="1">
      <alignment vertical="center"/>
    </xf>
    <xf numFmtId="4" fontId="38" fillId="23" borderId="209" xfId="29" applyNumberFormat="1" applyFont="1" applyFill="1" applyBorder="1" applyAlignment="1">
      <alignment vertical="center"/>
    </xf>
    <xf numFmtId="0" fontId="39" fillId="0" borderId="222" xfId="29" applyFont="1" applyBorder="1" applyAlignment="1">
      <alignment vertical="center"/>
    </xf>
    <xf numFmtId="4" fontId="39" fillId="23" borderId="222" xfId="29" applyNumberFormat="1" applyFont="1" applyFill="1" applyBorder="1" applyAlignment="1">
      <alignment vertical="center"/>
    </xf>
    <xf numFmtId="4" fontId="39" fillId="23" borderId="209" xfId="29" applyNumberFormat="1" applyFont="1" applyFill="1" applyBorder="1" applyAlignment="1">
      <alignment vertical="center"/>
    </xf>
    <xf numFmtId="0" fontId="8" fillId="0" borderId="237" xfId="29" applyFont="1" applyBorder="1" applyAlignment="1">
      <alignment horizontal="center" vertical="center"/>
    </xf>
    <xf numFmtId="0" fontId="8" fillId="0" borderId="238" xfId="29" applyFont="1" applyBorder="1" applyAlignment="1">
      <alignment vertical="center"/>
    </xf>
    <xf numFmtId="4" fontId="38" fillId="23" borderId="238" xfId="29" applyNumberFormat="1" applyFont="1" applyFill="1" applyBorder="1" applyAlignment="1">
      <alignment vertical="center"/>
    </xf>
    <xf numFmtId="4" fontId="38" fillId="23" borderId="239" xfId="29" applyNumberFormat="1" applyFont="1" applyFill="1" applyBorder="1" applyAlignment="1">
      <alignment vertical="center"/>
    </xf>
    <xf numFmtId="4" fontId="39" fillId="24" borderId="80" xfId="29" applyNumberFormat="1" applyFont="1" applyFill="1" applyBorder="1" applyAlignment="1">
      <alignment vertical="center"/>
    </xf>
    <xf numFmtId="1" fontId="5" fillId="0" borderId="127" xfId="12" applyNumberFormat="1" applyFont="1" applyBorder="1" applyAlignment="1">
      <alignment horizontal="center"/>
    </xf>
    <xf numFmtId="0" fontId="5" fillId="0" borderId="127" xfId="12" applyFont="1" applyBorder="1"/>
    <xf numFmtId="2" fontId="5" fillId="0" borderId="127" xfId="12" applyNumberFormat="1" applyFont="1" applyBorder="1" applyAlignment="1">
      <alignment horizontal="center"/>
    </xf>
    <xf numFmtId="4" fontId="5" fillId="0" borderId="128" xfId="12" applyNumberFormat="1" applyFont="1" applyBorder="1" applyAlignment="1">
      <alignment horizontal="center"/>
    </xf>
    <xf numFmtId="0" fontId="5" fillId="0" borderId="0" xfId="12" applyFont="1"/>
    <xf numFmtId="1" fontId="5" fillId="0" borderId="0" xfId="12" applyNumberFormat="1" applyFont="1" applyAlignment="1">
      <alignment horizontal="center"/>
    </xf>
    <xf numFmtId="2" fontId="5" fillId="0" borderId="0" xfId="12" applyNumberFormat="1" applyFont="1" applyAlignment="1">
      <alignment horizontal="center"/>
    </xf>
    <xf numFmtId="4" fontId="5" fillId="0" borderId="58" xfId="12" applyNumberFormat="1" applyFont="1" applyBorder="1" applyAlignment="1">
      <alignment horizontal="center"/>
    </xf>
    <xf numFmtId="0" fontId="5" fillId="0" borderId="118" xfId="12" applyFont="1" applyBorder="1" applyAlignment="1">
      <alignment horizontal="left" vertical="center"/>
    </xf>
    <xf numFmtId="0" fontId="5" fillId="0" borderId="0" xfId="12" applyFont="1" applyAlignment="1">
      <alignment vertical="center"/>
    </xf>
    <xf numFmtId="0" fontId="5" fillId="0" borderId="129" xfId="12" applyFont="1" applyBorder="1" applyAlignment="1">
      <alignment horizontal="center" vertical="center"/>
    </xf>
    <xf numFmtId="1" fontId="5" fillId="0" borderId="118" xfId="12" applyNumberFormat="1" applyFont="1" applyBorder="1" applyAlignment="1">
      <alignment horizontal="center" vertical="center"/>
    </xf>
    <xf numFmtId="2" fontId="5" fillId="0" borderId="118" xfId="12" applyNumberFormat="1" applyFont="1" applyBorder="1" applyAlignment="1">
      <alignment horizontal="center" vertical="center"/>
    </xf>
    <xf numFmtId="4" fontId="5" fillId="0" borderId="130" xfId="12" applyNumberFormat="1" applyFont="1" applyBorder="1" applyAlignment="1">
      <alignment horizontal="center" vertical="center"/>
    </xf>
    <xf numFmtId="0" fontId="13" fillId="0" borderId="101" xfId="12" applyFont="1" applyBorder="1" applyAlignment="1">
      <alignment horizontal="center" vertical="center"/>
    </xf>
    <xf numFmtId="0" fontId="42" fillId="0" borderId="96" xfId="12" applyFont="1" applyBorder="1" applyAlignment="1">
      <alignment horizontal="center" vertical="center"/>
    </xf>
    <xf numFmtId="1" fontId="42" fillId="0" borderId="96" xfId="12" applyNumberFormat="1" applyFont="1" applyBorder="1" applyAlignment="1">
      <alignment horizontal="center" vertical="center"/>
    </xf>
    <xf numFmtId="0" fontId="13" fillId="0" borderId="96" xfId="12" applyFont="1" applyBorder="1" applyAlignment="1">
      <alignment horizontal="center" vertical="center"/>
    </xf>
    <xf numFmtId="1" fontId="26" fillId="0" borderId="96" xfId="12" applyNumberFormat="1" applyFont="1" applyBorder="1" applyAlignment="1">
      <alignment horizontal="center" vertical="center" wrapText="1"/>
    </xf>
    <xf numFmtId="2" fontId="13" fillId="0" borderId="96" xfId="12" applyNumberFormat="1" applyFont="1" applyBorder="1" applyAlignment="1">
      <alignment horizontal="center" vertical="center" wrapText="1"/>
    </xf>
    <xf numFmtId="4" fontId="13" fillId="0" borderId="102" xfId="12" applyNumberFormat="1" applyFont="1" applyBorder="1" applyAlignment="1">
      <alignment horizontal="center" vertical="center"/>
    </xf>
    <xf numFmtId="0" fontId="8" fillId="0" borderId="96" xfId="12" applyFont="1" applyBorder="1" applyAlignment="1">
      <alignment vertical="center" wrapText="1"/>
    </xf>
    <xf numFmtId="0" fontId="8" fillId="0" borderId="96" xfId="12" applyFont="1" applyBorder="1" applyAlignment="1">
      <alignment horizontal="center" vertical="center" wrapText="1"/>
    </xf>
    <xf numFmtId="44" fontId="8" fillId="0" borderId="89" xfId="7" applyFont="1" applyBorder="1" applyAlignment="1" applyProtection="1">
      <alignment horizontal="center" vertical="center"/>
    </xf>
    <xf numFmtId="0" fontId="8" fillId="0" borderId="91" xfId="12" applyFont="1" applyBorder="1" applyAlignment="1">
      <alignment horizontal="center" vertical="center" wrapText="1"/>
    </xf>
    <xf numFmtId="0" fontId="8" fillId="0" borderId="119" xfId="12" applyFont="1" applyBorder="1" applyAlignment="1">
      <alignment horizontal="center" vertical="center"/>
    </xf>
    <xf numFmtId="1" fontId="9" fillId="0" borderId="87" xfId="12" applyNumberFormat="1" applyFont="1" applyBorder="1" applyAlignment="1">
      <alignment horizontal="center" vertical="center"/>
    </xf>
    <xf numFmtId="0" fontId="5" fillId="0" borderId="0" xfId="12" applyFont="1" applyAlignment="1">
      <alignment horizontal="center" vertical="center"/>
    </xf>
    <xf numFmtId="2" fontId="27" fillId="25" borderId="66" xfId="12" applyNumberFormat="1" applyFont="1" applyFill="1" applyBorder="1" applyAlignment="1">
      <alignment horizontal="center" vertical="center"/>
    </xf>
    <xf numFmtId="0" fontId="8" fillId="0" borderId="57" xfId="12" applyFont="1" applyBorder="1" applyAlignment="1">
      <alignment horizontal="center" vertical="center" wrapText="1"/>
    </xf>
    <xf numFmtId="0" fontId="8" fillId="0" borderId="0" xfId="12" applyFont="1" applyAlignment="1">
      <alignment horizontal="left" vertical="center"/>
    </xf>
    <xf numFmtId="0" fontId="8" fillId="0" borderId="0" xfId="12" applyFont="1" applyAlignment="1">
      <alignment vertical="center" wrapText="1"/>
    </xf>
    <xf numFmtId="0" fontId="13" fillId="0" borderId="91" xfId="12" applyFont="1" applyBorder="1" applyAlignment="1">
      <alignment horizontal="center" vertical="center"/>
    </xf>
    <xf numFmtId="0" fontId="42" fillId="0" borderId="89" xfId="12" applyFont="1" applyBorder="1" applyAlignment="1">
      <alignment horizontal="center" vertical="center"/>
    </xf>
    <xf numFmtId="1" fontId="42" fillId="0" borderId="89" xfId="12" applyNumberFormat="1" applyFont="1" applyBorder="1" applyAlignment="1">
      <alignment horizontal="center" vertical="center"/>
    </xf>
    <xf numFmtId="0" fontId="13" fillId="0" borderId="89" xfId="12" applyFont="1" applyBorder="1" applyAlignment="1">
      <alignment horizontal="center" vertical="center"/>
    </xf>
    <xf numFmtId="1" fontId="26" fillId="0" borderId="89" xfId="12" applyNumberFormat="1" applyFont="1" applyBorder="1" applyAlignment="1">
      <alignment horizontal="center" vertical="center" wrapText="1"/>
    </xf>
    <xf numFmtId="2" fontId="13" fillId="0" borderId="89" xfId="12" applyNumberFormat="1" applyFont="1" applyBorder="1" applyAlignment="1">
      <alignment horizontal="center" vertical="center" wrapText="1"/>
    </xf>
    <xf numFmtId="4" fontId="13" fillId="0" borderId="93" xfId="12" applyNumberFormat="1" applyFont="1" applyBorder="1" applyAlignment="1">
      <alignment horizontal="center" vertical="center"/>
    </xf>
    <xf numFmtId="0" fontId="13" fillId="5" borderId="135" xfId="6" applyNumberFormat="1" applyFont="1" applyFill="1" applyBorder="1" applyAlignment="1" applyProtection="1">
      <alignment horizontal="center" vertical="center" wrapText="1"/>
    </xf>
    <xf numFmtId="0" fontId="8" fillId="0" borderId="89" xfId="12" applyFont="1" applyBorder="1" applyAlignment="1">
      <alignment horizontal="center" vertical="center"/>
    </xf>
    <xf numFmtId="0" fontId="8" fillId="0" borderId="89" xfId="12" applyFont="1" applyBorder="1" applyAlignment="1">
      <alignment horizontal="center" vertical="center" wrapText="1"/>
    </xf>
    <xf numFmtId="0" fontId="8" fillId="0" borderId="35" xfId="12" applyFont="1" applyBorder="1" applyAlignment="1">
      <alignment horizontal="center" vertical="center" wrapText="1"/>
    </xf>
    <xf numFmtId="0" fontId="8" fillId="0" borderId="72" xfId="12" applyFont="1" applyBorder="1" applyAlignment="1">
      <alignment horizontal="center" vertical="center"/>
    </xf>
    <xf numFmtId="0" fontId="8" fillId="0" borderId="72" xfId="0" applyFont="1" applyBorder="1" applyAlignment="1">
      <alignment vertical="center" wrapText="1"/>
    </xf>
    <xf numFmtId="1" fontId="46" fillId="0" borderId="91" xfId="0" applyNumberFormat="1" applyFont="1" applyBorder="1" applyAlignment="1">
      <alignment horizontal="center" vertical="center"/>
    </xf>
    <xf numFmtId="2" fontId="27" fillId="25" borderId="76" xfId="12" applyNumberFormat="1" applyFont="1" applyFill="1" applyBorder="1" applyAlignment="1">
      <alignment horizontal="center" vertical="center"/>
    </xf>
    <xf numFmtId="0" fontId="27" fillId="0" borderId="57" xfId="12" applyFont="1" applyBorder="1" applyAlignment="1">
      <alignment horizontal="center" vertical="center"/>
    </xf>
    <xf numFmtId="0" fontId="27" fillId="0" borderId="0" xfId="12" applyFont="1" applyAlignment="1">
      <alignment horizontal="left" vertical="center"/>
    </xf>
    <xf numFmtId="1" fontId="27" fillId="0" borderId="0" xfId="12" applyNumberFormat="1" applyFont="1" applyAlignment="1">
      <alignment horizontal="center" vertical="center"/>
    </xf>
    <xf numFmtId="2" fontId="27" fillId="0" borderId="0" xfId="12" applyNumberFormat="1" applyFont="1" applyAlignment="1">
      <alignment horizontal="center" vertical="center"/>
    </xf>
    <xf numFmtId="1" fontId="46" fillId="0" borderId="91" xfId="12" applyNumberFormat="1" applyFont="1" applyBorder="1" applyAlignment="1">
      <alignment horizontal="center" vertical="center"/>
    </xf>
    <xf numFmtId="0" fontId="45" fillId="0" borderId="57" xfId="12" applyFont="1" applyBorder="1" applyAlignment="1">
      <alignment horizontal="center" vertical="center"/>
    </xf>
    <xf numFmtId="0" fontId="45" fillId="0" borderId="0" xfId="12" applyFont="1" applyAlignment="1">
      <alignment horizontal="left" vertical="center"/>
    </xf>
    <xf numFmtId="1" fontId="45" fillId="0" borderId="0" xfId="12" applyNumberFormat="1" applyFont="1" applyAlignment="1">
      <alignment horizontal="center" vertical="center"/>
    </xf>
    <xf numFmtId="2" fontId="45" fillId="0" borderId="0" xfId="12" applyNumberFormat="1" applyFont="1" applyAlignment="1">
      <alignment horizontal="center" vertical="center"/>
    </xf>
    <xf numFmtId="0" fontId="8" fillId="0" borderId="89" xfId="12" applyFont="1" applyBorder="1" applyAlignment="1">
      <alignment horizontal="left" vertical="center"/>
    </xf>
    <xf numFmtId="1" fontId="8" fillId="0" borderId="89" xfId="12" applyNumberFormat="1" applyFont="1" applyBorder="1" applyAlignment="1">
      <alignment horizontal="center" vertical="center"/>
    </xf>
    <xf numFmtId="0" fontId="1" fillId="0" borderId="0" xfId="0" applyFont="1"/>
    <xf numFmtId="4" fontId="1" fillId="0" borderId="9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2" applyFont="1" applyAlignment="1">
      <alignment horizontal="center"/>
    </xf>
    <xf numFmtId="4" fontId="5" fillId="0" borderId="0" xfId="12" applyNumberFormat="1" applyFont="1" applyAlignment="1">
      <alignment horizontal="center"/>
    </xf>
    <xf numFmtId="2" fontId="8" fillId="2" borderId="8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72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9" xfId="12" applyNumberFormat="1" applyFont="1" applyFill="1" applyBorder="1" applyAlignment="1" applyProtection="1">
      <alignment horizontal="center" vertical="center"/>
      <protection locked="0"/>
    </xf>
    <xf numFmtId="0" fontId="7" fillId="0" borderId="54" xfId="0" applyFont="1" applyBorder="1"/>
    <xf numFmtId="0" fontId="7" fillId="0" borderId="55" xfId="0" applyFont="1" applyBorder="1" applyAlignment="1">
      <alignment vertical="center"/>
    </xf>
    <xf numFmtId="0" fontId="10" fillId="0" borderId="55" xfId="12" applyFont="1" applyBorder="1" applyAlignment="1">
      <alignment horizontal="center"/>
    </xf>
    <xf numFmtId="0" fontId="10" fillId="0" borderId="55" xfId="12" applyFont="1" applyBorder="1"/>
    <xf numFmtId="0" fontId="10" fillId="0" borderId="56" xfId="12" applyFont="1" applyBorder="1"/>
    <xf numFmtId="0" fontId="7" fillId="0" borderId="57" xfId="0" applyFont="1" applyBorder="1"/>
    <xf numFmtId="0" fontId="10" fillId="0" borderId="0" xfId="12" applyFont="1" applyAlignment="1">
      <alignment horizontal="center"/>
    </xf>
    <xf numFmtId="0" fontId="10" fillId="0" borderId="0" xfId="12" applyFont="1"/>
    <xf numFmtId="0" fontId="10" fillId="0" borderId="58" xfId="12" applyFont="1" applyBorder="1"/>
    <xf numFmtId="0" fontId="19" fillId="0" borderId="57" xfId="0" applyFont="1" applyBorder="1"/>
    <xf numFmtId="0" fontId="27" fillId="0" borderId="0" xfId="12" applyFont="1" applyAlignment="1">
      <alignment horizontal="center" vertical="center"/>
    </xf>
    <xf numFmtId="9" fontId="28" fillId="0" borderId="58" xfId="12" applyNumberFormat="1" applyFont="1" applyBorder="1" applyAlignment="1">
      <alignment horizontal="center" vertical="center"/>
    </xf>
    <xf numFmtId="0" fontId="8" fillId="0" borderId="116" xfId="0" applyFont="1" applyBorder="1" applyAlignment="1">
      <alignment horizontal="left" vertical="center" wrapText="1"/>
    </xf>
    <xf numFmtId="4" fontId="8" fillId="28" borderId="96" xfId="1" applyNumberFormat="1" applyFont="1" applyFill="1" applyBorder="1" applyAlignment="1" applyProtection="1">
      <alignment horizontal="center" vertical="center"/>
      <protection locked="0"/>
    </xf>
    <xf numFmtId="4" fontId="8" fillId="28" borderId="9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6" applyFont="1" applyAlignment="1">
      <alignment vertical="center"/>
    </xf>
    <xf numFmtId="0" fontId="5" fillId="0" borderId="0" xfId="16" applyFont="1" applyAlignment="1">
      <alignment horizontal="center" vertical="center"/>
    </xf>
    <xf numFmtId="4" fontId="5" fillId="0" borderId="0" xfId="16" applyNumberFormat="1" applyFont="1" applyAlignment="1">
      <alignment horizontal="center" vertical="center"/>
    </xf>
    <xf numFmtId="0" fontId="8" fillId="0" borderId="0" xfId="21" applyFont="1"/>
    <xf numFmtId="0" fontId="13" fillId="14" borderId="89" xfId="16" applyFont="1" applyFill="1" applyBorder="1" applyAlignment="1">
      <alignment horizontal="center" vertical="center"/>
    </xf>
    <xf numFmtId="0" fontId="25" fillId="14" borderId="89" xfId="8" applyFont="1" applyFill="1" applyBorder="1" applyAlignment="1">
      <alignment horizontal="center" vertical="center" wrapText="1"/>
    </xf>
    <xf numFmtId="0" fontId="26" fillId="14" borderId="89" xfId="8" applyFont="1" applyFill="1" applyBorder="1" applyAlignment="1">
      <alignment horizontal="center" vertical="center" wrapText="1"/>
    </xf>
    <xf numFmtId="0" fontId="26" fillId="14" borderId="89" xfId="16" applyFont="1" applyFill="1" applyBorder="1" applyAlignment="1">
      <alignment horizontal="center" vertical="center" wrapText="1"/>
    </xf>
    <xf numFmtId="0" fontId="8" fillId="0" borderId="89" xfId="16" applyFont="1" applyBorder="1" applyAlignment="1">
      <alignment horizontal="center" vertical="center" wrapText="1"/>
    </xf>
    <xf numFmtId="0" fontId="8" fillId="0" borderId="89" xfId="16" applyFont="1" applyBorder="1" applyAlignment="1">
      <alignment horizontal="center" vertical="center"/>
    </xf>
    <xf numFmtId="0" fontId="7" fillId="0" borderId="89" xfId="21" applyFont="1" applyBorder="1" applyAlignment="1">
      <alignment horizontal="center" vertical="center" wrapText="1"/>
    </xf>
    <xf numFmtId="0" fontId="8" fillId="0" borderId="89" xfId="8" applyFont="1" applyBorder="1" applyAlignment="1">
      <alignment horizontal="center" vertical="center"/>
    </xf>
    <xf numFmtId="0" fontId="8" fillId="0" borderId="0" xfId="16" applyFont="1" applyAlignment="1">
      <alignment horizontal="center" vertical="center" wrapText="1"/>
    </xf>
    <xf numFmtId="0" fontId="8" fillId="0" borderId="0" xfId="16" applyFont="1" applyAlignment="1">
      <alignment horizontal="center" vertical="center"/>
    </xf>
    <xf numFmtId="0" fontId="7" fillId="0" borderId="0" xfId="21" applyFont="1" applyAlignment="1">
      <alignment horizontal="left" vertical="center" wrapText="1"/>
    </xf>
    <xf numFmtId="0" fontId="8" fillId="0" borderId="0" xfId="16" applyFont="1" applyAlignment="1">
      <alignment vertical="center" wrapText="1"/>
    </xf>
    <xf numFmtId="0" fontId="8" fillId="0" borderId="0" xfId="8" applyFont="1" applyAlignment="1">
      <alignment horizontal="center" vertical="center" wrapText="1"/>
    </xf>
    <xf numFmtId="164" fontId="8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0" xfId="21" applyNumberFormat="1" applyFont="1" applyAlignment="1">
      <alignment horizontal="right" vertical="center"/>
    </xf>
    <xf numFmtId="2" fontId="8" fillId="2" borderId="89" xfId="21" applyNumberFormat="1" applyFont="1" applyFill="1" applyBorder="1" applyAlignment="1" applyProtection="1">
      <alignment horizontal="center" vertical="center"/>
      <protection locked="0"/>
    </xf>
    <xf numFmtId="0" fontId="8" fillId="0" borderId="54" xfId="12" applyFont="1" applyBorder="1"/>
    <xf numFmtId="0" fontId="8" fillId="0" borderId="55" xfId="8" applyFont="1" applyBorder="1"/>
    <xf numFmtId="0" fontId="8" fillId="0" borderId="55" xfId="8" applyFont="1" applyBorder="1" applyAlignment="1">
      <alignment horizontal="center" vertical="center"/>
    </xf>
    <xf numFmtId="0" fontId="8" fillId="0" borderId="56" xfId="8" applyFont="1" applyBorder="1"/>
    <xf numFmtId="0" fontId="8" fillId="0" borderId="57" xfId="12" applyFont="1" applyBorder="1"/>
    <xf numFmtId="0" fontId="8" fillId="0" borderId="58" xfId="8" applyFont="1" applyBorder="1"/>
    <xf numFmtId="0" fontId="31" fillId="0" borderId="0" xfId="12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3" fillId="14" borderId="96" xfId="8" applyFont="1" applyFill="1" applyBorder="1" applyAlignment="1">
      <alignment horizontal="center" vertical="center" wrapText="1"/>
    </xf>
    <xf numFmtId="0" fontId="25" fillId="14" borderId="96" xfId="8" applyFont="1" applyFill="1" applyBorder="1" applyAlignment="1">
      <alignment horizontal="center" vertical="center" wrapText="1"/>
    </xf>
    <xf numFmtId="0" fontId="13" fillId="27" borderId="72" xfId="8" applyFont="1" applyFill="1" applyBorder="1" applyAlignment="1">
      <alignment horizontal="center" vertical="center" wrapText="1"/>
    </xf>
    <xf numFmtId="0" fontId="13" fillId="27" borderId="73" xfId="8" applyFont="1" applyFill="1" applyBorder="1" applyAlignment="1">
      <alignment horizontal="center" vertical="center" wrapText="1"/>
    </xf>
    <xf numFmtId="0" fontId="13" fillId="27" borderId="10" xfId="8" applyFont="1" applyFill="1" applyBorder="1" applyAlignment="1">
      <alignment horizontal="center" vertical="center" wrapText="1"/>
    </xf>
    <xf numFmtId="0" fontId="8" fillId="10" borderId="105" xfId="8" applyFont="1" applyFill="1" applyBorder="1" applyAlignment="1">
      <alignment horizontal="center" vertical="center" wrapText="1"/>
    </xf>
    <xf numFmtId="0" fontId="8" fillId="0" borderId="96" xfId="8" applyFont="1" applyBorder="1" applyAlignment="1">
      <alignment horizontal="left" vertical="center" wrapText="1"/>
    </xf>
    <xf numFmtId="0" fontId="8" fillId="0" borderId="96" xfId="8" applyFont="1" applyBorder="1" applyAlignment="1">
      <alignment horizontal="center" vertical="center" wrapText="1"/>
    </xf>
    <xf numFmtId="166" fontId="8" fillId="0" borderId="96" xfId="8" applyNumberFormat="1" applyFont="1" applyBorder="1" applyAlignment="1">
      <alignment horizontal="center" vertical="center" wrapText="1"/>
    </xf>
    <xf numFmtId="1" fontId="7" fillId="0" borderId="105" xfId="10" applyNumberFormat="1" applyFont="1" applyBorder="1" applyAlignment="1">
      <alignment horizontal="center" vertical="center" wrapText="1"/>
    </xf>
    <xf numFmtId="0" fontId="8" fillId="0" borderId="96" xfId="0" applyFont="1" applyBorder="1" applyAlignment="1">
      <alignment horizontal="left" vertical="center" wrapText="1"/>
    </xf>
    <xf numFmtId="0" fontId="8" fillId="0" borderId="96" xfId="10" applyFont="1" applyBorder="1" applyAlignment="1">
      <alignment horizontal="center" vertical="center" wrapText="1"/>
    </xf>
    <xf numFmtId="1" fontId="8" fillId="0" borderId="96" xfId="12" applyNumberFormat="1" applyFont="1" applyBorder="1" applyAlignment="1">
      <alignment horizontal="center" vertical="center" wrapText="1"/>
    </xf>
    <xf numFmtId="1" fontId="7" fillId="10" borderId="105" xfId="10" applyNumberFormat="1" applyFont="1" applyFill="1" applyBorder="1" applyAlignment="1">
      <alignment horizontal="center" vertical="center" wrapText="1"/>
    </xf>
    <xf numFmtId="0" fontId="27" fillId="0" borderId="0" xfId="8" applyFont="1" applyAlignment="1">
      <alignment vertical="center"/>
    </xf>
    <xf numFmtId="0" fontId="8" fillId="0" borderId="57" xfId="8" applyFont="1" applyBorder="1" applyAlignment="1">
      <alignment horizontal="center" vertical="center"/>
    </xf>
    <xf numFmtId="0" fontId="1" fillId="0" borderId="58" xfId="0" applyFont="1" applyBorder="1"/>
    <xf numFmtId="0" fontId="13" fillId="0" borderId="57" xfId="8" applyFont="1" applyBorder="1" applyAlignment="1">
      <alignment horizontal="center" vertical="center"/>
    </xf>
    <xf numFmtId="0" fontId="13" fillId="0" borderId="58" xfId="8" applyFont="1" applyBorder="1" applyAlignment="1">
      <alignment horizontal="center" vertical="center"/>
    </xf>
    <xf numFmtId="0" fontId="25" fillId="27" borderId="72" xfId="8" applyFont="1" applyFill="1" applyBorder="1" applyAlignment="1">
      <alignment horizontal="center" vertical="center"/>
    </xf>
    <xf numFmtId="0" fontId="25" fillId="27" borderId="72" xfId="8" applyFont="1" applyFill="1" applyBorder="1" applyAlignment="1">
      <alignment horizontal="center" vertical="center" wrapText="1"/>
    </xf>
    <xf numFmtId="1" fontId="8" fillId="0" borderId="96" xfId="14" applyNumberFormat="1" applyFont="1" applyBorder="1" applyAlignment="1">
      <alignment horizontal="center" vertical="center" wrapText="1"/>
    </xf>
    <xf numFmtId="164" fontId="13" fillId="14" borderId="111" xfId="8" applyNumberFormat="1" applyFont="1" applyFill="1" applyBorder="1" applyAlignment="1">
      <alignment vertical="center"/>
    </xf>
    <xf numFmtId="0" fontId="25" fillId="14" borderId="72" xfId="8" applyFont="1" applyFill="1" applyBorder="1" applyAlignment="1">
      <alignment horizontal="center" vertical="center" wrapText="1"/>
    </xf>
    <xf numFmtId="4" fontId="8" fillId="0" borderId="96" xfId="9" applyNumberFormat="1" applyFont="1" applyBorder="1" applyAlignment="1" applyProtection="1">
      <alignment horizontal="center" vertical="center"/>
    </xf>
    <xf numFmtId="4" fontId="13" fillId="14" borderId="110" xfId="1" applyNumberFormat="1" applyFont="1" applyFill="1" applyBorder="1" applyAlignment="1" applyProtection="1">
      <alignment horizontal="center" vertical="center"/>
    </xf>
    <xf numFmtId="0" fontId="13" fillId="2" borderId="102" xfId="8" applyFont="1" applyFill="1" applyBorder="1" applyAlignment="1" applyProtection="1">
      <alignment horizontal="center" vertical="center" wrapText="1"/>
      <protection locked="0"/>
    </xf>
    <xf numFmtId="0" fontId="8" fillId="2" borderId="102" xfId="8" applyFont="1" applyFill="1" applyBorder="1" applyAlignment="1" applyProtection="1">
      <alignment vertical="center" wrapText="1"/>
      <protection locked="0"/>
    </xf>
    <xf numFmtId="0" fontId="8" fillId="2" borderId="102" xfId="8" applyFont="1" applyFill="1" applyBorder="1" applyAlignment="1" applyProtection="1">
      <alignment vertical="center"/>
      <protection locked="0"/>
    </xf>
    <xf numFmtId="10" fontId="19" fillId="2" borderId="209" xfId="18" applyNumberFormat="1" applyFont="1" applyFill="1" applyBorder="1" applyAlignment="1" applyProtection="1">
      <alignment horizontal="center" vertical="center"/>
      <protection locked="0"/>
    </xf>
    <xf numFmtId="4" fontId="5" fillId="0" borderId="2" xfId="1" applyNumberFormat="1" applyFont="1" applyFill="1" applyBorder="1" applyAlignment="1" applyProtection="1">
      <alignment horizontal="center" vertical="center"/>
    </xf>
    <xf numFmtId="4" fontId="5" fillId="0" borderId="2" xfId="4" applyNumberFormat="1" applyFont="1" applyBorder="1" applyAlignment="1">
      <alignment horizontal="center" vertical="center"/>
    </xf>
    <xf numFmtId="3" fontId="5" fillId="0" borderId="2" xfId="4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89" xfId="0" applyFont="1" applyBorder="1"/>
    <xf numFmtId="0" fontId="7" fillId="0" borderId="234" xfId="0" applyFont="1" applyBorder="1" applyAlignment="1">
      <alignment vertical="center"/>
    </xf>
    <xf numFmtId="0" fontId="7" fillId="0" borderId="235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35" fillId="0" borderId="208" xfId="0" applyFont="1" applyBorder="1" applyAlignment="1">
      <alignment horizontal="center"/>
    </xf>
    <xf numFmtId="0" fontId="35" fillId="0" borderId="222" xfId="0" applyFont="1" applyBorder="1" applyAlignment="1">
      <alignment horizontal="center"/>
    </xf>
    <xf numFmtId="0" fontId="35" fillId="0" borderId="209" xfId="0" applyFont="1" applyBorder="1" applyAlignment="1">
      <alignment horizontal="center"/>
    </xf>
    <xf numFmtId="0" fontId="36" fillId="14" borderId="208" xfId="0" applyFont="1" applyFill="1" applyBorder="1" applyAlignment="1">
      <alignment horizontal="center" vertical="center"/>
    </xf>
    <xf numFmtId="0" fontId="19" fillId="0" borderId="208" xfId="0" applyFont="1" applyBorder="1" applyAlignment="1">
      <alignment horizontal="center" vertical="center"/>
    </xf>
    <xf numFmtId="0" fontId="19" fillId="0" borderId="222" xfId="0" applyFont="1" applyBorder="1" applyAlignment="1">
      <alignment vertical="center"/>
    </xf>
    <xf numFmtId="10" fontId="19" fillId="2" borderId="209" xfId="18" applyNumberFormat="1" applyFont="1" applyFill="1" applyBorder="1" applyAlignment="1">
      <alignment horizontal="center" vertical="center"/>
    </xf>
    <xf numFmtId="10" fontId="19" fillId="0" borderId="209" xfId="18" applyNumberFormat="1" applyFont="1" applyBorder="1" applyAlignment="1">
      <alignment horizontal="center" vertical="center"/>
    </xf>
    <xf numFmtId="2" fontId="0" fillId="0" borderId="0" xfId="0" applyNumberFormat="1"/>
    <xf numFmtId="10" fontId="36" fillId="14" borderId="209" xfId="19" applyNumberFormat="1" applyFont="1" applyFill="1" applyBorder="1" applyAlignment="1" applyProtection="1">
      <alignment horizontal="center" vertical="center"/>
    </xf>
    <xf numFmtId="0" fontId="19" fillId="0" borderId="229" xfId="0" applyFont="1" applyBorder="1" applyAlignment="1">
      <alignment vertical="center"/>
    </xf>
    <xf numFmtId="10" fontId="37" fillId="26" borderId="209" xfId="3" applyNumberFormat="1" applyFont="1" applyFill="1" applyBorder="1" applyAlignment="1" applyProtection="1">
      <alignment horizontal="center" vertical="center"/>
    </xf>
    <xf numFmtId="10" fontId="25" fillId="0" borderId="209" xfId="18" applyNumberFormat="1" applyFont="1" applyBorder="1" applyAlignment="1">
      <alignment horizontal="center" vertical="center"/>
    </xf>
    <xf numFmtId="10" fontId="38" fillId="0" borderId="26" xfId="0" applyNumberFormat="1" applyFont="1" applyBorder="1" applyAlignment="1">
      <alignment horizontal="center" vertical="center"/>
    </xf>
    <xf numFmtId="10" fontId="39" fillId="0" borderId="209" xfId="0" applyNumberFormat="1" applyFont="1" applyBorder="1" applyAlignment="1">
      <alignment horizontal="center" vertical="center"/>
    </xf>
    <xf numFmtId="0" fontId="25" fillId="0" borderId="208" xfId="0" applyFont="1" applyBorder="1" applyAlignment="1">
      <alignment horizontal="center" vertical="center"/>
    </xf>
    <xf numFmtId="0" fontId="25" fillId="0" borderId="222" xfId="0" applyFont="1" applyBorder="1" applyAlignment="1">
      <alignment horizontal="left" vertical="center"/>
    </xf>
    <xf numFmtId="10" fontId="25" fillId="0" borderId="209" xfId="19" applyNumberFormat="1" applyFont="1" applyBorder="1" applyAlignment="1" applyProtection="1">
      <alignment horizontal="center" vertical="center"/>
    </xf>
    <xf numFmtId="0" fontId="8" fillId="22" borderId="91" xfId="5" applyFont="1" applyFill="1" applyBorder="1" applyAlignment="1">
      <alignment horizontal="center" vertical="center" wrapText="1"/>
    </xf>
    <xf numFmtId="0" fontId="8" fillId="22" borderId="92" xfId="5" applyFont="1" applyFill="1" applyBorder="1" applyAlignment="1">
      <alignment horizontal="center" vertical="center" wrapText="1"/>
    </xf>
    <xf numFmtId="10" fontId="8" fillId="22" borderId="92" xfId="5" applyNumberFormat="1" applyFont="1" applyFill="1" applyBorder="1" applyAlignment="1">
      <alignment horizontal="center" vertical="center" wrapText="1"/>
    </xf>
    <xf numFmtId="10" fontId="14" fillId="22" borderId="93" xfId="5" applyNumberFormat="1" applyFont="1" applyFill="1" applyBorder="1" applyAlignment="1">
      <alignment horizontal="center" vertical="center" wrapText="1"/>
    </xf>
    <xf numFmtId="10" fontId="19" fillId="0" borderId="228" xfId="18" applyNumberFormat="1" applyFont="1" applyBorder="1" applyAlignment="1">
      <alignment horizontal="center" vertical="center"/>
    </xf>
    <xf numFmtId="0" fontId="19" fillId="0" borderId="91" xfId="5" applyFont="1" applyBorder="1" applyAlignment="1">
      <alignment horizontal="center" vertical="center" wrapText="1"/>
    </xf>
    <xf numFmtId="10" fontId="19" fillId="0" borderId="92" xfId="5" applyNumberFormat="1" applyFont="1" applyBorder="1" applyAlignment="1">
      <alignment horizontal="center" vertical="center" wrapText="1"/>
    </xf>
    <xf numFmtId="10" fontId="19" fillId="0" borderId="93" xfId="5" applyNumberFormat="1" applyFont="1" applyBorder="1" applyAlignment="1">
      <alignment horizontal="center" vertical="center" wrapText="1"/>
    </xf>
    <xf numFmtId="0" fontId="25" fillId="22" borderId="91" xfId="5" applyFont="1" applyFill="1" applyBorder="1" applyAlignment="1">
      <alignment horizontal="center" vertical="center" wrapText="1"/>
    </xf>
    <xf numFmtId="10" fontId="25" fillId="22" borderId="92" xfId="5" applyNumberFormat="1" applyFont="1" applyFill="1" applyBorder="1" applyAlignment="1">
      <alignment horizontal="center" vertical="center" wrapText="1"/>
    </xf>
    <xf numFmtId="10" fontId="25" fillId="22" borderId="93" xfId="5" applyNumberFormat="1" applyFont="1" applyFill="1" applyBorder="1" applyAlignment="1">
      <alignment horizontal="center" vertical="center" wrapText="1"/>
    </xf>
    <xf numFmtId="10" fontId="36" fillId="14" borderId="228" xfId="19" applyNumberFormat="1" applyFont="1" applyFill="1" applyBorder="1" applyAlignment="1" applyProtection="1">
      <alignment horizontal="center" vertical="center"/>
    </xf>
    <xf numFmtId="0" fontId="25" fillId="0" borderId="91" xfId="5" applyFont="1" applyBorder="1" applyAlignment="1">
      <alignment horizontal="center" vertical="center" wrapText="1"/>
    </xf>
    <xf numFmtId="10" fontId="25" fillId="0" borderId="92" xfId="5" applyNumberFormat="1" applyFont="1" applyBorder="1" applyAlignment="1">
      <alignment horizontal="center" vertical="center" wrapText="1"/>
    </xf>
    <xf numFmtId="10" fontId="41" fillId="0" borderId="93" xfId="5" applyNumberFormat="1" applyFont="1" applyBorder="1" applyAlignment="1">
      <alignment horizontal="center" vertical="center" wrapText="1"/>
    </xf>
    <xf numFmtId="0" fontId="37" fillId="26" borderId="57" xfId="0" applyFont="1" applyFill="1" applyBorder="1" applyAlignment="1">
      <alignment horizontal="left" vertical="center"/>
    </xf>
    <xf numFmtId="0" fontId="37" fillId="26" borderId="0" xfId="0" applyFont="1" applyFill="1"/>
    <xf numFmtId="0" fontId="37" fillId="26" borderId="58" xfId="0" applyFont="1" applyFill="1" applyBorder="1"/>
    <xf numFmtId="0" fontId="25" fillId="22" borderId="15" xfId="5" applyFont="1" applyFill="1" applyBorder="1" applyAlignment="1">
      <alignment horizontal="center" vertical="center" wrapText="1"/>
    </xf>
    <xf numFmtId="10" fontId="25" fillId="22" borderId="16" xfId="5" applyNumberFormat="1" applyFont="1" applyFill="1" applyBorder="1" applyAlignment="1">
      <alignment horizontal="center" vertical="center" wrapText="1"/>
    </xf>
    <xf numFmtId="10" fontId="41" fillId="22" borderId="17" xfId="5" applyNumberFormat="1" applyFont="1" applyFill="1" applyBorder="1" applyAlignment="1">
      <alignment horizontal="center" vertical="center" wrapText="1"/>
    </xf>
    <xf numFmtId="44" fontId="51" fillId="0" borderId="89" xfId="7" applyFont="1" applyBorder="1" applyAlignment="1" applyProtection="1">
      <alignment horizontal="center" vertical="center"/>
    </xf>
    <xf numFmtId="0" fontId="50" fillId="5" borderId="135" xfId="6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3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8" fillId="35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21" applyFont="1"/>
    <xf numFmtId="0" fontId="53" fillId="0" borderId="0" xfId="0" applyFont="1"/>
    <xf numFmtId="0" fontId="19" fillId="0" borderId="0" xfId="12" applyFont="1" applyAlignment="1">
      <alignment horizontal="left"/>
    </xf>
    <xf numFmtId="0" fontId="32" fillId="0" borderId="126" xfId="12" applyFont="1" applyBorder="1" applyAlignment="1">
      <alignment horizontal="left" vertical="center"/>
    </xf>
    <xf numFmtId="0" fontId="32" fillId="0" borderId="127" xfId="12" applyFont="1" applyBorder="1" applyAlignment="1">
      <alignment horizontal="left"/>
    </xf>
    <xf numFmtId="1" fontId="32" fillId="0" borderId="127" xfId="12" applyNumberFormat="1" applyFont="1" applyBorder="1" applyAlignment="1">
      <alignment horizontal="center"/>
    </xf>
    <xf numFmtId="0" fontId="32" fillId="0" borderId="127" xfId="12" applyFont="1" applyBorder="1"/>
    <xf numFmtId="0" fontId="32" fillId="0" borderId="57" xfId="12" applyFont="1" applyBorder="1" applyAlignment="1">
      <alignment horizontal="left" vertical="center"/>
    </xf>
    <xf numFmtId="0" fontId="32" fillId="0" borderId="0" xfId="12" applyFont="1" applyAlignment="1">
      <alignment horizontal="left"/>
    </xf>
    <xf numFmtId="1" fontId="32" fillId="0" borderId="0" xfId="12" applyNumberFormat="1" applyFont="1" applyAlignment="1">
      <alignment horizontal="center"/>
    </xf>
    <xf numFmtId="0" fontId="32" fillId="0" borderId="0" xfId="12" applyFont="1"/>
    <xf numFmtId="0" fontId="19" fillId="0" borderId="55" xfId="12" applyFont="1" applyBorder="1" applyAlignment="1">
      <alignment horizontal="left"/>
    </xf>
    <xf numFmtId="0" fontId="19" fillId="0" borderId="5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2" fillId="0" borderId="0" xfId="4" applyFont="1" applyAlignment="1">
      <alignment vertical="center"/>
    </xf>
    <xf numFmtId="0" fontId="10" fillId="0" borderId="0" xfId="29" applyFont="1"/>
    <xf numFmtId="0" fontId="8" fillId="14" borderId="2" xfId="4" applyFont="1" applyFill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/>
    </xf>
    <xf numFmtId="0" fontId="5" fillId="0" borderId="0" xfId="8" applyFont="1"/>
    <xf numFmtId="0" fontId="12" fillId="0" borderId="0" xfId="8" applyFont="1" applyAlignment="1">
      <alignment horizontal="center" vertical="center"/>
    </xf>
    <xf numFmtId="0" fontId="19" fillId="0" borderId="0" xfId="12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5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54" xfId="12" applyFont="1" applyBorder="1" applyAlignment="1">
      <alignment horizontal="center" vertical="center"/>
    </xf>
    <xf numFmtId="0" fontId="13" fillId="0" borderId="57" xfId="12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4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0" xfId="4" applyFont="1" applyAlignment="1">
      <alignment vertical="top"/>
    </xf>
    <xf numFmtId="0" fontId="5" fillId="0" borderId="0" xfId="4" applyFont="1" applyAlignment="1">
      <alignment horizontal="center" vertical="top"/>
    </xf>
    <xf numFmtId="0" fontId="9" fillId="0" borderId="0" xfId="4" applyFont="1" applyAlignment="1">
      <alignment vertical="top"/>
    </xf>
    <xf numFmtId="0" fontId="18" fillId="22" borderId="93" xfId="5" applyFont="1" applyFill="1" applyBorder="1" applyAlignment="1">
      <alignment horizontal="center" vertical="center" wrapText="1"/>
    </xf>
    <xf numFmtId="0" fontId="13" fillId="14" borderId="101" xfId="12" applyFont="1" applyFill="1" applyBorder="1" applyAlignment="1">
      <alignment horizontal="center" vertical="center" wrapText="1"/>
    </xf>
    <xf numFmtId="0" fontId="13" fillId="14" borderId="96" xfId="12" applyFont="1" applyFill="1" applyBorder="1" applyAlignment="1">
      <alignment horizontal="center" vertical="center" wrapText="1"/>
    </xf>
    <xf numFmtId="4" fontId="13" fillId="14" borderId="96" xfId="12" applyNumberFormat="1" applyFont="1" applyFill="1" applyBorder="1" applyAlignment="1">
      <alignment horizontal="center" vertical="center" wrapText="1"/>
    </xf>
    <xf numFmtId="4" fontId="13" fillId="14" borderId="102" xfId="12" applyNumberFormat="1" applyFont="1" applyFill="1" applyBorder="1" applyAlignment="1">
      <alignment horizontal="center" vertical="center" wrapText="1"/>
    </xf>
    <xf numFmtId="0" fontId="32" fillId="0" borderId="0" xfId="12" applyFont="1" applyAlignment="1">
      <alignment horizontal="left" vertical="center"/>
    </xf>
    <xf numFmtId="1" fontId="32" fillId="0" borderId="0" xfId="12" applyNumberFormat="1" applyFont="1" applyAlignment="1">
      <alignment horizontal="center" vertical="center"/>
    </xf>
    <xf numFmtId="0" fontId="32" fillId="0" borderId="0" xfId="12" applyFont="1" applyAlignment="1">
      <alignment vertical="center"/>
    </xf>
    <xf numFmtId="1" fontId="5" fillId="0" borderId="0" xfId="12" applyNumberFormat="1" applyFont="1" applyAlignment="1">
      <alignment horizontal="center" vertical="center"/>
    </xf>
    <xf numFmtId="2" fontId="5" fillId="0" borderId="0" xfId="12" applyNumberFormat="1" applyFont="1" applyAlignment="1">
      <alignment horizontal="center" vertical="center"/>
    </xf>
    <xf numFmtId="4" fontId="5" fillId="0" borderId="58" xfId="12" applyNumberFormat="1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8" fillId="14" borderId="159" xfId="4" applyFont="1" applyFill="1" applyBorder="1" applyAlignment="1">
      <alignment horizontal="center" vertical="center" wrapText="1"/>
    </xf>
    <xf numFmtId="0" fontId="27" fillId="14" borderId="162" xfId="4" applyFont="1" applyFill="1" applyBorder="1" applyAlignment="1">
      <alignment vertical="center"/>
    </xf>
    <xf numFmtId="0" fontId="8" fillId="0" borderId="0" xfId="4" applyFont="1" applyAlignment="1">
      <alignment vertical="top"/>
    </xf>
    <xf numFmtId="0" fontId="8" fillId="0" borderId="0" xfId="4" applyFont="1"/>
    <xf numFmtId="0" fontId="13" fillId="27" borderId="227" xfId="8" applyFont="1" applyFill="1" applyBorder="1" applyAlignment="1">
      <alignment horizontal="center" vertical="center" wrapText="1"/>
    </xf>
    <xf numFmtId="0" fontId="13" fillId="0" borderId="227" xfId="21" applyFont="1" applyBorder="1" applyAlignment="1">
      <alignment horizontal="center" vertical="center" wrapText="1"/>
    </xf>
    <xf numFmtId="0" fontId="0" fillId="0" borderId="227" xfId="0" applyBorder="1" applyAlignment="1">
      <alignment horizontal="center" vertical="center"/>
    </xf>
    <xf numFmtId="2" fontId="0" fillId="0" borderId="227" xfId="0" applyNumberFormat="1" applyBorder="1" applyAlignment="1">
      <alignment horizontal="center"/>
    </xf>
    <xf numFmtId="0" fontId="8" fillId="0" borderId="227" xfId="21" applyFont="1" applyBorder="1" applyAlignment="1">
      <alignment horizontal="center" vertical="center" wrapText="1"/>
    </xf>
    <xf numFmtId="0" fontId="8" fillId="0" borderId="227" xfId="8" applyFont="1" applyBorder="1" applyAlignment="1">
      <alignment horizontal="center" vertical="center" wrapText="1"/>
    </xf>
    <xf numFmtId="0" fontId="8" fillId="0" borderId="227" xfId="8" applyFont="1" applyBorder="1" applyAlignment="1">
      <alignment horizontal="center" vertical="center"/>
    </xf>
    <xf numFmtId="0" fontId="0" fillId="17" borderId="227" xfId="0" applyFill="1" applyBorder="1" applyAlignment="1">
      <alignment horizontal="center"/>
    </xf>
    <xf numFmtId="0" fontId="19" fillId="0" borderId="227" xfId="0" applyFont="1" applyBorder="1" applyAlignment="1">
      <alignment horizontal="center" vertical="center" wrapText="1"/>
    </xf>
    <xf numFmtId="0" fontId="8" fillId="0" borderId="227" xfId="13" applyFont="1" applyBorder="1" applyAlignment="1" applyProtection="1">
      <alignment horizontal="center" vertical="center" wrapText="1"/>
    </xf>
    <xf numFmtId="0" fontId="2" fillId="0" borderId="227" xfId="4" applyFont="1" applyBorder="1" applyAlignment="1">
      <alignment horizontal="center" vertical="center"/>
    </xf>
    <xf numFmtId="44" fontId="8" fillId="0" borderId="227" xfId="7" applyFont="1" applyBorder="1" applyAlignment="1">
      <alignment horizontal="center" vertical="center"/>
    </xf>
    <xf numFmtId="1" fontId="8" fillId="0" borderId="81" xfId="13" applyNumberFormat="1" applyFont="1" applyBorder="1" applyAlignment="1" applyProtection="1">
      <alignment horizontal="center" vertical="center" wrapText="1"/>
    </xf>
    <xf numFmtId="1" fontId="8" fillId="0" borderId="215" xfId="13" applyNumberFormat="1" applyFont="1" applyBorder="1" applyAlignment="1" applyProtection="1">
      <alignment horizontal="center" vertical="center" wrapText="1"/>
    </xf>
    <xf numFmtId="44" fontId="13" fillId="5" borderId="26" xfId="2" applyFont="1" applyFill="1" applyBorder="1" applyAlignment="1">
      <alignment horizontal="center" vertical="center" wrapText="1"/>
    </xf>
    <xf numFmtId="0" fontId="14" fillId="6" borderId="227" xfId="6" quotePrefix="1" applyNumberFormat="1" applyFont="1" applyFill="1" applyBorder="1" applyAlignment="1" applyProtection="1">
      <alignment horizontal="center" vertical="center"/>
      <protection locked="0"/>
    </xf>
    <xf numFmtId="0" fontId="13" fillId="5" borderId="254" xfId="6" applyNumberFormat="1" applyFont="1" applyFill="1" applyBorder="1" applyAlignment="1">
      <alignment horizontal="center" vertical="center" wrapText="1"/>
    </xf>
    <xf numFmtId="0" fontId="13" fillId="5" borderId="258" xfId="6" applyNumberFormat="1" applyFont="1" applyFill="1" applyBorder="1" applyAlignment="1">
      <alignment horizontal="center" vertical="center" wrapText="1"/>
    </xf>
    <xf numFmtId="0" fontId="13" fillId="5" borderId="259" xfId="6" applyNumberFormat="1" applyFont="1" applyFill="1" applyBorder="1" applyAlignment="1">
      <alignment horizontal="center" vertical="center" wrapText="1"/>
    </xf>
    <xf numFmtId="0" fontId="8" fillId="0" borderId="82" xfId="13" applyFont="1" applyBorder="1" applyAlignment="1" applyProtection="1">
      <alignment horizontal="center" vertical="center" wrapText="1"/>
    </xf>
    <xf numFmtId="0" fontId="14" fillId="6" borderId="16" xfId="6" quotePrefix="1" applyNumberFormat="1" applyFont="1" applyFill="1" applyBorder="1" applyAlignment="1" applyProtection="1">
      <alignment horizontal="center" vertical="center"/>
      <protection locked="0"/>
    </xf>
    <xf numFmtId="0" fontId="18" fillId="5" borderId="254" xfId="6" applyNumberFormat="1" applyFont="1" applyFill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8" fillId="0" borderId="82" xfId="8" applyFont="1" applyBorder="1" applyAlignment="1">
      <alignment horizontal="center" vertical="center"/>
    </xf>
    <xf numFmtId="0" fontId="2" fillId="0" borderId="82" xfId="4" applyFont="1" applyBorder="1" applyAlignment="1">
      <alignment horizontal="center" vertical="center"/>
    </xf>
    <xf numFmtId="44" fontId="8" fillId="0" borderId="82" xfId="7" applyFont="1" applyBorder="1" applyAlignment="1">
      <alignment horizontal="center" vertical="center"/>
    </xf>
    <xf numFmtId="44" fontId="8" fillId="0" borderId="84" xfId="7" applyFont="1" applyBorder="1" applyAlignment="1">
      <alignment horizontal="center" vertical="center"/>
    </xf>
    <xf numFmtId="0" fontId="8" fillId="0" borderId="82" xfId="6" quotePrefix="1" applyNumberFormat="1" applyFont="1" applyBorder="1" applyAlignment="1" applyProtection="1">
      <alignment horizontal="center" vertical="center"/>
      <protection locked="0"/>
    </xf>
    <xf numFmtId="0" fontId="8" fillId="0" borderId="227" xfId="21" applyFont="1" applyBorder="1" applyAlignment="1">
      <alignment horizontal="center" vertical="center"/>
    </xf>
    <xf numFmtId="1" fontId="8" fillId="0" borderId="227" xfId="21" applyNumberFormat="1" applyFont="1" applyBorder="1" applyAlignment="1">
      <alignment horizontal="center" vertical="center"/>
    </xf>
    <xf numFmtId="2" fontId="8" fillId="0" borderId="227" xfId="21" applyNumberFormat="1" applyFont="1" applyBorder="1" applyAlignment="1">
      <alignment horizontal="center"/>
    </xf>
    <xf numFmtId="2" fontId="8" fillId="0" borderId="227" xfId="21" applyNumberFormat="1" applyFont="1" applyBorder="1" applyAlignment="1">
      <alignment horizontal="center" vertical="center"/>
    </xf>
    <xf numFmtId="2" fontId="13" fillId="17" borderId="227" xfId="21" applyNumberFormat="1" applyFont="1" applyFill="1" applyBorder="1" applyAlignment="1">
      <alignment horizontal="center" vertical="center"/>
    </xf>
    <xf numFmtId="0" fontId="13" fillId="5" borderId="227" xfId="6" applyNumberFormat="1" applyFont="1" applyFill="1" applyBorder="1" applyAlignment="1">
      <alignment horizontal="center" vertical="center" wrapText="1"/>
    </xf>
    <xf numFmtId="0" fontId="13" fillId="5" borderId="223" xfId="6" applyNumberFormat="1" applyFont="1" applyFill="1" applyBorder="1" applyAlignment="1">
      <alignment horizontal="center" vertical="center" wrapText="1"/>
    </xf>
    <xf numFmtId="0" fontId="8" fillId="10" borderId="215" xfId="8" applyFont="1" applyFill="1" applyBorder="1" applyAlignment="1">
      <alignment horizontal="center" vertical="center" wrapText="1"/>
    </xf>
    <xf numFmtId="44" fontId="14" fillId="0" borderId="215" xfId="7" applyFont="1" applyBorder="1" applyAlignment="1">
      <alignment horizontal="center" vertical="center"/>
    </xf>
    <xf numFmtId="1" fontId="7" fillId="0" borderId="215" xfId="10" applyNumberFormat="1" applyFont="1" applyBorder="1" applyAlignment="1">
      <alignment horizontal="center" vertical="center" wrapText="1"/>
    </xf>
    <xf numFmtId="0" fontId="8" fillId="0" borderId="227" xfId="10" applyFont="1" applyBorder="1" applyAlignment="1">
      <alignment horizontal="center" vertical="center" wrapText="1"/>
    </xf>
    <xf numFmtId="0" fontId="8" fillId="0" borderId="227" xfId="11" applyNumberFormat="1" applyFont="1" applyBorder="1" applyAlignment="1" applyProtection="1">
      <alignment horizontal="center" vertical="center" wrapText="1"/>
    </xf>
    <xf numFmtId="1" fontId="7" fillId="10" borderId="215" xfId="10" applyNumberFormat="1" applyFont="1" applyFill="1" applyBorder="1" applyAlignment="1">
      <alignment horizontal="center" vertical="center" wrapText="1"/>
    </xf>
    <xf numFmtId="0" fontId="32" fillId="0" borderId="227" xfId="11" applyNumberFormat="1" applyFont="1" applyBorder="1" applyAlignment="1" applyProtection="1">
      <alignment horizontal="center" vertical="center" wrapText="1"/>
    </xf>
    <xf numFmtId="0" fontId="19" fillId="0" borderId="227" xfId="10" applyFont="1" applyBorder="1" applyAlignment="1">
      <alignment horizontal="center" vertical="center" wrapText="1"/>
    </xf>
    <xf numFmtId="1" fontId="7" fillId="0" borderId="15" xfId="10" applyNumberFormat="1" applyFont="1" applyBorder="1" applyAlignment="1">
      <alignment horizontal="center" vertical="center" wrapText="1"/>
    </xf>
    <xf numFmtId="0" fontId="8" fillId="0" borderId="16" xfId="10" applyFont="1" applyBorder="1" applyAlignment="1">
      <alignment horizontal="center" vertical="center" wrapText="1"/>
    </xf>
    <xf numFmtId="0" fontId="8" fillId="0" borderId="16" xfId="11" applyNumberFormat="1" applyFont="1" applyBorder="1" applyAlignment="1" applyProtection="1">
      <alignment horizontal="center" vertical="center" wrapText="1"/>
    </xf>
    <xf numFmtId="1" fontId="13" fillId="17" borderId="227" xfId="21" applyNumberFormat="1" applyFont="1" applyFill="1" applyBorder="1" applyAlignment="1">
      <alignment horizontal="center" vertical="center"/>
    </xf>
    <xf numFmtId="4" fontId="8" fillId="0" borderId="261" xfId="12" applyNumberFormat="1" applyFont="1" applyBorder="1" applyAlignment="1">
      <alignment horizontal="center"/>
    </xf>
    <xf numFmtId="4" fontId="8" fillId="0" borderId="267" xfId="22" applyNumberFormat="1" applyFont="1" applyBorder="1" applyAlignment="1" applyProtection="1">
      <alignment horizontal="center" vertical="center"/>
    </xf>
    <xf numFmtId="4" fontId="8" fillId="0" borderId="272" xfId="22" applyNumberFormat="1" applyFont="1" applyBorder="1" applyAlignment="1" applyProtection="1">
      <alignment horizontal="center" vertical="center"/>
    </xf>
    <xf numFmtId="43" fontId="12" fillId="0" borderId="278" xfId="1" applyFont="1" applyFill="1" applyBorder="1" applyAlignment="1" applyProtection="1">
      <alignment horizontal="center" vertical="center"/>
    </xf>
    <xf numFmtId="43" fontId="5" fillId="0" borderId="215" xfId="1" applyFont="1" applyFill="1" applyBorder="1" applyAlignment="1" applyProtection="1">
      <alignment horizontal="center" vertical="center"/>
    </xf>
    <xf numFmtId="43" fontId="12" fillId="0" borderId="205" xfId="1" applyFont="1" applyFill="1" applyBorder="1" applyAlignment="1" applyProtection="1">
      <alignment horizontal="center" vertical="center"/>
    </xf>
    <xf numFmtId="43" fontId="5" fillId="0" borderId="214" xfId="1" applyFont="1" applyFill="1" applyBorder="1" applyAlignment="1" applyProtection="1">
      <alignment horizontal="center" vertical="center"/>
    </xf>
    <xf numFmtId="43" fontId="12" fillId="0" borderId="279" xfId="1" applyFont="1" applyFill="1" applyBorder="1" applyAlignment="1" applyProtection="1">
      <alignment horizontal="center" vertical="center"/>
    </xf>
    <xf numFmtId="43" fontId="12" fillId="14" borderId="214" xfId="1" applyFont="1" applyFill="1" applyBorder="1" applyAlignment="1" applyProtection="1">
      <alignment horizontal="center" vertical="center"/>
    </xf>
    <xf numFmtId="43" fontId="5" fillId="0" borderId="216" xfId="1" applyFont="1" applyFill="1" applyBorder="1" applyAlignment="1" applyProtection="1">
      <alignment horizontal="center" vertical="center"/>
    </xf>
    <xf numFmtId="43" fontId="12" fillId="14" borderId="215" xfId="1" applyFont="1" applyFill="1" applyBorder="1" applyAlignment="1" applyProtection="1">
      <alignment horizontal="center" vertical="center"/>
    </xf>
    <xf numFmtId="43" fontId="12" fillId="14" borderId="216" xfId="1" applyFont="1" applyFill="1" applyBorder="1" applyAlignment="1" applyProtection="1">
      <alignment horizontal="center" vertical="center"/>
    </xf>
    <xf numFmtId="0" fontId="5" fillId="0" borderId="282" xfId="4" applyFont="1" applyBorder="1"/>
    <xf numFmtId="0" fontId="13" fillId="0" borderId="57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5" fillId="0" borderId="117" xfId="4" applyFont="1" applyBorder="1" applyAlignment="1">
      <alignment vertical="center" wrapText="1"/>
    </xf>
    <xf numFmtId="1" fontId="5" fillId="0" borderId="117" xfId="4" applyNumberFormat="1" applyFont="1" applyBorder="1" applyAlignment="1">
      <alignment horizontal="center" vertical="center"/>
    </xf>
    <xf numFmtId="1" fontId="5" fillId="0" borderId="283" xfId="4" applyNumberFormat="1" applyFont="1" applyBorder="1" applyAlignment="1">
      <alignment horizontal="center" vertical="center"/>
    </xf>
    <xf numFmtId="4" fontId="5" fillId="0" borderId="117" xfId="4" applyNumberFormat="1" applyFont="1" applyBorder="1" applyAlignment="1">
      <alignment horizontal="center" vertical="center"/>
    </xf>
    <xf numFmtId="4" fontId="5" fillId="0" borderId="260" xfId="4" applyNumberFormat="1" applyFont="1" applyBorder="1" applyAlignment="1">
      <alignment horizontal="center" vertical="center"/>
    </xf>
    <xf numFmtId="4" fontId="5" fillId="0" borderId="284" xfId="4" applyNumberFormat="1" applyFont="1" applyBorder="1" applyAlignment="1">
      <alignment horizontal="center" vertical="center"/>
    </xf>
    <xf numFmtId="43" fontId="12" fillId="0" borderId="268" xfId="1" applyFont="1" applyFill="1" applyBorder="1" applyAlignment="1" applyProtection="1">
      <alignment horizontal="center" vertical="center"/>
    </xf>
    <xf numFmtId="43" fontId="12" fillId="0" borderId="285" xfId="1" applyFont="1" applyFill="1" applyBorder="1" applyAlignment="1" applyProtection="1">
      <alignment horizontal="center" vertical="center"/>
    </xf>
    <xf numFmtId="4" fontId="5" fillId="0" borderId="286" xfId="4" applyNumberFormat="1" applyFont="1" applyBorder="1" applyAlignment="1">
      <alignment horizontal="center" vertical="center"/>
    </xf>
    <xf numFmtId="43" fontId="12" fillId="0" borderId="287" xfId="1" applyFont="1" applyFill="1" applyBorder="1" applyAlignment="1" applyProtection="1">
      <alignment horizontal="center" vertical="center"/>
    </xf>
    <xf numFmtId="43" fontId="5" fillId="0" borderId="284" xfId="1" applyFont="1" applyFill="1" applyBorder="1" applyAlignment="1" applyProtection="1">
      <alignment horizontal="center" vertical="center"/>
    </xf>
    <xf numFmtId="43" fontId="5" fillId="0" borderId="268" xfId="1" applyFont="1" applyFill="1" applyBorder="1" applyAlignment="1" applyProtection="1">
      <alignment horizontal="center" vertical="center"/>
    </xf>
    <xf numFmtId="43" fontId="12" fillId="0" borderId="288" xfId="1" applyFont="1" applyFill="1" applyBorder="1" applyAlignment="1" applyProtection="1">
      <alignment horizontal="center" vertical="center"/>
    </xf>
    <xf numFmtId="43" fontId="12" fillId="14" borderId="284" xfId="1" applyFont="1" applyFill="1" applyBorder="1" applyAlignment="1" applyProtection="1">
      <alignment horizontal="center" vertical="center"/>
    </xf>
    <xf numFmtId="43" fontId="12" fillId="14" borderId="268" xfId="1" applyFont="1" applyFill="1" applyBorder="1" applyAlignment="1" applyProtection="1">
      <alignment horizontal="center" vertical="center"/>
    </xf>
    <xf numFmtId="43" fontId="12" fillId="14" borderId="285" xfId="1" applyFont="1" applyFill="1" applyBorder="1" applyAlignment="1" applyProtection="1">
      <alignment horizontal="center" vertical="center"/>
    </xf>
    <xf numFmtId="44" fontId="5" fillId="0" borderId="58" xfId="2" applyFont="1" applyFill="1" applyBorder="1" applyAlignment="1" applyProtection="1">
      <alignment horizontal="right" vertical="center"/>
    </xf>
    <xf numFmtId="44" fontId="10" fillId="14" borderId="199" xfId="2" applyFont="1" applyFill="1" applyBorder="1" applyAlignment="1" applyProtection="1">
      <alignment vertical="center"/>
    </xf>
    <xf numFmtId="1" fontId="27" fillId="14" borderId="289" xfId="4" applyNumberFormat="1" applyFont="1" applyFill="1" applyBorder="1" applyAlignment="1">
      <alignment horizontal="center" vertical="center"/>
    </xf>
    <xf numFmtId="4" fontId="27" fillId="14" borderId="163" xfId="4" applyNumberFormat="1" applyFont="1" applyFill="1" applyBorder="1" applyAlignment="1">
      <alignment horizontal="center" vertical="center"/>
    </xf>
    <xf numFmtId="4" fontId="27" fillId="14" borderId="290" xfId="4" applyNumberFormat="1" applyFont="1" applyFill="1" applyBorder="1" applyAlignment="1">
      <alignment horizontal="center" vertical="center"/>
    </xf>
    <xf numFmtId="4" fontId="27" fillId="14" borderId="78" xfId="4" applyNumberFormat="1" applyFont="1" applyFill="1" applyBorder="1" applyAlignment="1">
      <alignment horizontal="center" vertical="center"/>
    </xf>
    <xf numFmtId="4" fontId="27" fillId="14" borderId="79" xfId="4" applyNumberFormat="1" applyFont="1" applyFill="1" applyBorder="1" applyAlignment="1">
      <alignment horizontal="center" vertical="center"/>
    </xf>
    <xf numFmtId="4" fontId="27" fillId="14" borderId="80" xfId="4" applyNumberFormat="1" applyFont="1" applyFill="1" applyBorder="1" applyAlignment="1">
      <alignment horizontal="center" vertical="center"/>
    </xf>
    <xf numFmtId="43" fontId="27" fillId="14" borderId="191" xfId="1" applyFont="1" applyFill="1" applyBorder="1" applyAlignment="1" applyProtection="1">
      <alignment horizontal="center" vertical="center"/>
    </xf>
    <xf numFmtId="4" fontId="27" fillId="14" borderId="191" xfId="4" applyNumberFormat="1" applyFont="1" applyFill="1" applyBorder="1" applyAlignment="1">
      <alignment horizontal="center" vertical="center"/>
    </xf>
    <xf numFmtId="4" fontId="27" fillId="14" borderId="291" xfId="4" applyNumberFormat="1" applyFont="1" applyFill="1" applyBorder="1" applyAlignment="1">
      <alignment horizontal="center" vertical="center"/>
    </xf>
    <xf numFmtId="43" fontId="27" fillId="14" borderId="147" xfId="1" applyFont="1" applyFill="1" applyBorder="1" applyAlignment="1" applyProtection="1">
      <alignment horizontal="center" vertical="center"/>
    </xf>
    <xf numFmtId="43" fontId="27" fillId="14" borderId="78" xfId="1" applyFont="1" applyFill="1" applyBorder="1" applyAlignment="1" applyProtection="1">
      <alignment horizontal="center" vertical="center"/>
    </xf>
    <xf numFmtId="44" fontId="27" fillId="13" borderId="196" xfId="2" applyFont="1" applyFill="1" applyBorder="1" applyAlignment="1" applyProtection="1">
      <alignment horizontal="center" vertical="center"/>
    </xf>
    <xf numFmtId="0" fontId="13" fillId="5" borderId="35" xfId="6" applyNumberFormat="1" applyFont="1" applyFill="1" applyBorder="1" applyAlignment="1">
      <alignment horizontal="center" vertical="center" wrapText="1"/>
    </xf>
    <xf numFmtId="0" fontId="13" fillId="5" borderId="21" xfId="6" applyNumberFormat="1" applyFont="1" applyFill="1" applyBorder="1" applyAlignment="1">
      <alignment horizontal="center" vertical="center" wrapText="1"/>
    </xf>
    <xf numFmtId="0" fontId="13" fillId="5" borderId="11" xfId="6" applyNumberFormat="1" applyFont="1" applyFill="1" applyBorder="1" applyAlignment="1">
      <alignment horizontal="center" vertical="center" wrapText="1"/>
    </xf>
    <xf numFmtId="0" fontId="12" fillId="14" borderId="24" xfId="4" applyFont="1" applyFill="1" applyBorder="1" applyAlignment="1">
      <alignment horizontal="center" vertical="center" wrapText="1"/>
    </xf>
    <xf numFmtId="164" fontId="8" fillId="0" borderId="252" xfId="9" applyFont="1" applyBorder="1" applyAlignment="1" applyProtection="1">
      <alignment vertical="center"/>
    </xf>
    <xf numFmtId="164" fontId="8" fillId="0" borderId="279" xfId="9" applyFont="1" applyBorder="1" applyAlignment="1" applyProtection="1">
      <alignment vertical="center"/>
    </xf>
    <xf numFmtId="164" fontId="8" fillId="0" borderId="49" xfId="9" applyFont="1" applyBorder="1" applyAlignment="1" applyProtection="1">
      <alignment vertical="center"/>
    </xf>
    <xf numFmtId="1" fontId="8" fillId="0" borderId="82" xfId="14" applyNumberFormat="1" applyFont="1" applyBorder="1" applyAlignment="1">
      <alignment horizontal="center" vertical="center" wrapText="1"/>
    </xf>
    <xf numFmtId="0" fontId="14" fillId="6" borderId="227" xfId="6" applyNumberFormat="1" applyFont="1" applyFill="1" applyBorder="1" applyAlignment="1" applyProtection="1">
      <alignment horizontal="center" vertical="center"/>
      <protection locked="0"/>
    </xf>
    <xf numFmtId="4" fontId="5" fillId="0" borderId="21" xfId="4" applyNumberFormat="1" applyFont="1" applyBorder="1" applyAlignment="1">
      <alignment horizontal="center" vertical="center"/>
    </xf>
    <xf numFmtId="43" fontId="12" fillId="0" borderId="10" xfId="1" applyFont="1" applyFill="1" applyBorder="1" applyAlignment="1" applyProtection="1">
      <alignment horizontal="center" vertical="center"/>
    </xf>
    <xf numFmtId="43" fontId="12" fillId="0" borderId="11" xfId="1" applyFont="1" applyFill="1" applyBorder="1" applyAlignment="1" applyProtection="1">
      <alignment horizontal="center" vertical="center"/>
    </xf>
    <xf numFmtId="0" fontId="8" fillId="14" borderId="15" xfId="4" applyFont="1" applyFill="1" applyBorder="1" applyAlignment="1">
      <alignment horizontal="center" vertical="center" wrapText="1"/>
    </xf>
    <xf numFmtId="0" fontId="8" fillId="14" borderId="16" xfId="4" applyFont="1" applyFill="1" applyBorder="1" applyAlignment="1">
      <alignment horizontal="center" vertical="center" wrapText="1"/>
    </xf>
    <xf numFmtId="0" fontId="19" fillId="14" borderId="17" xfId="4" applyFont="1" applyFill="1" applyBorder="1" applyAlignment="1">
      <alignment horizontal="center" vertical="center" wrapText="1"/>
    </xf>
    <xf numFmtId="0" fontId="19" fillId="14" borderId="49" xfId="4" applyFont="1" applyFill="1" applyBorder="1" applyAlignment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/>
    </xf>
    <xf numFmtId="43" fontId="5" fillId="0" borderId="10" xfId="1" applyFont="1" applyFill="1" applyBorder="1" applyAlignment="1" applyProtection="1">
      <alignment horizontal="center" vertical="center"/>
    </xf>
    <xf numFmtId="43" fontId="12" fillId="0" borderId="38" xfId="1" applyFont="1" applyFill="1" applyBorder="1" applyAlignment="1" applyProtection="1">
      <alignment horizontal="center" vertical="center"/>
    </xf>
    <xf numFmtId="43" fontId="12" fillId="14" borderId="35" xfId="1" applyFont="1" applyFill="1" applyBorder="1" applyAlignment="1" applyProtection="1">
      <alignment horizontal="center" vertical="center"/>
    </xf>
    <xf numFmtId="43" fontId="12" fillId="14" borderId="10" xfId="1" applyFont="1" applyFill="1" applyBorder="1" applyAlignment="1" applyProtection="1">
      <alignment horizontal="center" vertical="center"/>
    </xf>
    <xf numFmtId="43" fontId="12" fillId="14" borderId="26" xfId="1" applyFont="1" applyFill="1" applyBorder="1" applyAlignment="1" applyProtection="1">
      <alignment horizontal="center" vertical="center"/>
    </xf>
    <xf numFmtId="0" fontId="8" fillId="14" borderId="17" xfId="4" applyFont="1" applyFill="1" applyBorder="1" applyAlignment="1">
      <alignment horizontal="center" vertical="center" wrapText="1"/>
    </xf>
    <xf numFmtId="0" fontId="14" fillId="6" borderId="279" xfId="6" applyNumberFormat="1" applyFont="1" applyFill="1" applyBorder="1" applyAlignment="1" applyProtection="1">
      <alignment horizontal="center" vertical="center"/>
      <protection locked="0"/>
    </xf>
    <xf numFmtId="1" fontId="8" fillId="0" borderId="300" xfId="4" applyNumberFormat="1" applyFont="1" applyBorder="1" applyAlignment="1">
      <alignment horizontal="center" vertical="center"/>
    </xf>
    <xf numFmtId="1" fontId="8" fillId="0" borderId="227" xfId="4" applyNumberFormat="1" applyFont="1" applyBorder="1" applyAlignment="1">
      <alignment horizontal="center" vertical="center"/>
    </xf>
    <xf numFmtId="1" fontId="8" fillId="0" borderId="15" xfId="4" applyNumberFormat="1" applyFont="1" applyBorder="1" applyAlignment="1">
      <alignment horizontal="center" vertical="center"/>
    </xf>
    <xf numFmtId="1" fontId="8" fillId="0" borderId="301" xfId="4" applyNumberFormat="1" applyFont="1" applyBorder="1" applyAlignment="1">
      <alignment horizontal="center" vertical="center"/>
    </xf>
    <xf numFmtId="0" fontId="14" fillId="6" borderId="301" xfId="6" applyNumberFormat="1" applyFont="1" applyFill="1" applyBorder="1" applyAlignment="1" applyProtection="1">
      <alignment horizontal="center" vertical="center"/>
      <protection locked="0"/>
    </xf>
    <xf numFmtId="0" fontId="14" fillId="6" borderId="302" xfId="6" applyNumberFormat="1" applyFont="1" applyFill="1" applyBorder="1" applyAlignment="1" applyProtection="1">
      <alignment horizontal="center" vertical="center"/>
      <protection locked="0"/>
    </xf>
    <xf numFmtId="44" fontId="13" fillId="5" borderId="303" xfId="7" applyFont="1" applyFill="1" applyBorder="1" applyAlignment="1">
      <alignment horizontal="center" vertical="center" wrapText="1"/>
    </xf>
    <xf numFmtId="44" fontId="13" fillId="5" borderId="44" xfId="7" applyFont="1" applyFill="1" applyBorder="1" applyAlignment="1">
      <alignment horizontal="center" vertical="center" wrapText="1"/>
    </xf>
    <xf numFmtId="2" fontId="14" fillId="6" borderId="215" xfId="6" applyNumberFormat="1" applyFont="1" applyFill="1" applyBorder="1" applyAlignment="1" applyProtection="1">
      <alignment horizontal="center" vertical="center"/>
      <protection locked="0"/>
    </xf>
    <xf numFmtId="0" fontId="14" fillId="6" borderId="224" xfId="6" applyNumberFormat="1" applyFont="1" applyFill="1" applyBorder="1" applyAlignment="1" applyProtection="1">
      <alignment horizontal="center" vertical="center"/>
      <protection locked="0"/>
    </xf>
    <xf numFmtId="2" fontId="8" fillId="0" borderId="221" xfId="6" applyNumberFormat="1" applyFont="1" applyBorder="1" applyAlignment="1" applyProtection="1">
      <alignment horizontal="center" vertical="center"/>
    </xf>
    <xf numFmtId="2" fontId="14" fillId="6" borderId="15" xfId="6" applyNumberFormat="1" applyFont="1" applyFill="1" applyBorder="1" applyAlignment="1" applyProtection="1">
      <alignment horizontal="center" vertical="center"/>
      <protection locked="0"/>
    </xf>
    <xf numFmtId="0" fontId="14" fillId="6" borderId="16" xfId="6" applyNumberFormat="1" applyFont="1" applyFill="1" applyBorder="1" applyAlignment="1" applyProtection="1">
      <alignment horizontal="center" vertical="center"/>
      <protection locked="0"/>
    </xf>
    <xf numFmtId="2" fontId="8" fillId="0" borderId="17" xfId="6" applyNumberFormat="1" applyFont="1" applyBorder="1" applyAlignment="1" applyProtection="1">
      <alignment horizontal="center" vertical="center"/>
    </xf>
    <xf numFmtId="0" fontId="14" fillId="6" borderId="306" xfId="6" applyNumberFormat="1" applyFont="1" applyFill="1" applyBorder="1" applyAlignment="1" applyProtection="1">
      <alignment horizontal="center" vertical="center"/>
      <protection locked="0"/>
    </xf>
    <xf numFmtId="0" fontId="14" fillId="6" borderId="307" xfId="6" applyNumberFormat="1" applyFont="1" applyFill="1" applyBorder="1" applyAlignment="1" applyProtection="1">
      <alignment horizontal="center" vertical="center"/>
      <protection locked="0"/>
    </xf>
    <xf numFmtId="44" fontId="13" fillId="5" borderId="218" xfId="7" applyFont="1" applyFill="1" applyBorder="1" applyAlignment="1">
      <alignment horizontal="center" vertical="center" wrapText="1"/>
    </xf>
    <xf numFmtId="44" fontId="13" fillId="5" borderId="50" xfId="7" applyFont="1" applyFill="1" applyBorder="1" applyAlignment="1">
      <alignment horizontal="center" vertical="center" wrapText="1"/>
    </xf>
    <xf numFmtId="44" fontId="8" fillId="0" borderId="305" xfId="7" applyFont="1" applyFill="1" applyBorder="1" applyAlignment="1">
      <alignment horizontal="center" vertical="center"/>
    </xf>
    <xf numFmtId="165" fontId="15" fillId="7" borderId="306" xfId="4" applyNumberFormat="1" applyFont="1" applyFill="1" applyBorder="1" applyAlignment="1">
      <alignment horizontal="center" vertical="center"/>
    </xf>
    <xf numFmtId="44" fontId="13" fillId="5" borderId="307" xfId="7" applyFont="1" applyFill="1" applyBorder="1" applyAlignment="1">
      <alignment horizontal="center" vertical="center" wrapText="1"/>
    </xf>
    <xf numFmtId="0" fontId="13" fillId="5" borderId="10" xfId="6" applyNumberFormat="1" applyFont="1" applyFill="1" applyBorder="1" applyAlignment="1">
      <alignment horizontal="center" vertical="center" wrapText="1"/>
    </xf>
    <xf numFmtId="0" fontId="13" fillId="5" borderId="11" xfId="6" applyNumberFormat="1" applyFont="1" applyFill="1" applyBorder="1" applyAlignment="1" applyProtection="1">
      <alignment horizontal="center" vertical="center" wrapText="1"/>
    </xf>
    <xf numFmtId="0" fontId="13" fillId="5" borderId="26" xfId="6" applyNumberFormat="1" applyFont="1" applyFill="1" applyBorder="1" applyAlignment="1">
      <alignment horizontal="center" vertical="center" wrapText="1"/>
    </xf>
    <xf numFmtId="0" fontId="13" fillId="5" borderId="310" xfId="6" applyNumberFormat="1" applyFont="1" applyFill="1" applyBorder="1" applyAlignment="1">
      <alignment horizontal="center" vertical="center" wrapText="1"/>
    </xf>
    <xf numFmtId="0" fontId="32" fillId="0" borderId="54" xfId="29" applyFont="1" applyBorder="1"/>
    <xf numFmtId="0" fontId="7" fillId="0" borderId="314" xfId="12" applyFont="1" applyBorder="1" applyAlignment="1">
      <alignment vertical="center"/>
    </xf>
    <xf numFmtId="0" fontId="7" fillId="0" borderId="262" xfId="12" applyFont="1" applyBorder="1" applyAlignment="1">
      <alignment vertical="center"/>
    </xf>
    <xf numFmtId="0" fontId="7" fillId="0" borderId="58" xfId="12" applyFont="1" applyBorder="1" applyAlignment="1">
      <alignment vertical="center"/>
    </xf>
    <xf numFmtId="0" fontId="19" fillId="0" borderId="58" xfId="12" applyFont="1" applyBorder="1"/>
    <xf numFmtId="0" fontId="13" fillId="5" borderId="84" xfId="6" applyNumberFormat="1" applyFont="1" applyFill="1" applyBorder="1" applyAlignment="1">
      <alignment horizontal="center" vertical="center" wrapText="1"/>
    </xf>
    <xf numFmtId="44" fontId="5" fillId="0" borderId="0" xfId="2" applyFont="1" applyAlignment="1">
      <alignment horizontal="left" vertical="center"/>
    </xf>
    <xf numFmtId="44" fontId="8" fillId="0" borderId="226" xfId="7" applyFont="1" applyBorder="1" applyAlignment="1">
      <alignment horizontal="center" vertical="center"/>
    </xf>
    <xf numFmtId="0" fontId="19" fillId="0" borderId="301" xfId="0" applyFont="1" applyBorder="1" applyAlignment="1">
      <alignment horizontal="center" vertical="center" wrapText="1"/>
    </xf>
    <xf numFmtId="1" fontId="8" fillId="0" borderId="301" xfId="14" applyNumberFormat="1" applyFont="1" applyBorder="1" applyAlignment="1">
      <alignment horizontal="center" vertical="center" wrapText="1"/>
    </xf>
    <xf numFmtId="0" fontId="8" fillId="0" borderId="301" xfId="13" applyFont="1" applyBorder="1" applyAlignment="1" applyProtection="1">
      <alignment horizontal="center" vertical="center" wrapText="1"/>
    </xf>
    <xf numFmtId="0" fontId="8" fillId="0" borderId="301" xfId="8" applyFont="1" applyBorder="1" applyAlignment="1">
      <alignment horizontal="center" vertical="center"/>
    </xf>
    <xf numFmtId="0" fontId="2" fillId="0" borderId="301" xfId="4" applyFont="1" applyBorder="1" applyAlignment="1">
      <alignment horizontal="center" vertical="center"/>
    </xf>
    <xf numFmtId="44" fontId="8" fillId="0" borderId="301" xfId="7" applyFont="1" applyBorder="1" applyAlignment="1">
      <alignment horizontal="center" vertical="center"/>
    </xf>
    <xf numFmtId="0" fontId="13" fillId="5" borderId="300" xfId="6" applyNumberFormat="1" applyFont="1" applyFill="1" applyBorder="1" applyAlignment="1">
      <alignment horizontal="center" vertical="center" wrapText="1"/>
    </xf>
    <xf numFmtId="0" fontId="13" fillId="5" borderId="226" xfId="6" applyNumberFormat="1" applyFont="1" applyFill="1" applyBorder="1" applyAlignment="1">
      <alignment horizontal="center" vertical="center" wrapText="1"/>
    </xf>
    <xf numFmtId="0" fontId="18" fillId="5" borderId="300" xfId="6" applyNumberFormat="1" applyFont="1" applyFill="1" applyBorder="1" applyAlignment="1">
      <alignment horizontal="center" vertical="center" wrapText="1"/>
    </xf>
    <xf numFmtId="0" fontId="19" fillId="0" borderId="318" xfId="0" applyFont="1" applyBorder="1" applyAlignment="1">
      <alignment horizontal="center" vertical="center" wrapText="1"/>
    </xf>
    <xf numFmtId="0" fontId="2" fillId="0" borderId="300" xfId="4" applyFont="1" applyBorder="1" applyAlignment="1">
      <alignment horizontal="center" vertical="center"/>
    </xf>
    <xf numFmtId="0" fontId="13" fillId="5" borderId="252" xfId="6" applyNumberFormat="1" applyFont="1" applyFill="1" applyBorder="1" applyAlignment="1">
      <alignment horizontal="center" vertical="center" wrapText="1"/>
    </xf>
    <xf numFmtId="1" fontId="8" fillId="0" borderId="319" xfId="14" applyNumberFormat="1" applyFont="1" applyBorder="1" applyAlignment="1">
      <alignment horizontal="center" vertical="center" wrapText="1"/>
    </xf>
    <xf numFmtId="0" fontId="8" fillId="0" borderId="320" xfId="8" applyFont="1" applyBorder="1" applyAlignment="1">
      <alignment horizontal="center" vertical="center"/>
    </xf>
    <xf numFmtId="1" fontId="8" fillId="0" borderId="323" xfId="14" applyNumberFormat="1" applyFont="1" applyBorder="1" applyAlignment="1">
      <alignment horizontal="center" vertical="center" wrapText="1"/>
    </xf>
    <xf numFmtId="0" fontId="8" fillId="0" borderId="324" xfId="8" applyFont="1" applyBorder="1" applyAlignment="1">
      <alignment horizontal="center" vertical="center"/>
    </xf>
    <xf numFmtId="1" fontId="8" fillId="0" borderId="327" xfId="14" applyNumberFormat="1" applyFont="1" applyBorder="1" applyAlignment="1">
      <alignment horizontal="center" vertical="center" wrapText="1"/>
    </xf>
    <xf numFmtId="0" fontId="8" fillId="0" borderId="328" xfId="8" applyFont="1" applyBorder="1" applyAlignment="1">
      <alignment horizontal="center" vertical="center"/>
    </xf>
    <xf numFmtId="1" fontId="8" fillId="0" borderId="331" xfId="14" applyNumberFormat="1" applyFont="1" applyBorder="1" applyAlignment="1">
      <alignment horizontal="center" vertical="center" wrapText="1"/>
    </xf>
    <xf numFmtId="0" fontId="8" fillId="0" borderId="332" xfId="8" applyFont="1" applyBorder="1" applyAlignment="1">
      <alignment horizontal="center" vertical="center"/>
    </xf>
    <xf numFmtId="1" fontId="8" fillId="0" borderId="335" xfId="14" applyNumberFormat="1" applyFont="1" applyBorder="1" applyAlignment="1">
      <alignment horizontal="center" vertical="center" wrapText="1"/>
    </xf>
    <xf numFmtId="0" fontId="8" fillId="0" borderId="336" xfId="8" applyFont="1" applyBorder="1" applyAlignment="1">
      <alignment horizontal="center" vertical="center"/>
    </xf>
    <xf numFmtId="1" fontId="8" fillId="0" borderId="339" xfId="14" applyNumberFormat="1" applyFont="1" applyBorder="1" applyAlignment="1">
      <alignment horizontal="center" vertical="center" wrapText="1"/>
    </xf>
    <xf numFmtId="0" fontId="8" fillId="0" borderId="340" xfId="8" applyFont="1" applyBorder="1" applyAlignment="1">
      <alignment horizontal="center" vertical="center"/>
    </xf>
    <xf numFmtId="1" fontId="8" fillId="0" borderId="343" xfId="14" applyNumberFormat="1" applyFont="1" applyBorder="1" applyAlignment="1">
      <alignment horizontal="center" vertical="center" wrapText="1"/>
    </xf>
    <xf numFmtId="0" fontId="8" fillId="0" borderId="344" xfId="8" applyFont="1" applyBorder="1" applyAlignment="1">
      <alignment horizontal="center" vertical="center"/>
    </xf>
    <xf numFmtId="1" fontId="8" fillId="0" borderId="347" xfId="14" applyNumberFormat="1" applyFont="1" applyBorder="1" applyAlignment="1">
      <alignment horizontal="center" vertical="center" wrapText="1"/>
    </xf>
    <xf numFmtId="0" fontId="8" fillId="0" borderId="348" xfId="8" applyFont="1" applyBorder="1" applyAlignment="1">
      <alignment horizontal="center" vertical="center"/>
    </xf>
    <xf numFmtId="1" fontId="8" fillId="0" borderId="351" xfId="14" applyNumberFormat="1" applyFont="1" applyBorder="1" applyAlignment="1">
      <alignment horizontal="center" vertical="center" wrapText="1"/>
    </xf>
    <xf numFmtId="0" fontId="8" fillId="0" borderId="352" xfId="8" applyFont="1" applyBorder="1" applyAlignment="1">
      <alignment horizontal="center" vertical="center"/>
    </xf>
    <xf numFmtId="1" fontId="8" fillId="0" borderId="355" xfId="14" applyNumberFormat="1" applyFont="1" applyBorder="1" applyAlignment="1">
      <alignment horizontal="center" vertical="center" wrapText="1"/>
    </xf>
    <xf numFmtId="0" fontId="8" fillId="0" borderId="356" xfId="8" applyFont="1" applyBorder="1" applyAlignment="1">
      <alignment horizontal="center" vertical="center"/>
    </xf>
    <xf numFmtId="1" fontId="8" fillId="0" borderId="359" xfId="14" applyNumberFormat="1" applyFont="1" applyBorder="1" applyAlignment="1">
      <alignment horizontal="center" vertical="center" wrapText="1"/>
    </xf>
    <xf numFmtId="0" fontId="8" fillId="0" borderId="360" xfId="8" applyFont="1" applyBorder="1" applyAlignment="1">
      <alignment horizontal="center" vertical="center"/>
    </xf>
    <xf numFmtId="1" fontId="8" fillId="0" borderId="363" xfId="14" applyNumberFormat="1" applyFont="1" applyBorder="1" applyAlignment="1">
      <alignment horizontal="center" vertical="center" wrapText="1"/>
    </xf>
    <xf numFmtId="0" fontId="8" fillId="0" borderId="364" xfId="8" applyFont="1" applyBorder="1" applyAlignment="1">
      <alignment horizontal="center" vertical="center"/>
    </xf>
    <xf numFmtId="1" fontId="8" fillId="0" borderId="367" xfId="14" applyNumberFormat="1" applyFont="1" applyBorder="1" applyAlignment="1">
      <alignment horizontal="center" vertical="center" wrapText="1"/>
    </xf>
    <xf numFmtId="0" fontId="8" fillId="0" borderId="368" xfId="8" applyFont="1" applyBorder="1" applyAlignment="1">
      <alignment horizontal="center" vertical="center"/>
    </xf>
    <xf numFmtId="1" fontId="8" fillId="0" borderId="371" xfId="14" applyNumberFormat="1" applyFont="1" applyBorder="1" applyAlignment="1">
      <alignment horizontal="center" vertical="center" wrapText="1"/>
    </xf>
    <xf numFmtId="0" fontId="8" fillId="0" borderId="372" xfId="8" applyFont="1" applyBorder="1" applyAlignment="1">
      <alignment horizontal="center" vertical="center"/>
    </xf>
    <xf numFmtId="1" fontId="8" fillId="0" borderId="375" xfId="14" applyNumberFormat="1" applyFont="1" applyBorder="1" applyAlignment="1">
      <alignment horizontal="center" vertical="center" wrapText="1"/>
    </xf>
    <xf numFmtId="0" fontId="8" fillId="0" borderId="376" xfId="8" applyFont="1" applyBorder="1" applyAlignment="1">
      <alignment horizontal="center" vertical="center"/>
    </xf>
    <xf numFmtId="1" fontId="8" fillId="0" borderId="379" xfId="14" applyNumberFormat="1" applyFont="1" applyBorder="1" applyAlignment="1">
      <alignment horizontal="center" vertical="center" wrapText="1"/>
    </xf>
    <xf numFmtId="0" fontId="8" fillId="0" borderId="380" xfId="8" applyFont="1" applyBorder="1" applyAlignment="1">
      <alignment horizontal="center" vertical="center"/>
    </xf>
    <xf numFmtId="1" fontId="8" fillId="0" borderId="383" xfId="14" applyNumberFormat="1" applyFont="1" applyBorder="1" applyAlignment="1">
      <alignment horizontal="center" vertical="center" wrapText="1"/>
    </xf>
    <xf numFmtId="0" fontId="8" fillId="0" borderId="384" xfId="8" applyFont="1" applyBorder="1" applyAlignment="1">
      <alignment horizontal="center" vertical="center"/>
    </xf>
    <xf numFmtId="1" fontId="8" fillId="0" borderId="385" xfId="14" applyNumberFormat="1" applyFont="1" applyBorder="1" applyAlignment="1">
      <alignment horizontal="center" vertical="center" wrapText="1"/>
    </xf>
    <xf numFmtId="0" fontId="8" fillId="0" borderId="302" xfId="8" applyFont="1" applyBorder="1" applyAlignment="1">
      <alignment horizontal="center" vertical="center"/>
    </xf>
    <xf numFmtId="0" fontId="18" fillId="5" borderId="81" xfId="6" applyNumberFormat="1" applyFont="1" applyFill="1" applyBorder="1" applyAlignment="1">
      <alignment horizontal="center" vertical="center" wrapText="1"/>
    </xf>
    <xf numFmtId="166" fontId="8" fillId="0" borderId="386" xfId="8" applyNumberFormat="1" applyFont="1" applyBorder="1" applyAlignment="1">
      <alignment horizontal="center" vertical="center" wrapText="1"/>
    </xf>
    <xf numFmtId="0" fontId="8" fillId="0" borderId="387" xfId="8" applyFont="1" applyBorder="1" applyAlignment="1">
      <alignment horizontal="center" vertical="center" wrapText="1"/>
    </xf>
    <xf numFmtId="0" fontId="8" fillId="0" borderId="388" xfId="8" applyFont="1" applyBorder="1" applyAlignment="1">
      <alignment horizontal="center" vertical="center" wrapText="1"/>
    </xf>
    <xf numFmtId="0" fontId="8" fillId="0" borderId="389" xfId="8" applyFont="1" applyBorder="1" applyAlignment="1">
      <alignment horizontal="center" vertical="center"/>
    </xf>
    <xf numFmtId="44" fontId="8" fillId="0" borderId="389" xfId="7" applyFont="1" applyBorder="1" applyAlignment="1">
      <alignment horizontal="center" vertical="center"/>
    </xf>
    <xf numFmtId="166" fontId="8" fillId="0" borderId="43" xfId="8" applyNumberFormat="1" applyFont="1" applyBorder="1" applyAlignment="1">
      <alignment horizontal="center" vertical="center" wrapText="1"/>
    </xf>
    <xf numFmtId="0" fontId="8" fillId="0" borderId="390" xfId="8" applyFont="1" applyBorder="1" applyAlignment="1">
      <alignment horizontal="center" vertical="center" wrapText="1"/>
    </xf>
    <xf numFmtId="44" fontId="8" fillId="0" borderId="391" xfId="7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4" borderId="82" xfId="6" applyNumberFormat="1" applyFont="1" applyFill="1" applyBorder="1" applyAlignment="1">
      <alignment horizontal="center" vertical="center" wrapText="1"/>
    </xf>
    <xf numFmtId="0" fontId="12" fillId="4" borderId="84" xfId="6" applyNumberFormat="1" applyFont="1" applyFill="1" applyBorder="1" applyAlignment="1">
      <alignment horizontal="center" vertical="center" wrapText="1"/>
    </xf>
    <xf numFmtId="0" fontId="12" fillId="4" borderId="225" xfId="6" applyNumberFormat="1" applyFont="1" applyFill="1" applyBorder="1" applyAlignment="1">
      <alignment horizontal="center" vertical="center" wrapText="1"/>
    </xf>
    <xf numFmtId="0" fontId="12" fillId="4" borderId="221" xfId="6" applyNumberFormat="1" applyFont="1" applyFill="1" applyBorder="1" applyAlignment="1">
      <alignment horizontal="center" vertical="center" wrapText="1"/>
    </xf>
    <xf numFmtId="0" fontId="12" fillId="4" borderId="16" xfId="6" applyNumberFormat="1" applyFont="1" applyFill="1" applyBorder="1" applyAlignment="1">
      <alignment horizontal="center" vertical="center" wrapText="1"/>
    </xf>
    <xf numFmtId="0" fontId="12" fillId="4" borderId="17" xfId="6" applyNumberFormat="1" applyFont="1" applyFill="1" applyBorder="1" applyAlignment="1">
      <alignment horizontal="center" vertical="center" wrapText="1"/>
    </xf>
    <xf numFmtId="0" fontId="8" fillId="3" borderId="252" xfId="6" applyNumberFormat="1" applyFont="1" applyFill="1" applyBorder="1" applyAlignment="1">
      <alignment horizontal="center" vertical="center" wrapText="1"/>
    </xf>
    <xf numFmtId="0" fontId="8" fillId="3" borderId="312" xfId="6" applyNumberFormat="1" applyFont="1" applyFill="1" applyBorder="1" applyAlignment="1">
      <alignment horizontal="center" vertical="center" wrapText="1"/>
    </xf>
    <xf numFmtId="0" fontId="8" fillId="3" borderId="49" xfId="6" applyNumberFormat="1" applyFont="1" applyFill="1" applyBorder="1" applyAlignment="1">
      <alignment horizontal="center" vertical="center" wrapText="1"/>
    </xf>
    <xf numFmtId="0" fontId="8" fillId="3" borderId="81" xfId="6" applyNumberFormat="1" applyFont="1" applyFill="1" applyBorder="1" applyAlignment="1">
      <alignment horizontal="center" vertical="center" wrapText="1"/>
    </xf>
    <xf numFmtId="0" fontId="8" fillId="3" borderId="215" xfId="6" applyNumberFormat="1" applyFont="1" applyFill="1" applyBorder="1" applyAlignment="1">
      <alignment horizontal="center" vertical="center" wrapText="1"/>
    </xf>
    <xf numFmtId="0" fontId="8" fillId="3" borderId="15" xfId="6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top"/>
    </xf>
    <xf numFmtId="0" fontId="13" fillId="3" borderId="81" xfId="6" applyNumberFormat="1" applyFont="1" applyFill="1" applyBorder="1" applyAlignment="1">
      <alignment horizontal="center" vertical="center" wrapText="1"/>
    </xf>
    <xf numFmtId="0" fontId="13" fillId="3" borderId="82" xfId="6" applyNumberFormat="1" applyFont="1" applyFill="1" applyBorder="1" applyAlignment="1">
      <alignment horizontal="center" vertical="center" wrapText="1"/>
    </xf>
    <xf numFmtId="0" fontId="13" fillId="3" borderId="215" xfId="6" applyNumberFormat="1" applyFont="1" applyFill="1" applyBorder="1" applyAlignment="1">
      <alignment horizontal="center" vertical="center" wrapText="1"/>
    </xf>
    <xf numFmtId="0" fontId="13" fillId="3" borderId="225" xfId="6" applyNumberFormat="1" applyFont="1" applyFill="1" applyBorder="1" applyAlignment="1">
      <alignment horizontal="center" vertical="center" wrapText="1"/>
    </xf>
    <xf numFmtId="0" fontId="13" fillId="3" borderId="15" xfId="6" applyNumberFormat="1" applyFont="1" applyFill="1" applyBorder="1" applyAlignment="1">
      <alignment horizontal="center" vertical="center" wrapText="1"/>
    </xf>
    <xf numFmtId="0" fontId="13" fillId="3" borderId="16" xfId="6" applyNumberFormat="1" applyFont="1" applyFill="1" applyBorder="1" applyAlignment="1">
      <alignment horizontal="center" vertical="center" wrapText="1"/>
    </xf>
    <xf numFmtId="0" fontId="8" fillId="3" borderId="82" xfId="6" applyNumberFormat="1" applyFont="1" applyFill="1" applyBorder="1" applyAlignment="1">
      <alignment horizontal="center" vertical="center" wrapText="1"/>
    </xf>
    <xf numFmtId="0" fontId="8" fillId="3" borderId="225" xfId="6" applyNumberFormat="1" applyFont="1" applyFill="1" applyBorder="1" applyAlignment="1">
      <alignment horizontal="center" vertical="center" wrapText="1"/>
    </xf>
    <xf numFmtId="0" fontId="8" fillId="3" borderId="16" xfId="6" applyNumberFormat="1" applyFont="1" applyFill="1" applyBorder="1" applyAlignment="1">
      <alignment horizontal="center" vertical="center" wrapText="1"/>
    </xf>
    <xf numFmtId="0" fontId="8" fillId="3" borderId="281" xfId="6" applyNumberFormat="1" applyFont="1" applyFill="1" applyBorder="1" applyAlignment="1">
      <alignment horizontal="center" vertical="center" wrapText="1"/>
    </xf>
    <xf numFmtId="0" fontId="8" fillId="3" borderId="153" xfId="6" applyNumberFormat="1" applyFont="1" applyFill="1" applyBorder="1" applyAlignment="1">
      <alignment horizontal="center" vertical="center" wrapText="1"/>
    </xf>
    <xf numFmtId="0" fontId="8" fillId="3" borderId="43" xfId="6" applyNumberFormat="1" applyFont="1" applyFill="1" applyBorder="1" applyAlignment="1">
      <alignment horizontal="center" vertical="center" wrapText="1"/>
    </xf>
    <xf numFmtId="0" fontId="8" fillId="3" borderId="311" xfId="6" applyNumberFormat="1" applyFont="1" applyFill="1" applyBorder="1" applyAlignment="1">
      <alignment horizontal="center" vertical="center" wrapText="1"/>
    </xf>
    <xf numFmtId="0" fontId="8" fillId="3" borderId="25" xfId="6" applyNumberFormat="1" applyFont="1" applyFill="1" applyBorder="1" applyAlignment="1">
      <alignment horizontal="center" vertical="center" wrapText="1"/>
    </xf>
    <xf numFmtId="0" fontId="8" fillId="3" borderId="44" xfId="6" applyNumberFormat="1" applyFont="1" applyFill="1" applyBorder="1" applyAlignment="1">
      <alignment horizontal="center" vertical="center" wrapText="1"/>
    </xf>
    <xf numFmtId="0" fontId="8" fillId="3" borderId="84" xfId="6" applyNumberFormat="1" applyFont="1" applyFill="1" applyBorder="1" applyAlignment="1">
      <alignment horizontal="center" vertical="center" wrapText="1"/>
    </xf>
    <xf numFmtId="0" fontId="8" fillId="3" borderId="221" xfId="6" applyNumberFormat="1" applyFont="1" applyFill="1" applyBorder="1" applyAlignment="1">
      <alignment horizontal="center" vertical="center" wrapText="1"/>
    </xf>
    <xf numFmtId="0" fontId="8" fillId="3" borderId="17" xfId="6" applyNumberFormat="1" applyFont="1" applyFill="1" applyBorder="1" applyAlignment="1">
      <alignment horizontal="center" vertical="center" wrapText="1"/>
    </xf>
    <xf numFmtId="0" fontId="8" fillId="3" borderId="190" xfId="6" applyNumberFormat="1" applyFont="1" applyFill="1" applyBorder="1" applyAlignment="1">
      <alignment horizontal="center" vertical="center" wrapText="1"/>
    </xf>
    <xf numFmtId="0" fontId="8" fillId="3" borderId="306" xfId="6" applyNumberFormat="1" applyFont="1" applyFill="1" applyBorder="1" applyAlignment="1">
      <alignment horizontal="center" vertical="center" wrapText="1"/>
    </xf>
    <xf numFmtId="0" fontId="8" fillId="3" borderId="307" xfId="6" applyNumberFormat="1" applyFont="1" applyFill="1" applyBorder="1" applyAlignment="1">
      <alignment horizontal="center" vertical="center" wrapText="1"/>
    </xf>
    <xf numFmtId="0" fontId="19" fillId="3" borderId="308" xfId="6" applyNumberFormat="1" applyFont="1" applyFill="1" applyBorder="1" applyAlignment="1">
      <alignment horizontal="center" vertical="center" wrapText="1"/>
    </xf>
    <xf numFmtId="0" fontId="19" fillId="3" borderId="309" xfId="6" applyNumberFormat="1" applyFont="1" applyFill="1" applyBorder="1" applyAlignment="1">
      <alignment horizontal="center" vertical="center" wrapText="1"/>
    </xf>
    <xf numFmtId="0" fontId="19" fillId="3" borderId="313" xfId="6" applyNumberFormat="1" applyFont="1" applyFill="1" applyBorder="1" applyAlignment="1">
      <alignment horizontal="center" vertical="center" wrapText="1"/>
    </xf>
    <xf numFmtId="44" fontId="13" fillId="5" borderId="65" xfId="7" applyFont="1" applyFill="1" applyBorder="1" applyAlignment="1">
      <alignment horizontal="center" vertical="center" wrapText="1"/>
    </xf>
    <xf numFmtId="44" fontId="13" fillId="5" borderId="299" xfId="7" applyFont="1" applyFill="1" applyBorder="1" applyAlignment="1">
      <alignment horizontal="center" vertical="center" wrapText="1"/>
    </xf>
    <xf numFmtId="0" fontId="13" fillId="5" borderId="19" xfId="6" applyNumberFormat="1" applyFont="1" applyFill="1" applyBorder="1" applyAlignment="1">
      <alignment horizontal="center" vertical="center" wrapText="1"/>
    </xf>
    <xf numFmtId="0" fontId="13" fillId="5" borderId="20" xfId="6" applyNumberFormat="1" applyFont="1" applyFill="1" applyBorder="1" applyAlignment="1">
      <alignment horizontal="center" vertical="center" wrapText="1"/>
    </xf>
    <xf numFmtId="0" fontId="13" fillId="5" borderId="11" xfId="6" applyNumberFormat="1" applyFont="1" applyFill="1" applyBorder="1" applyAlignment="1">
      <alignment horizontal="center" vertical="center" wrapText="1"/>
    </xf>
    <xf numFmtId="0" fontId="13" fillId="5" borderId="21" xfId="6" applyNumberFormat="1" applyFont="1" applyFill="1" applyBorder="1" applyAlignment="1">
      <alignment horizontal="center" vertical="center" wrapText="1"/>
    </xf>
    <xf numFmtId="0" fontId="8" fillId="0" borderId="22" xfId="4" applyFont="1" applyBorder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13" fillId="5" borderId="192" xfId="6" applyNumberFormat="1" applyFont="1" applyFill="1" applyBorder="1" applyAlignment="1">
      <alignment horizontal="center" vertical="center" wrapText="1"/>
    </xf>
    <xf numFmtId="0" fontId="13" fillId="5" borderId="35" xfId="6" applyNumberFormat="1" applyFont="1" applyFill="1" applyBorder="1" applyAlignment="1">
      <alignment horizontal="center" vertical="center" wrapText="1"/>
    </xf>
    <xf numFmtId="0" fontId="13" fillId="5" borderId="82" xfId="6" applyNumberFormat="1" applyFont="1" applyFill="1" applyBorder="1" applyAlignment="1">
      <alignment horizontal="center" vertical="center" wrapText="1"/>
    </xf>
    <xf numFmtId="0" fontId="13" fillId="5" borderId="84" xfId="6" applyNumberFormat="1" applyFont="1" applyFill="1" applyBorder="1" applyAlignment="1">
      <alignment horizontal="center" vertical="center" wrapText="1"/>
    </xf>
    <xf numFmtId="0" fontId="13" fillId="8" borderId="189" xfId="8" applyFont="1" applyFill="1" applyBorder="1" applyAlignment="1">
      <alignment horizontal="center" vertical="center" wrapText="1"/>
    </xf>
    <xf numFmtId="0" fontId="13" fillId="8" borderId="261" xfId="8" applyFont="1" applyFill="1" applyBorder="1" applyAlignment="1">
      <alignment horizontal="center" vertical="center" wrapText="1"/>
    </xf>
    <xf numFmtId="0" fontId="13" fillId="8" borderId="262" xfId="8" applyFont="1" applyFill="1" applyBorder="1" applyAlignment="1">
      <alignment horizontal="center" vertical="center" wrapText="1"/>
    </xf>
    <xf numFmtId="0" fontId="13" fillId="8" borderId="38" xfId="8" applyFont="1" applyFill="1" applyBorder="1" applyAlignment="1">
      <alignment horizontal="center" vertical="center" wrapText="1"/>
    </xf>
    <xf numFmtId="0" fontId="13" fillId="8" borderId="39" xfId="8" applyFont="1" applyFill="1" applyBorder="1" applyAlignment="1">
      <alignment horizontal="center" vertical="center" wrapText="1"/>
    </xf>
    <xf numFmtId="0" fontId="13" fillId="8" borderId="40" xfId="8" applyFont="1" applyFill="1" applyBorder="1" applyAlignment="1">
      <alignment horizontal="center" vertical="center" wrapText="1"/>
    </xf>
    <xf numFmtId="0" fontId="13" fillId="5" borderId="27" xfId="6" applyNumberFormat="1" applyFont="1" applyFill="1" applyBorder="1" applyAlignment="1">
      <alignment horizontal="center" vertical="center" wrapText="1"/>
    </xf>
    <xf numFmtId="0" fontId="13" fillId="5" borderId="28" xfId="6" applyNumberFormat="1" applyFont="1" applyFill="1" applyBorder="1" applyAlignment="1">
      <alignment horizontal="center" vertical="center" wrapText="1"/>
    </xf>
    <xf numFmtId="0" fontId="13" fillId="5" borderId="66" xfId="6" applyNumberFormat="1" applyFont="1" applyFill="1" applyBorder="1" applyAlignment="1">
      <alignment horizontal="center" vertical="center" wrapText="1"/>
    </xf>
    <xf numFmtId="0" fontId="13" fillId="5" borderId="299" xfId="6" applyNumberFormat="1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2" fillId="2" borderId="89" xfId="4" applyFont="1" applyFill="1" applyBorder="1" applyAlignment="1">
      <alignment horizontal="center" vertical="center" wrapText="1"/>
    </xf>
    <xf numFmtId="0" fontId="8" fillId="0" borderId="227" xfId="8" applyFont="1" applyBorder="1" applyAlignment="1">
      <alignment horizontal="left" vertical="center" wrapText="1"/>
    </xf>
    <xf numFmtId="0" fontId="13" fillId="0" borderId="205" xfId="8" applyFont="1" applyBorder="1" applyAlignment="1">
      <alignment horizontal="center" vertical="center" wrapText="1"/>
    </xf>
    <xf numFmtId="0" fontId="13" fillId="0" borderId="266" xfId="8" applyFont="1" applyBorder="1" applyAlignment="1">
      <alignment horizontal="center" vertical="center" wrapText="1"/>
    </xf>
    <xf numFmtId="0" fontId="13" fillId="0" borderId="241" xfId="8" applyFont="1" applyBorder="1" applyAlignment="1">
      <alignment horizontal="center" vertical="center" wrapText="1"/>
    </xf>
    <xf numFmtId="0" fontId="13" fillId="5" borderId="54" xfId="6" applyNumberFormat="1" applyFont="1" applyFill="1" applyBorder="1" applyAlignment="1">
      <alignment horizontal="center" vertical="center" wrapText="1"/>
    </xf>
    <xf numFmtId="0" fontId="13" fillId="5" borderId="314" xfId="6" applyNumberFormat="1" applyFont="1" applyFill="1" applyBorder="1" applyAlignment="1">
      <alignment horizontal="center" vertical="center" wrapText="1"/>
    </xf>
    <xf numFmtId="0" fontId="13" fillId="5" borderId="262" xfId="6" applyNumberFormat="1" applyFont="1" applyFill="1" applyBorder="1" applyAlignment="1">
      <alignment horizontal="center" vertical="center" wrapText="1"/>
    </xf>
    <xf numFmtId="0" fontId="13" fillId="5" borderId="229" xfId="6" applyNumberFormat="1" applyFont="1" applyFill="1" applyBorder="1" applyAlignment="1">
      <alignment horizontal="center" vertical="center" wrapText="1"/>
    </xf>
    <xf numFmtId="0" fontId="13" fillId="5" borderId="249" xfId="6" applyNumberFormat="1" applyFont="1" applyFill="1" applyBorder="1" applyAlignment="1">
      <alignment horizontal="center" vertical="center" wrapText="1"/>
    </xf>
    <xf numFmtId="0" fontId="13" fillId="5" borderId="250" xfId="6" applyNumberFormat="1" applyFont="1" applyFill="1" applyBorder="1" applyAlignment="1">
      <alignment horizontal="center" vertical="center" wrapText="1"/>
    </xf>
    <xf numFmtId="0" fontId="8" fillId="0" borderId="8" xfId="8" applyFont="1" applyBorder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0" fontId="8" fillId="0" borderId="41" xfId="8" applyFont="1" applyBorder="1" applyAlignment="1">
      <alignment horizontal="left" vertical="center" wrapText="1"/>
    </xf>
    <xf numFmtId="0" fontId="13" fillId="0" borderId="249" xfId="8" applyFont="1" applyBorder="1" applyAlignment="1">
      <alignment horizontal="center" vertical="center" wrapText="1"/>
    </xf>
    <xf numFmtId="0" fontId="13" fillId="0" borderId="265" xfId="8" applyFont="1" applyBorder="1" applyAlignment="1">
      <alignment horizontal="center" vertical="center" wrapText="1"/>
    </xf>
    <xf numFmtId="0" fontId="8" fillId="0" borderId="16" xfId="8" applyFont="1" applyBorder="1" applyAlignment="1">
      <alignment horizontal="left" vertical="center" wrapText="1"/>
    </xf>
    <xf numFmtId="0" fontId="13" fillId="0" borderId="27" xfId="8" applyFont="1" applyBorder="1" applyAlignment="1">
      <alignment horizontal="center" vertical="center" wrapText="1"/>
    </xf>
    <xf numFmtId="0" fontId="13" fillId="0" borderId="230" xfId="8" applyFont="1" applyBorder="1" applyAlignment="1">
      <alignment horizontal="center" vertical="center" wrapText="1"/>
    </xf>
    <xf numFmtId="0" fontId="13" fillId="0" borderId="45" xfId="8" applyFont="1" applyBorder="1" applyAlignment="1">
      <alignment horizontal="center" vertical="center" wrapText="1"/>
    </xf>
    <xf numFmtId="0" fontId="13" fillId="5" borderId="38" xfId="6" applyNumberFormat="1" applyFont="1" applyFill="1" applyBorder="1" applyAlignment="1">
      <alignment horizontal="center" vertical="center" wrapText="1"/>
    </xf>
    <xf numFmtId="0" fontId="13" fillId="5" borderId="39" xfId="6" applyNumberFormat="1" applyFont="1" applyFill="1" applyBorder="1" applyAlignment="1">
      <alignment horizontal="center" vertical="center" wrapText="1"/>
    </xf>
    <xf numFmtId="0" fontId="13" fillId="5" borderId="94" xfId="6" applyNumberFormat="1" applyFont="1" applyFill="1" applyBorder="1" applyAlignment="1">
      <alignment horizontal="right" vertical="center" wrapText="1"/>
    </xf>
    <xf numFmtId="0" fontId="13" fillId="5" borderId="124" xfId="6" applyNumberFormat="1" applyFont="1" applyFill="1" applyBorder="1" applyAlignment="1">
      <alignment horizontal="right" vertical="center" wrapText="1"/>
    </xf>
    <xf numFmtId="0" fontId="13" fillId="5" borderId="51" xfId="6" applyNumberFormat="1" applyFont="1" applyFill="1" applyBorder="1" applyAlignment="1">
      <alignment horizontal="center" vertical="center" wrapText="1"/>
    </xf>
    <xf numFmtId="0" fontId="13" fillId="5" borderId="263" xfId="6" applyNumberFormat="1" applyFont="1" applyFill="1" applyBorder="1" applyAlignment="1">
      <alignment horizontal="center" vertical="center" wrapText="1"/>
    </xf>
    <xf numFmtId="0" fontId="13" fillId="5" borderId="264" xfId="6" applyNumberFormat="1" applyFont="1" applyFill="1" applyBorder="1" applyAlignment="1">
      <alignment horizontal="center" vertical="center" wrapText="1"/>
    </xf>
    <xf numFmtId="0" fontId="13" fillId="5" borderId="14" xfId="6" applyNumberFormat="1" applyFont="1" applyFill="1" applyBorder="1" applyAlignment="1">
      <alignment horizontal="center" vertical="center" wrapText="1"/>
    </xf>
    <xf numFmtId="0" fontId="13" fillId="5" borderId="36" xfId="6" applyNumberFormat="1" applyFont="1" applyFill="1" applyBorder="1" applyAlignment="1">
      <alignment horizontal="center" vertical="center" wrapText="1"/>
    </xf>
    <xf numFmtId="0" fontId="13" fillId="5" borderId="37" xfId="6" applyNumberFormat="1" applyFont="1" applyFill="1" applyBorder="1" applyAlignment="1">
      <alignment horizontal="center" vertical="center" wrapText="1"/>
    </xf>
    <xf numFmtId="0" fontId="8" fillId="0" borderId="2" xfId="8" applyFont="1" applyBorder="1" applyAlignment="1">
      <alignment horizontal="left" vertical="center" wrapText="1"/>
    </xf>
    <xf numFmtId="0" fontId="13" fillId="0" borderId="315" xfId="8" applyFont="1" applyBorder="1" applyAlignment="1">
      <alignment horizontal="center" vertical="center" wrapText="1"/>
    </xf>
    <xf numFmtId="0" fontId="13" fillId="0" borderId="321" xfId="8" applyFont="1" applyBorder="1" applyAlignment="1">
      <alignment horizontal="center" vertical="center" wrapText="1"/>
    </xf>
    <xf numFmtId="0" fontId="13" fillId="0" borderId="322" xfId="8" applyFont="1" applyBorder="1" applyAlignment="1">
      <alignment horizontal="center" vertical="center" wrapText="1"/>
    </xf>
    <xf numFmtId="0" fontId="13" fillId="5" borderId="27" xfId="6" applyNumberFormat="1" applyFont="1" applyFill="1" applyBorder="1" applyAlignment="1">
      <alignment horizontal="right" vertical="center" wrapText="1"/>
    </xf>
    <xf numFmtId="0" fontId="13" fillId="5" borderId="28" xfId="6" applyNumberFormat="1" applyFont="1" applyFill="1" applyBorder="1" applyAlignment="1">
      <alignment horizontal="right" vertical="center" wrapText="1"/>
    </xf>
    <xf numFmtId="0" fontId="13" fillId="5" borderId="18" xfId="6" applyNumberFormat="1" applyFont="1" applyFill="1" applyBorder="1" applyAlignment="1">
      <alignment horizontal="right" vertical="center" wrapText="1"/>
    </xf>
    <xf numFmtId="0" fontId="13" fillId="5" borderId="29" xfId="6" applyNumberFormat="1" applyFont="1" applyFill="1" applyBorder="1" applyAlignment="1">
      <alignment horizontal="center" vertical="center" wrapText="1"/>
    </xf>
    <xf numFmtId="0" fontId="13" fillId="5" borderId="5" xfId="6" applyNumberFormat="1" applyFont="1" applyFill="1" applyBorder="1" applyAlignment="1">
      <alignment horizontal="center" vertical="center" wrapText="1"/>
    </xf>
    <xf numFmtId="0" fontId="13" fillId="5" borderId="31" xfId="6" applyNumberFormat="1" applyFont="1" applyFill="1" applyBorder="1" applyAlignment="1">
      <alignment horizontal="center" vertical="center" wrapText="1"/>
    </xf>
    <xf numFmtId="0" fontId="13" fillId="5" borderId="47" xfId="6" applyNumberFormat="1" applyFont="1" applyFill="1" applyBorder="1" applyAlignment="1">
      <alignment horizontal="center" vertical="center" wrapText="1"/>
    </xf>
    <xf numFmtId="0" fontId="13" fillId="5" borderId="32" xfId="6" applyNumberFormat="1" applyFont="1" applyFill="1" applyBorder="1" applyAlignment="1">
      <alignment horizontal="center" vertical="center" wrapText="1"/>
    </xf>
    <xf numFmtId="0" fontId="13" fillId="8" borderId="54" xfId="8" applyFont="1" applyFill="1" applyBorder="1" applyAlignment="1">
      <alignment horizontal="center" vertical="center" wrapText="1"/>
    </xf>
    <xf numFmtId="0" fontId="13" fillId="8" borderId="314" xfId="8" applyFont="1" applyFill="1" applyBorder="1" applyAlignment="1">
      <alignment horizontal="center" vertical="center" wrapText="1"/>
    </xf>
    <xf numFmtId="0" fontId="13" fillId="8" borderId="316" xfId="8" applyFont="1" applyFill="1" applyBorder="1" applyAlignment="1">
      <alignment horizontal="center" vertical="center" wrapText="1"/>
    </xf>
    <xf numFmtId="0" fontId="13" fillId="8" borderId="253" xfId="8" applyFont="1" applyFill="1" applyBorder="1" applyAlignment="1">
      <alignment horizontal="center" vertical="center" wrapText="1"/>
    </xf>
    <xf numFmtId="0" fontId="13" fillId="8" borderId="317" xfId="8" applyFont="1" applyFill="1" applyBorder="1" applyAlignment="1">
      <alignment horizontal="center" vertical="center" wrapText="1"/>
    </xf>
    <xf numFmtId="0" fontId="13" fillId="0" borderId="337" xfId="8" applyFont="1" applyBorder="1" applyAlignment="1">
      <alignment horizontal="center" vertical="center" wrapText="1"/>
    </xf>
    <xf numFmtId="0" fontId="13" fillId="0" borderId="338" xfId="8" applyFont="1" applyBorder="1" applyAlignment="1">
      <alignment horizontal="center" vertical="center" wrapText="1"/>
    </xf>
    <xf numFmtId="0" fontId="13" fillId="0" borderId="341" xfId="8" applyFont="1" applyBorder="1" applyAlignment="1">
      <alignment horizontal="center" vertical="center" wrapText="1"/>
    </xf>
    <xf numFmtId="0" fontId="13" fillId="0" borderId="342" xfId="8" applyFont="1" applyBorder="1" applyAlignment="1">
      <alignment horizontal="center" vertical="center" wrapText="1"/>
    </xf>
    <xf numFmtId="0" fontId="13" fillId="0" borderId="345" xfId="8" applyFont="1" applyBorder="1" applyAlignment="1">
      <alignment horizontal="center" vertical="center" wrapText="1"/>
    </xf>
    <xf numFmtId="0" fontId="13" fillId="0" borderId="346" xfId="8" applyFont="1" applyBorder="1" applyAlignment="1">
      <alignment horizontal="center" vertical="center" wrapText="1"/>
    </xf>
    <xf numFmtId="0" fontId="13" fillId="0" borderId="325" xfId="8" applyFont="1" applyBorder="1" applyAlignment="1">
      <alignment horizontal="center" vertical="center" wrapText="1"/>
    </xf>
    <xf numFmtId="0" fontId="13" fillId="0" borderId="326" xfId="8" applyFont="1" applyBorder="1" applyAlignment="1">
      <alignment horizontal="center" vertical="center" wrapText="1"/>
    </xf>
    <xf numFmtId="0" fontId="13" fillId="0" borderId="329" xfId="8" applyFont="1" applyBorder="1" applyAlignment="1">
      <alignment horizontal="center" vertical="center" wrapText="1"/>
    </xf>
    <xf numFmtId="0" fontId="13" fillId="0" borderId="330" xfId="8" applyFont="1" applyBorder="1" applyAlignment="1">
      <alignment horizontal="center" vertical="center" wrapText="1"/>
    </xf>
    <xf numFmtId="0" fontId="13" fillId="0" borderId="333" xfId="8" applyFont="1" applyBorder="1" applyAlignment="1">
      <alignment horizontal="center" vertical="center" wrapText="1"/>
    </xf>
    <xf numFmtId="0" fontId="13" fillId="0" borderId="334" xfId="8" applyFont="1" applyBorder="1" applyAlignment="1">
      <alignment horizontal="center" vertical="center" wrapText="1"/>
    </xf>
    <xf numFmtId="0" fontId="13" fillId="0" borderId="361" xfId="8" applyFont="1" applyBorder="1" applyAlignment="1">
      <alignment horizontal="center" vertical="center" wrapText="1"/>
    </xf>
    <xf numFmtId="0" fontId="13" fillId="0" borderId="362" xfId="8" applyFont="1" applyBorder="1" applyAlignment="1">
      <alignment horizontal="center" vertical="center" wrapText="1"/>
    </xf>
    <xf numFmtId="0" fontId="13" fillId="0" borderId="365" xfId="8" applyFont="1" applyBorder="1" applyAlignment="1">
      <alignment horizontal="center" vertical="center" wrapText="1"/>
    </xf>
    <xf numFmtId="0" fontId="13" fillId="0" borderId="366" xfId="8" applyFont="1" applyBorder="1" applyAlignment="1">
      <alignment horizontal="center" vertical="center" wrapText="1"/>
    </xf>
    <xf numFmtId="0" fontId="13" fillId="0" borderId="369" xfId="8" applyFont="1" applyBorder="1" applyAlignment="1">
      <alignment horizontal="center" vertical="center" wrapText="1"/>
    </xf>
    <xf numFmtId="0" fontId="13" fillId="0" borderId="370" xfId="8" applyFont="1" applyBorder="1" applyAlignment="1">
      <alignment horizontal="center" vertical="center" wrapText="1"/>
    </xf>
    <xf numFmtId="0" fontId="13" fillId="0" borderId="349" xfId="8" applyFont="1" applyBorder="1" applyAlignment="1">
      <alignment horizontal="center" vertical="center" wrapText="1"/>
    </xf>
    <xf numFmtId="0" fontId="13" fillId="0" borderId="350" xfId="8" applyFont="1" applyBorder="1" applyAlignment="1">
      <alignment horizontal="center" vertical="center" wrapText="1"/>
    </xf>
    <xf numFmtId="0" fontId="13" fillId="0" borderId="353" xfId="8" applyFont="1" applyBorder="1" applyAlignment="1">
      <alignment horizontal="center" vertical="center" wrapText="1"/>
    </xf>
    <xf numFmtId="0" fontId="13" fillId="0" borderId="354" xfId="8" applyFont="1" applyBorder="1" applyAlignment="1">
      <alignment horizontal="center" vertical="center" wrapText="1"/>
    </xf>
    <xf numFmtId="0" fontId="13" fillId="0" borderId="357" xfId="8" applyFont="1" applyBorder="1" applyAlignment="1">
      <alignment horizontal="center" vertical="center" wrapText="1"/>
    </xf>
    <xf numFmtId="0" fontId="13" fillId="0" borderId="358" xfId="8" applyFont="1" applyBorder="1" applyAlignment="1">
      <alignment horizontal="center" vertical="center" wrapText="1"/>
    </xf>
    <xf numFmtId="0" fontId="13" fillId="5" borderId="33" xfId="6" applyNumberFormat="1" applyFont="1" applyFill="1" applyBorder="1" applyAlignment="1">
      <alignment horizontal="center" vertical="center" wrapText="1"/>
    </xf>
    <xf numFmtId="0" fontId="13" fillId="5" borderId="34" xfId="6" applyNumberFormat="1" applyFont="1" applyFill="1" applyBorder="1" applyAlignment="1">
      <alignment horizontal="center" vertical="center" wrapText="1"/>
    </xf>
    <xf numFmtId="0" fontId="13" fillId="5" borderId="46" xfId="6" applyNumberFormat="1" applyFont="1" applyFill="1" applyBorder="1" applyAlignment="1">
      <alignment horizontal="center" vertical="center" wrapText="1"/>
    </xf>
    <xf numFmtId="0" fontId="13" fillId="5" borderId="42" xfId="6" applyNumberFormat="1" applyFont="1" applyFill="1" applyBorder="1" applyAlignment="1">
      <alignment horizontal="right" vertical="center" wrapText="1"/>
    </xf>
    <xf numFmtId="0" fontId="13" fillId="5" borderId="36" xfId="6" applyNumberFormat="1" applyFont="1" applyFill="1" applyBorder="1" applyAlignment="1">
      <alignment horizontal="right" vertical="center" wrapText="1"/>
    </xf>
    <xf numFmtId="0" fontId="13" fillId="0" borderId="373" xfId="8" applyFont="1" applyBorder="1" applyAlignment="1">
      <alignment horizontal="center" vertical="center" wrapText="1"/>
    </xf>
    <xf numFmtId="0" fontId="13" fillId="0" borderId="374" xfId="8" applyFont="1" applyBorder="1" applyAlignment="1">
      <alignment horizontal="center" vertical="center" wrapText="1"/>
    </xf>
    <xf numFmtId="0" fontId="13" fillId="0" borderId="377" xfId="8" applyFont="1" applyBorder="1" applyAlignment="1">
      <alignment horizontal="center" vertical="center" wrapText="1"/>
    </xf>
    <xf numFmtId="0" fontId="13" fillId="0" borderId="378" xfId="8" applyFont="1" applyBorder="1" applyAlignment="1">
      <alignment horizontal="center" vertical="center" wrapText="1"/>
    </xf>
    <xf numFmtId="0" fontId="13" fillId="0" borderId="381" xfId="8" applyFont="1" applyBorder="1" applyAlignment="1">
      <alignment horizontal="center" vertical="center" wrapText="1"/>
    </xf>
    <xf numFmtId="0" fontId="13" fillId="0" borderId="382" xfId="8" applyFont="1" applyBorder="1" applyAlignment="1">
      <alignment horizontal="center" vertical="center" wrapText="1"/>
    </xf>
    <xf numFmtId="0" fontId="13" fillId="5" borderId="3" xfId="6" applyNumberFormat="1" applyFont="1" applyFill="1" applyBorder="1" applyAlignment="1">
      <alignment horizontal="center" vertical="center" wrapText="1"/>
    </xf>
    <xf numFmtId="0" fontId="13" fillId="5" borderId="7" xfId="6" applyNumberFormat="1" applyFont="1" applyFill="1" applyBorder="1" applyAlignment="1">
      <alignment horizontal="center" vertical="center" wrapText="1"/>
    </xf>
    <xf numFmtId="0" fontId="13" fillId="5" borderId="48" xfId="6" applyNumberFormat="1" applyFont="1" applyFill="1" applyBorder="1" applyAlignment="1">
      <alignment horizontal="center" vertical="center" wrapText="1"/>
    </xf>
    <xf numFmtId="0" fontId="13" fillId="5" borderId="4" xfId="6" applyNumberFormat="1" applyFont="1" applyFill="1" applyBorder="1" applyAlignment="1">
      <alignment horizontal="center" vertical="center" wrapText="1"/>
    </xf>
    <xf numFmtId="0" fontId="13" fillId="5" borderId="6" xfId="6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/>
    </xf>
    <xf numFmtId="0" fontId="5" fillId="0" borderId="37" xfId="4" applyFont="1" applyBorder="1" applyAlignment="1">
      <alignment horizontal="center"/>
    </xf>
    <xf numFmtId="0" fontId="13" fillId="8" borderId="30" xfId="8" applyFont="1" applyFill="1" applyBorder="1" applyAlignment="1">
      <alignment horizontal="center" vertical="center" wrapText="1"/>
    </xf>
    <xf numFmtId="0" fontId="13" fillId="8" borderId="31" xfId="8" applyFont="1" applyFill="1" applyBorder="1" applyAlignment="1">
      <alignment horizontal="center" vertical="center" wrapText="1"/>
    </xf>
    <xf numFmtId="0" fontId="13" fillId="8" borderId="32" xfId="8" applyFont="1" applyFill="1" applyBorder="1" applyAlignment="1">
      <alignment horizontal="center" vertical="center" wrapText="1"/>
    </xf>
    <xf numFmtId="0" fontId="13" fillId="8" borderId="57" xfId="8" applyFont="1" applyFill="1" applyBorder="1" applyAlignment="1">
      <alignment horizontal="center" vertical="center" wrapText="1"/>
    </xf>
    <xf numFmtId="0" fontId="13" fillId="8" borderId="0" xfId="8" applyFont="1" applyFill="1" applyAlignment="1">
      <alignment horizontal="center" vertical="center" wrapText="1"/>
    </xf>
    <xf numFmtId="0" fontId="13" fillId="8" borderId="58" xfId="8" applyFont="1" applyFill="1" applyBorder="1" applyAlignment="1">
      <alignment horizontal="center" vertical="center" wrapText="1"/>
    </xf>
    <xf numFmtId="0" fontId="13" fillId="5" borderId="52" xfId="6" applyNumberFormat="1" applyFont="1" applyFill="1" applyBorder="1" applyAlignment="1">
      <alignment horizontal="center" vertical="center" wrapText="1"/>
    </xf>
    <xf numFmtId="0" fontId="13" fillId="5" borderId="53" xfId="6" applyNumberFormat="1" applyFont="1" applyFill="1" applyBorder="1" applyAlignment="1">
      <alignment horizontal="center" vertical="center" wrapText="1"/>
    </xf>
    <xf numFmtId="0" fontId="13" fillId="5" borderId="255" xfId="6" applyNumberFormat="1" applyFont="1" applyFill="1" applyBorder="1" applyAlignment="1">
      <alignment horizontal="center" vertical="center" wrapText="1"/>
    </xf>
    <xf numFmtId="0" fontId="13" fillId="5" borderId="256" xfId="6" applyNumberFormat="1" applyFont="1" applyFill="1" applyBorder="1" applyAlignment="1">
      <alignment horizontal="center" vertical="center" wrapText="1"/>
    </xf>
    <xf numFmtId="0" fontId="13" fillId="5" borderId="257" xfId="6" applyNumberFormat="1" applyFont="1" applyFill="1" applyBorder="1" applyAlignment="1">
      <alignment horizontal="center" vertical="center" wrapText="1"/>
    </xf>
    <xf numFmtId="0" fontId="8" fillId="0" borderId="82" xfId="8" applyFont="1" applyBorder="1" applyAlignment="1">
      <alignment horizontal="left" vertical="center" wrapText="1"/>
    </xf>
    <xf numFmtId="0" fontId="13" fillId="0" borderId="81" xfId="8" applyFont="1" applyBorder="1" applyAlignment="1">
      <alignment horizontal="center" vertical="center" wrapText="1"/>
    </xf>
    <xf numFmtId="0" fontId="13" fillId="0" borderId="82" xfId="8" applyFont="1" applyBorder="1" applyAlignment="1">
      <alignment horizontal="center" vertical="center" wrapText="1"/>
    </xf>
    <xf numFmtId="0" fontId="8" fillId="0" borderId="227" xfId="8" applyFont="1" applyBorder="1" applyAlignment="1">
      <alignment horizontal="center" vertical="center" wrapText="1"/>
    </xf>
    <xf numFmtId="0" fontId="8" fillId="0" borderId="227" xfId="13" applyFont="1" applyBorder="1" applyAlignment="1" applyProtection="1">
      <alignment horizontal="left" vertical="center" wrapText="1"/>
    </xf>
    <xf numFmtId="0" fontId="13" fillId="0" borderId="300" xfId="8" applyFont="1" applyBorder="1" applyAlignment="1">
      <alignment horizontal="center" vertical="center" wrapText="1"/>
    </xf>
    <xf numFmtId="0" fontId="13" fillId="0" borderId="227" xfId="8" applyFont="1" applyBorder="1" applyAlignment="1">
      <alignment horizontal="center" vertical="center" wrapText="1"/>
    </xf>
    <xf numFmtId="0" fontId="13" fillId="5" borderId="81" xfId="6" applyNumberFormat="1" applyFont="1" applyFill="1" applyBorder="1" applyAlignment="1">
      <alignment horizontal="center" vertical="center" wrapText="1"/>
    </xf>
    <xf numFmtId="0" fontId="13" fillId="5" borderId="254" xfId="6" applyNumberFormat="1" applyFont="1" applyFill="1" applyBorder="1" applyAlignment="1">
      <alignment horizontal="center" vertical="center" wrapText="1"/>
    </xf>
    <xf numFmtId="0" fontId="13" fillId="5" borderId="103" xfId="6" applyNumberFormat="1" applyFont="1" applyFill="1" applyBorder="1" applyAlignment="1">
      <alignment horizontal="center" vertical="center" wrapText="1"/>
    </xf>
    <xf numFmtId="0" fontId="13" fillId="5" borderId="83" xfId="6" applyNumberFormat="1" applyFont="1" applyFill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 wrapText="1"/>
    </xf>
    <xf numFmtId="0" fontId="8" fillId="0" borderId="16" xfId="13" applyFont="1" applyBorder="1" applyAlignment="1" applyProtection="1">
      <alignment horizontal="left" vertical="center" wrapText="1"/>
    </xf>
    <xf numFmtId="0" fontId="13" fillId="0" borderId="15" xfId="8" applyFont="1" applyBorder="1" applyAlignment="1">
      <alignment horizontal="center" vertical="center" wrapText="1"/>
    </xf>
    <xf numFmtId="0" fontId="13" fillId="0" borderId="301" xfId="8" applyFont="1" applyBorder="1" applyAlignment="1">
      <alignment horizontal="center" vertical="center" wrapText="1"/>
    </xf>
    <xf numFmtId="0" fontId="8" fillId="3" borderId="304" xfId="6" applyNumberFormat="1" applyFont="1" applyFill="1" applyBorder="1" applyAlignment="1">
      <alignment horizontal="center" vertical="center" wrapText="1"/>
    </xf>
    <xf numFmtId="0" fontId="8" fillId="3" borderId="41" xfId="6" applyNumberFormat="1" applyFont="1" applyFill="1" applyBorder="1" applyAlignment="1">
      <alignment horizontal="center" vertical="center" wrapText="1"/>
    </xf>
    <xf numFmtId="0" fontId="8" fillId="3" borderId="299" xfId="6" applyNumberFormat="1" applyFont="1" applyFill="1" applyBorder="1" applyAlignment="1">
      <alignment horizontal="center" vertical="center" wrapText="1"/>
    </xf>
    <xf numFmtId="0" fontId="8" fillId="3" borderId="308" xfId="6" applyNumberFormat="1" applyFont="1" applyFill="1" applyBorder="1" applyAlignment="1">
      <alignment horizontal="center" vertical="center" wrapText="1"/>
    </xf>
    <xf numFmtId="0" fontId="8" fillId="3" borderId="309" xfId="6" applyNumberFormat="1" applyFont="1" applyFill="1" applyBorder="1" applyAlignment="1">
      <alignment horizontal="center" vertical="center" wrapText="1"/>
    </xf>
    <xf numFmtId="0" fontId="8" fillId="3" borderId="313" xfId="6" applyNumberFormat="1" applyFont="1" applyFill="1" applyBorder="1" applyAlignment="1">
      <alignment horizontal="center" vertical="center" wrapText="1"/>
    </xf>
    <xf numFmtId="0" fontId="13" fillId="5" borderId="38" xfId="6" applyNumberFormat="1" applyFont="1" applyFill="1" applyBorder="1" applyAlignment="1">
      <alignment horizontal="right" vertical="center" wrapText="1"/>
    </xf>
    <xf numFmtId="0" fontId="13" fillId="5" borderId="253" xfId="6" applyNumberFormat="1" applyFont="1" applyFill="1" applyBorder="1" applyAlignment="1">
      <alignment horizontal="right" vertical="center" wrapText="1"/>
    </xf>
    <xf numFmtId="0" fontId="13" fillId="5" borderId="251" xfId="6" applyNumberFormat="1" applyFont="1" applyFill="1" applyBorder="1" applyAlignment="1">
      <alignment horizontal="right" vertical="center" wrapText="1"/>
    </xf>
    <xf numFmtId="0" fontId="13" fillId="5" borderId="33" xfId="6" applyNumberFormat="1" applyFont="1" applyFill="1" applyBorder="1" applyAlignment="1">
      <alignment horizontal="right" vertical="center" wrapText="1"/>
    </xf>
    <xf numFmtId="0" fontId="13" fillId="5" borderId="34" xfId="6" applyNumberFormat="1" applyFont="1" applyFill="1" applyBorder="1" applyAlignment="1">
      <alignment horizontal="right" vertical="center" wrapText="1"/>
    </xf>
    <xf numFmtId="0" fontId="13" fillId="5" borderId="46" xfId="6" applyNumberFormat="1" applyFont="1" applyFill="1" applyBorder="1" applyAlignment="1">
      <alignment horizontal="right" vertical="center" wrapText="1"/>
    </xf>
    <xf numFmtId="0" fontId="8" fillId="0" borderId="13" xfId="8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14" borderId="2" xfId="4" applyFont="1" applyFill="1" applyBorder="1" applyAlignment="1">
      <alignment horizontal="center" vertical="center" wrapText="1"/>
    </xf>
    <xf numFmtId="0" fontId="8" fillId="14" borderId="2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textRotation="90"/>
    </xf>
    <xf numFmtId="0" fontId="12" fillId="14" borderId="2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left" vertical="center"/>
    </xf>
    <xf numFmtId="0" fontId="12" fillId="2" borderId="2" xfId="4" applyFont="1" applyFill="1" applyBorder="1" applyAlignment="1" applyProtection="1">
      <alignment horizontal="center" vertical="center"/>
      <protection locked="0"/>
    </xf>
    <xf numFmtId="0" fontId="5" fillId="0" borderId="14" xfId="4" applyFont="1" applyBorder="1" applyAlignment="1">
      <alignment horizontal="left" vertical="center"/>
    </xf>
    <xf numFmtId="0" fontId="5" fillId="0" borderId="36" xfId="4" applyFont="1" applyBorder="1" applyAlignment="1">
      <alignment horizontal="left" vertical="center"/>
    </xf>
    <xf numFmtId="0" fontId="5" fillId="0" borderId="37" xfId="4" applyFont="1" applyBorder="1" applyAlignment="1">
      <alignment horizontal="left" vertical="center"/>
    </xf>
    <xf numFmtId="0" fontId="5" fillId="0" borderId="90" xfId="0" applyFont="1" applyBorder="1" applyAlignment="1">
      <alignment horizontal="left" vertical="center"/>
    </xf>
    <xf numFmtId="0" fontId="5" fillId="0" borderId="124" xfId="0" applyFont="1" applyBorder="1" applyAlignment="1">
      <alignment horizontal="left" vertical="center"/>
    </xf>
    <xf numFmtId="0" fontId="5" fillId="0" borderId="104" xfId="0" applyFont="1" applyBorder="1" applyAlignment="1">
      <alignment horizontal="left" vertical="center"/>
    </xf>
    <xf numFmtId="0" fontId="5" fillId="0" borderId="90" xfId="0" applyFont="1" applyBorder="1" applyAlignment="1">
      <alignment horizontal="left" vertical="center" wrapText="1"/>
    </xf>
    <xf numFmtId="0" fontId="5" fillId="0" borderId="124" xfId="0" applyFont="1" applyBorder="1" applyAlignment="1">
      <alignment horizontal="left" vertical="center" wrapText="1"/>
    </xf>
    <xf numFmtId="0" fontId="5" fillId="0" borderId="104" xfId="0" applyFont="1" applyBorder="1" applyAlignment="1">
      <alignment horizontal="left" vertical="center" wrapText="1"/>
    </xf>
    <xf numFmtId="0" fontId="12" fillId="14" borderId="14" xfId="4" applyFont="1" applyFill="1" applyBorder="1" applyAlignment="1">
      <alignment horizontal="center" vertical="center"/>
    </xf>
    <xf numFmtId="0" fontId="12" fillId="14" borderId="36" xfId="4" applyFont="1" applyFill="1" applyBorder="1" applyAlignment="1">
      <alignment horizontal="center" vertical="center"/>
    </xf>
    <xf numFmtId="0" fontId="12" fillId="14" borderId="37" xfId="4" applyFont="1" applyFill="1" applyBorder="1" applyAlignment="1">
      <alignment horizontal="center" vertical="center"/>
    </xf>
    <xf numFmtId="0" fontId="5" fillId="0" borderId="161" xfId="4" applyFont="1" applyBorder="1" applyAlignment="1">
      <alignment horizontal="left" vertical="center"/>
    </xf>
    <xf numFmtId="0" fontId="5" fillId="0" borderId="127" xfId="4" applyFont="1" applyBorder="1" applyAlignment="1">
      <alignment horizontal="left" vertical="center"/>
    </xf>
    <xf numFmtId="0" fontId="5" fillId="0" borderId="160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5" fillId="0" borderId="11" xfId="4" applyFont="1" applyBorder="1" applyAlignment="1">
      <alignment horizontal="left" vertical="center"/>
    </xf>
    <xf numFmtId="0" fontId="5" fillId="0" borderId="39" xfId="4" applyFont="1" applyBorder="1" applyAlignment="1">
      <alignment horizontal="left" vertical="center"/>
    </xf>
    <xf numFmtId="0" fontId="5" fillId="0" borderId="135" xfId="4" applyFont="1" applyBorder="1" applyAlignment="1">
      <alignment horizontal="center" vertical="center"/>
    </xf>
    <xf numFmtId="0" fontId="5" fillId="0" borderId="153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12" fillId="17" borderId="14" xfId="4" applyFont="1" applyFill="1" applyBorder="1" applyAlignment="1">
      <alignment horizontal="center" vertical="center" wrapText="1"/>
    </xf>
    <xf numFmtId="0" fontId="12" fillId="17" borderId="37" xfId="4" applyFont="1" applyFill="1" applyBorder="1" applyAlignment="1">
      <alignment horizontal="center" vertical="center" wrapText="1"/>
    </xf>
    <xf numFmtId="0" fontId="12" fillId="17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2" fontId="5" fillId="11" borderId="2" xfId="4" applyNumberFormat="1" applyFont="1" applyFill="1" applyBorder="1" applyAlignment="1">
      <alignment horizontal="center" vertical="center"/>
    </xf>
    <xf numFmtId="14" fontId="5" fillId="0" borderId="2" xfId="4" applyNumberFormat="1" applyFont="1" applyBorder="1" applyAlignment="1">
      <alignment horizontal="center" vertical="center"/>
    </xf>
    <xf numFmtId="2" fontId="5" fillId="0" borderId="2" xfId="4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2" borderId="2" xfId="4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9" xfId="4" applyFont="1" applyBorder="1" applyAlignment="1">
      <alignment horizontal="left" vertical="center"/>
    </xf>
    <xf numFmtId="0" fontId="5" fillId="0" borderId="230" xfId="4" applyFont="1" applyBorder="1" applyAlignment="1">
      <alignment horizontal="left" vertical="center"/>
    </xf>
    <xf numFmtId="0" fontId="5" fillId="0" borderId="218" xfId="4" applyFont="1" applyBorder="1" applyAlignment="1">
      <alignment horizontal="left" vertical="center"/>
    </xf>
    <xf numFmtId="0" fontId="12" fillId="0" borderId="82" xfId="4" applyFont="1" applyBorder="1" applyAlignment="1">
      <alignment horizontal="left" vertical="center"/>
    </xf>
    <xf numFmtId="0" fontId="5" fillId="0" borderId="52" xfId="4" applyFont="1" applyBorder="1" applyAlignment="1">
      <alignment horizontal="center"/>
    </xf>
    <xf numFmtId="0" fontId="5" fillId="0" borderId="83" xfId="4" applyFont="1" applyBorder="1" applyAlignment="1">
      <alignment horizontal="center"/>
    </xf>
    <xf numFmtId="0" fontId="5" fillId="0" borderId="231" xfId="4" applyFont="1" applyBorder="1" applyAlignment="1">
      <alignment horizontal="left" vertical="center"/>
    </xf>
    <xf numFmtId="0" fontId="5" fillId="0" borderId="232" xfId="4" applyFont="1" applyBorder="1" applyAlignment="1">
      <alignment horizontal="left" vertical="center"/>
    </xf>
    <xf numFmtId="0" fontId="5" fillId="0" borderId="233" xfId="4" applyFont="1" applyBorder="1" applyAlignment="1">
      <alignment horizontal="left" vertical="center"/>
    </xf>
    <xf numFmtId="0" fontId="12" fillId="14" borderId="16" xfId="4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left" vertical="center"/>
    </xf>
    <xf numFmtId="0" fontId="12" fillId="0" borderId="10" xfId="4" applyFont="1" applyBorder="1" applyAlignment="1">
      <alignment horizontal="left" vertical="center"/>
    </xf>
    <xf numFmtId="0" fontId="5" fillId="2" borderId="14" xfId="4" applyFont="1" applyFill="1" applyBorder="1" applyAlignment="1" applyProtection="1">
      <alignment horizontal="left" vertical="center"/>
      <protection locked="0"/>
    </xf>
    <xf numFmtId="0" fontId="5" fillId="2" borderId="36" xfId="4" applyFont="1" applyFill="1" applyBorder="1" applyAlignment="1" applyProtection="1">
      <alignment horizontal="left" vertical="center"/>
      <protection locked="0"/>
    </xf>
    <xf numFmtId="0" fontId="5" fillId="2" borderId="37" xfId="4" applyFont="1" applyFill="1" applyBorder="1" applyAlignment="1" applyProtection="1">
      <alignment horizontal="left" vertical="center"/>
      <protection locked="0"/>
    </xf>
    <xf numFmtId="0" fontId="36" fillId="14" borderId="205" xfId="0" applyFont="1" applyFill="1" applyBorder="1" applyAlignment="1">
      <alignment horizontal="left" vertical="center"/>
    </xf>
    <xf numFmtId="0" fontId="36" fillId="14" borderId="242" xfId="0" applyFont="1" applyFill="1" applyBorder="1" applyAlignment="1">
      <alignment horizontal="left" vertical="center"/>
    </xf>
    <xf numFmtId="0" fontId="34" fillId="14" borderId="57" xfId="0" applyFont="1" applyFill="1" applyBorder="1" applyAlignment="1">
      <alignment horizontal="center" vertical="center"/>
    </xf>
    <xf numFmtId="0" fontId="34" fillId="14" borderId="0" xfId="0" applyFont="1" applyFill="1" applyAlignment="1">
      <alignment horizontal="center" vertical="center"/>
    </xf>
    <xf numFmtId="0" fontId="34" fillId="14" borderId="58" xfId="0" applyFont="1" applyFill="1" applyBorder="1" applyAlignment="1">
      <alignment horizontal="center" vertical="center"/>
    </xf>
    <xf numFmtId="0" fontId="13" fillId="21" borderId="38" xfId="0" applyFont="1" applyFill="1" applyBorder="1" applyAlignment="1">
      <alignment horizontal="center" wrapText="1"/>
    </xf>
    <xf numFmtId="0" fontId="13" fillId="21" borderId="39" xfId="0" applyFont="1" applyFill="1" applyBorder="1" applyAlignment="1">
      <alignment horizontal="center" wrapText="1"/>
    </xf>
    <xf numFmtId="0" fontId="13" fillId="21" borderId="40" xfId="0" applyFont="1" applyFill="1" applyBorder="1" applyAlignment="1">
      <alignment horizontal="center" wrapText="1"/>
    </xf>
    <xf numFmtId="0" fontId="13" fillId="25" borderId="205" xfId="0" applyFont="1" applyFill="1" applyBorder="1" applyAlignment="1">
      <alignment horizontal="center" vertical="center"/>
    </xf>
    <xf numFmtId="0" fontId="13" fillId="25" borderId="240" xfId="0" applyFont="1" applyFill="1" applyBorder="1" applyAlignment="1">
      <alignment horizontal="center" vertical="center"/>
    </xf>
    <xf numFmtId="0" fontId="13" fillId="25" borderId="241" xfId="0" applyFont="1" applyFill="1" applyBorder="1" applyAlignment="1">
      <alignment horizontal="center" vertical="center"/>
    </xf>
    <xf numFmtId="0" fontId="36" fillId="14" borderId="229" xfId="0" applyFont="1" applyFill="1" applyBorder="1" applyAlignment="1">
      <alignment horizontal="left" vertical="center"/>
    </xf>
    <xf numFmtId="0" fontId="36" fillId="14" borderId="241" xfId="0" applyFont="1" applyFill="1" applyBorder="1" applyAlignment="1">
      <alignment horizontal="left" vertical="center"/>
    </xf>
    <xf numFmtId="0" fontId="25" fillId="0" borderId="205" xfId="0" applyFont="1" applyBorder="1" applyAlignment="1">
      <alignment horizontal="left" vertical="center"/>
    </xf>
    <xf numFmtId="0" fontId="25" fillId="0" borderId="242" xfId="0" applyFont="1" applyBorder="1" applyAlignment="1">
      <alignment horizontal="left" vertical="center"/>
    </xf>
    <xf numFmtId="0" fontId="36" fillId="14" borderId="240" xfId="0" applyFont="1" applyFill="1" applyBorder="1" applyAlignment="1">
      <alignment horizontal="left" vertical="center"/>
    </xf>
    <xf numFmtId="0" fontId="36" fillId="0" borderId="205" xfId="0" applyFont="1" applyBorder="1" applyAlignment="1">
      <alignment horizontal="left" vertical="center"/>
    </xf>
    <xf numFmtId="0" fontId="36" fillId="0" borderId="242" xfId="0" applyFont="1" applyBorder="1" applyAlignment="1">
      <alignment horizontal="left" vertical="center"/>
    </xf>
    <xf numFmtId="0" fontId="19" fillId="0" borderId="205" xfId="0" applyFont="1" applyBorder="1" applyAlignment="1">
      <alignment horizontal="left" vertical="center" wrapText="1"/>
    </xf>
    <xf numFmtId="0" fontId="19" fillId="0" borderId="242" xfId="0" applyFont="1" applyBorder="1" applyAlignment="1">
      <alignment horizontal="left" vertical="center" wrapText="1"/>
    </xf>
    <xf numFmtId="0" fontId="19" fillId="0" borderId="205" xfId="0" applyFont="1" applyBorder="1" applyAlignment="1">
      <alignment horizontal="left" vertical="center"/>
    </xf>
    <xf numFmtId="0" fontId="19" fillId="0" borderId="242" xfId="0" applyFont="1" applyBorder="1" applyAlignment="1">
      <alignment horizontal="left" vertical="center"/>
    </xf>
    <xf numFmtId="0" fontId="40" fillId="22" borderId="81" xfId="5" applyFont="1" applyFill="1" applyBorder="1" applyAlignment="1">
      <alignment horizontal="center" vertical="center" wrapText="1"/>
    </xf>
    <xf numFmtId="0" fontId="40" fillId="22" borderId="82" xfId="5" applyFont="1" applyFill="1" applyBorder="1" applyAlignment="1">
      <alignment horizontal="center" vertical="center" wrapText="1"/>
    </xf>
    <xf numFmtId="0" fontId="40" fillId="22" borderId="84" xfId="5" applyFont="1" applyFill="1" applyBorder="1" applyAlignment="1">
      <alignment horizontal="center" vertical="center" wrapText="1"/>
    </xf>
    <xf numFmtId="0" fontId="40" fillId="22" borderId="91" xfId="5" applyFont="1" applyFill="1" applyBorder="1" applyAlignment="1">
      <alignment horizontal="center" vertical="center" wrapText="1"/>
    </xf>
    <xf numFmtId="0" fontId="40" fillId="22" borderId="92" xfId="5" applyFont="1" applyFill="1" applyBorder="1" applyAlignment="1">
      <alignment horizontal="center" vertical="center" wrapText="1"/>
    </xf>
    <xf numFmtId="0" fontId="40" fillId="22" borderId="93" xfId="5" applyFont="1" applyFill="1" applyBorder="1" applyAlignment="1">
      <alignment horizontal="center" vertical="center" wrapText="1"/>
    </xf>
    <xf numFmtId="0" fontId="32" fillId="0" borderId="91" xfId="5" applyFont="1" applyBorder="1" applyAlignment="1">
      <alignment horizontal="center" vertical="center" wrapText="1"/>
    </xf>
    <xf numFmtId="0" fontId="32" fillId="0" borderId="92" xfId="5" applyFont="1" applyBorder="1" applyAlignment="1">
      <alignment horizontal="center" vertical="center" wrapText="1"/>
    </xf>
    <xf numFmtId="0" fontId="32" fillId="0" borderId="93" xfId="5" applyFont="1" applyBorder="1" applyAlignment="1">
      <alignment horizontal="center" vertical="center" wrapText="1"/>
    </xf>
    <xf numFmtId="0" fontId="19" fillId="0" borderId="245" xfId="0" applyFont="1" applyBorder="1" applyAlignment="1">
      <alignment horizontal="left" vertical="center"/>
    </xf>
    <xf numFmtId="0" fontId="19" fillId="0" borderId="246" xfId="0" applyFont="1" applyBorder="1" applyAlignment="1">
      <alignment horizontal="left" vertical="center"/>
    </xf>
    <xf numFmtId="0" fontId="36" fillId="17" borderId="247" xfId="0" applyFont="1" applyFill="1" applyBorder="1" applyAlignment="1">
      <alignment horizontal="left" vertical="center"/>
    </xf>
    <xf numFmtId="0" fontId="36" fillId="17" borderId="248" xfId="0" applyFont="1" applyFill="1" applyBorder="1" applyAlignment="1">
      <alignment horizontal="left" vertical="center"/>
    </xf>
    <xf numFmtId="0" fontId="37" fillId="26" borderId="65" xfId="0" applyFont="1" applyFill="1" applyBorder="1" applyAlignment="1">
      <alignment horizontal="justify" vertical="justify" wrapText="1"/>
    </xf>
    <xf numFmtId="0" fontId="37" fillId="26" borderId="66" xfId="0" applyFont="1" applyFill="1" applyBorder="1" applyAlignment="1">
      <alignment horizontal="justify" vertical="justify" wrapText="1"/>
    </xf>
    <xf numFmtId="0" fontId="37" fillId="26" borderId="67" xfId="0" applyFont="1" applyFill="1" applyBorder="1" applyAlignment="1">
      <alignment horizontal="justify" vertical="justify" wrapText="1"/>
    </xf>
    <xf numFmtId="0" fontId="36" fillId="14" borderId="205" xfId="0" applyFont="1" applyFill="1" applyBorder="1" applyAlignment="1">
      <alignment horizontal="center" vertical="center"/>
    </xf>
    <xf numFmtId="0" fontId="36" fillId="14" borderId="240" xfId="0" applyFont="1" applyFill="1" applyBorder="1" applyAlignment="1">
      <alignment horizontal="center" vertical="center"/>
    </xf>
    <xf numFmtId="0" fontId="36" fillId="14" borderId="241" xfId="0" applyFont="1" applyFill="1" applyBorder="1" applyAlignment="1">
      <alignment horizontal="center" vertical="center"/>
    </xf>
    <xf numFmtId="0" fontId="19" fillId="0" borderId="243" xfId="0" applyFont="1" applyBorder="1" applyAlignment="1">
      <alignment horizontal="left" vertical="center"/>
    </xf>
    <xf numFmtId="0" fontId="19" fillId="0" borderId="244" xfId="0" applyFont="1" applyBorder="1" applyAlignment="1">
      <alignment horizontal="left" vertical="center"/>
    </xf>
    <xf numFmtId="0" fontId="31" fillId="14" borderId="85" xfId="12" applyFont="1" applyFill="1" applyBorder="1" applyAlignment="1">
      <alignment horizontal="center" vertical="center"/>
    </xf>
    <xf numFmtId="0" fontId="31" fillId="14" borderId="69" xfId="12" applyFont="1" applyFill="1" applyBorder="1" applyAlignment="1">
      <alignment horizontal="center" vertical="center"/>
    </xf>
    <xf numFmtId="0" fontId="31" fillId="14" borderId="86" xfId="12" applyFont="1" applyFill="1" applyBorder="1" applyAlignment="1">
      <alignment horizontal="center" vertical="center"/>
    </xf>
    <xf numFmtId="0" fontId="12" fillId="21" borderId="99" xfId="0" applyFont="1" applyFill="1" applyBorder="1" applyAlignment="1">
      <alignment horizontal="center" vertical="center" wrapText="1"/>
    </xf>
    <xf numFmtId="0" fontId="12" fillId="21" borderId="77" xfId="0" applyFont="1" applyFill="1" applyBorder="1" applyAlignment="1">
      <alignment horizontal="center" vertical="center" wrapText="1"/>
    </xf>
    <xf numFmtId="0" fontId="12" fillId="21" borderId="100" xfId="0" applyFont="1" applyFill="1" applyBorder="1" applyAlignment="1">
      <alignment horizontal="center" vertical="center" wrapText="1"/>
    </xf>
    <xf numFmtId="0" fontId="42" fillId="14" borderId="105" xfId="8" applyFont="1" applyFill="1" applyBorder="1" applyAlignment="1">
      <alignment horizontal="center" vertical="center" wrapText="1"/>
    </xf>
    <xf numFmtId="0" fontId="13" fillId="14" borderId="96" xfId="8" applyFont="1" applyFill="1" applyBorder="1" applyAlignment="1">
      <alignment horizontal="center" vertical="center" wrapText="1"/>
    </xf>
    <xf numFmtId="0" fontId="13" fillId="14" borderId="96" xfId="8" applyFont="1" applyFill="1" applyBorder="1" applyAlignment="1">
      <alignment horizontal="center" vertical="center"/>
    </xf>
    <xf numFmtId="0" fontId="13" fillId="14" borderId="102" xfId="8" applyFont="1" applyFill="1" applyBorder="1" applyAlignment="1">
      <alignment horizontal="center" vertical="center" wrapText="1"/>
    </xf>
    <xf numFmtId="0" fontId="13" fillId="27" borderId="89" xfId="8" applyFont="1" applyFill="1" applyBorder="1" applyAlignment="1">
      <alignment horizontal="center" vertical="center" wrapText="1"/>
    </xf>
    <xf numFmtId="0" fontId="27" fillId="14" borderId="107" xfId="8" applyFont="1" applyFill="1" applyBorder="1" applyAlignment="1">
      <alignment horizontal="center" vertical="center"/>
    </xf>
    <xf numFmtId="0" fontId="27" fillId="14" borderId="108" xfId="8" applyFont="1" applyFill="1" applyBorder="1" applyAlignment="1">
      <alignment horizontal="center" vertical="center"/>
    </xf>
    <xf numFmtId="0" fontId="27" fillId="14" borderId="109" xfId="8" applyFont="1" applyFill="1" applyBorder="1" applyAlignment="1">
      <alignment horizontal="center" vertical="center"/>
    </xf>
    <xf numFmtId="0" fontId="12" fillId="14" borderId="112" xfId="0" applyFont="1" applyFill="1" applyBorder="1" applyAlignment="1">
      <alignment horizontal="center" vertical="center"/>
    </xf>
    <xf numFmtId="0" fontId="12" fillId="14" borderId="113" xfId="0" applyFont="1" applyFill="1" applyBorder="1" applyAlignment="1">
      <alignment horizontal="center" vertical="center"/>
    </xf>
    <xf numFmtId="0" fontId="12" fillId="14" borderId="114" xfId="0" applyFont="1" applyFill="1" applyBorder="1" applyAlignment="1">
      <alignment horizontal="center" vertical="center"/>
    </xf>
    <xf numFmtId="0" fontId="13" fillId="17" borderId="227" xfId="21" applyFont="1" applyFill="1" applyBorder="1" applyAlignment="1">
      <alignment horizontal="center" vertical="center"/>
    </xf>
    <xf numFmtId="0" fontId="13" fillId="14" borderId="89" xfId="16" applyFont="1" applyFill="1" applyBorder="1" applyAlignment="1">
      <alignment horizontal="center" vertical="center" wrapText="1"/>
    </xf>
    <xf numFmtId="0" fontId="13" fillId="14" borderId="89" xfId="16" applyFont="1" applyFill="1" applyBorder="1" applyAlignment="1">
      <alignment horizontal="left" vertical="center"/>
    </xf>
    <xf numFmtId="0" fontId="27" fillId="14" borderId="89" xfId="16" applyFont="1" applyFill="1" applyBorder="1" applyAlignment="1">
      <alignment horizontal="center" vertical="center"/>
    </xf>
    <xf numFmtId="0" fontId="13" fillId="21" borderId="89" xfId="0" applyFont="1" applyFill="1" applyBorder="1" applyAlignment="1">
      <alignment horizontal="center" vertical="center" wrapText="1"/>
    </xf>
    <xf numFmtId="0" fontId="13" fillId="14" borderId="89" xfId="16" applyFont="1" applyFill="1" applyBorder="1" applyAlignment="1">
      <alignment horizontal="center" vertical="center"/>
    </xf>
    <xf numFmtId="0" fontId="25" fillId="14" borderId="89" xfId="8" applyFont="1" applyFill="1" applyBorder="1" applyAlignment="1">
      <alignment horizontal="center" vertical="center" wrapText="1"/>
    </xf>
    <xf numFmtId="0" fontId="8" fillId="0" borderId="89" xfId="8" applyFont="1" applyBorder="1" applyAlignment="1">
      <alignment horizontal="center" vertical="center" wrapText="1"/>
    </xf>
    <xf numFmtId="0" fontId="8" fillId="0" borderId="227" xfId="21" applyFont="1" applyBorder="1" applyAlignment="1">
      <alignment horizontal="left" vertical="center"/>
    </xf>
    <xf numFmtId="0" fontId="13" fillId="27" borderId="227" xfId="8" applyFont="1" applyFill="1" applyBorder="1" applyAlignment="1">
      <alignment horizontal="center" vertical="center" wrapText="1"/>
    </xf>
    <xf numFmtId="0" fontId="13" fillId="0" borderId="227" xfId="21" applyFont="1" applyBorder="1" applyAlignment="1">
      <alignment horizontal="center" vertical="center" wrapText="1"/>
    </xf>
    <xf numFmtId="0" fontId="27" fillId="0" borderId="85" xfId="12" applyFont="1" applyBorder="1" applyAlignment="1">
      <alignment horizontal="center" vertical="center"/>
    </xf>
    <xf numFmtId="0" fontId="27" fillId="0" borderId="69" xfId="12" applyFont="1" applyBorder="1" applyAlignment="1">
      <alignment horizontal="center" vertical="center"/>
    </xf>
    <xf numFmtId="0" fontId="27" fillId="0" borderId="86" xfId="12" applyFont="1" applyBorder="1" applyAlignment="1">
      <alignment horizontal="center" vertical="center"/>
    </xf>
    <xf numFmtId="0" fontId="13" fillId="21" borderId="94" xfId="0" applyFont="1" applyFill="1" applyBorder="1" applyAlignment="1">
      <alignment horizontal="center" vertical="center" wrapText="1"/>
    </xf>
    <xf numFmtId="0" fontId="13" fillId="21" borderId="124" xfId="0" applyFont="1" applyFill="1" applyBorder="1" applyAlignment="1">
      <alignment horizontal="center" vertical="center" wrapText="1"/>
    </xf>
    <xf numFmtId="0" fontId="13" fillId="21" borderId="125" xfId="0" applyFont="1" applyFill="1" applyBorder="1" applyAlignment="1">
      <alignment horizontal="center" vertical="center" wrapText="1"/>
    </xf>
    <xf numFmtId="0" fontId="13" fillId="0" borderId="120" xfId="8" applyFont="1" applyBorder="1" applyAlignment="1">
      <alignment horizontal="center" vertical="center"/>
    </xf>
    <xf numFmtId="0" fontId="13" fillId="0" borderId="121" xfId="8" applyFont="1" applyBorder="1" applyAlignment="1">
      <alignment horizontal="center" vertical="center"/>
    </xf>
    <xf numFmtId="0" fontId="13" fillId="0" borderId="122" xfId="8" applyFont="1" applyBorder="1" applyAlignment="1">
      <alignment horizontal="center" vertical="center"/>
    </xf>
    <xf numFmtId="49" fontId="12" fillId="25" borderId="106" xfId="8" applyNumberFormat="1" applyFont="1" applyFill="1" applyBorder="1" applyAlignment="1">
      <alignment horizontal="left" vertical="center" wrapText="1"/>
    </xf>
    <xf numFmtId="49" fontId="12" fillId="25" borderId="123" xfId="8" applyNumberFormat="1" applyFont="1" applyFill="1" applyBorder="1" applyAlignment="1">
      <alignment horizontal="left" vertical="center" wrapText="1"/>
    </xf>
    <xf numFmtId="0" fontId="27" fillId="25" borderId="136" xfId="12" applyFont="1" applyFill="1" applyBorder="1" applyAlignment="1">
      <alignment horizontal="left" vertical="center"/>
    </xf>
    <xf numFmtId="0" fontId="27" fillId="25" borderId="70" xfId="12" applyFont="1" applyFill="1" applyBorder="1" applyAlignment="1">
      <alignment horizontal="left" vertical="center"/>
    </xf>
    <xf numFmtId="0" fontId="13" fillId="9" borderId="89" xfId="8" applyFont="1" applyFill="1" applyBorder="1" applyAlignment="1">
      <alignment horizontal="center" vertical="center" wrapText="1"/>
    </xf>
    <xf numFmtId="0" fontId="27" fillId="14" borderId="78" xfId="12" applyFont="1" applyFill="1" applyBorder="1" applyAlignment="1">
      <alignment horizontal="center" vertical="center"/>
    </xf>
    <xf numFmtId="0" fontId="27" fillId="14" borderId="79" xfId="12" applyFont="1" applyFill="1" applyBorder="1" applyAlignment="1">
      <alignment horizontal="center" vertical="center"/>
    </xf>
    <xf numFmtId="0" fontId="27" fillId="14" borderId="80" xfId="12" applyFont="1" applyFill="1" applyBorder="1" applyAlignment="1">
      <alignment horizontal="center" vertical="center"/>
    </xf>
    <xf numFmtId="0" fontId="13" fillId="21" borderId="99" xfId="0" applyFont="1" applyFill="1" applyBorder="1" applyAlignment="1">
      <alignment horizontal="center" vertical="center" wrapText="1"/>
    </xf>
    <xf numFmtId="0" fontId="13" fillId="21" borderId="77" xfId="0" applyFont="1" applyFill="1" applyBorder="1" applyAlignment="1">
      <alignment horizontal="center" vertical="center" wrapText="1"/>
    </xf>
    <xf numFmtId="0" fontId="13" fillId="21" borderId="100" xfId="0" applyFont="1" applyFill="1" applyBorder="1" applyAlignment="1">
      <alignment horizontal="center" vertical="center" wrapText="1"/>
    </xf>
    <xf numFmtId="0" fontId="50" fillId="5" borderId="89" xfId="6" applyNumberFormat="1" applyFont="1" applyFill="1" applyBorder="1" applyAlignment="1" applyProtection="1">
      <alignment horizontal="center" vertical="center" wrapText="1"/>
    </xf>
    <xf numFmtId="0" fontId="13" fillId="5" borderId="89" xfId="6" applyNumberFormat="1" applyFont="1" applyFill="1" applyBorder="1" applyAlignment="1" applyProtection="1">
      <alignment horizontal="center" vertical="center" wrapText="1"/>
    </xf>
    <xf numFmtId="0" fontId="5" fillId="0" borderId="129" xfId="12" applyFont="1" applyBorder="1" applyAlignment="1">
      <alignment horizontal="left" vertical="center"/>
    </xf>
    <xf numFmtId="0" fontId="5" fillId="0" borderId="118" xfId="12" applyFont="1" applyBorder="1" applyAlignment="1">
      <alignment horizontal="left" vertical="center"/>
    </xf>
    <xf numFmtId="0" fontId="5" fillId="0" borderId="130" xfId="12" applyFont="1" applyBorder="1" applyAlignment="1">
      <alignment horizontal="left" vertical="center"/>
    </xf>
    <xf numFmtId="0" fontId="8" fillId="0" borderId="131" xfId="12" applyFont="1" applyBorder="1" applyAlignment="1">
      <alignment horizontal="center" vertical="center" wrapText="1"/>
    </xf>
    <xf numFmtId="0" fontId="8" fillId="0" borderId="132" xfId="12" applyFont="1" applyBorder="1" applyAlignment="1">
      <alignment horizontal="center" vertical="center" wrapText="1"/>
    </xf>
    <xf numFmtId="4" fontId="13" fillId="0" borderId="129" xfId="12" applyNumberFormat="1" applyFont="1" applyBorder="1" applyAlignment="1">
      <alignment horizontal="center" vertical="center"/>
    </xf>
    <xf numFmtId="4" fontId="13" fillId="0" borderId="118" xfId="12" applyNumberFormat="1" applyFont="1" applyBorder="1" applyAlignment="1">
      <alignment horizontal="center" vertical="center"/>
    </xf>
    <xf numFmtId="4" fontId="13" fillId="0" borderId="119" xfId="12" applyNumberFormat="1" applyFont="1" applyBorder="1" applyAlignment="1">
      <alignment horizontal="center" vertical="center"/>
    </xf>
    <xf numFmtId="0" fontId="27" fillId="25" borderId="65" xfId="12" applyFont="1" applyFill="1" applyBorder="1" applyAlignment="1">
      <alignment horizontal="left" vertical="center"/>
    </xf>
    <xf numFmtId="0" fontId="27" fillId="25" borderId="133" xfId="12" applyFont="1" applyFill="1" applyBorder="1" applyAlignment="1">
      <alignment horizontal="left" vertical="center"/>
    </xf>
    <xf numFmtId="0" fontId="8" fillId="0" borderId="91" xfId="13" applyFont="1" applyBorder="1" applyAlignment="1" applyProtection="1">
      <alignment horizontal="center" vertical="center" wrapText="1"/>
    </xf>
    <xf numFmtId="4" fontId="13" fillId="0" borderId="136" xfId="0" applyNumberFormat="1" applyFont="1" applyBorder="1" applyAlignment="1">
      <alignment horizontal="center" vertical="center"/>
    </xf>
    <xf numFmtId="4" fontId="13" fillId="0" borderId="76" xfId="0" applyNumberFormat="1" applyFont="1" applyBorder="1" applyAlignment="1">
      <alignment horizontal="center" vertical="center"/>
    </xf>
    <xf numFmtId="4" fontId="13" fillId="0" borderId="75" xfId="0" applyNumberFormat="1" applyFont="1" applyBorder="1" applyAlignment="1">
      <alignment horizontal="center" vertical="center"/>
    </xf>
    <xf numFmtId="4" fontId="13" fillId="0" borderId="138" xfId="0" applyNumberFormat="1" applyFont="1" applyBorder="1" applyAlignment="1">
      <alignment horizontal="center" vertical="center"/>
    </xf>
    <xf numFmtId="4" fontId="13" fillId="0" borderId="139" xfId="0" applyNumberFormat="1" applyFont="1" applyBorder="1" applyAlignment="1">
      <alignment horizontal="center" vertical="center"/>
    </xf>
    <xf numFmtId="4" fontId="13" fillId="0" borderId="140" xfId="0" applyNumberFormat="1" applyFont="1" applyBorder="1" applyAlignment="1">
      <alignment horizontal="center" vertical="center"/>
    </xf>
    <xf numFmtId="0" fontId="27" fillId="0" borderId="87" xfId="12" applyFont="1" applyBorder="1" applyAlignment="1">
      <alignment horizontal="center" vertical="center"/>
    </xf>
    <xf numFmtId="0" fontId="27" fillId="0" borderId="72" xfId="12" applyFont="1" applyBorder="1" applyAlignment="1">
      <alignment horizontal="center" vertical="center"/>
    </xf>
    <xf numFmtId="0" fontId="27" fillId="29" borderId="101" xfId="12" applyFont="1" applyFill="1" applyBorder="1" applyAlignment="1">
      <alignment horizontal="center" vertical="center"/>
    </xf>
    <xf numFmtId="0" fontId="27" fillId="29" borderId="96" xfId="12" applyFont="1" applyFill="1" applyBorder="1" applyAlignment="1">
      <alignment horizontal="center" vertical="center"/>
    </xf>
    <xf numFmtId="0" fontId="45" fillId="0" borderId="141" xfId="12" applyFont="1" applyBorder="1" applyAlignment="1">
      <alignment horizontal="center" vertical="center"/>
    </xf>
    <xf numFmtId="0" fontId="45" fillId="0" borderId="142" xfId="12" applyFont="1" applyBorder="1" applyAlignment="1">
      <alignment horizontal="center" vertical="center"/>
    </xf>
    <xf numFmtId="0" fontId="45" fillId="0" borderId="143" xfId="12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27" fillId="14" borderId="147" xfId="0" applyFont="1" applyFill="1" applyBorder="1" applyAlignment="1">
      <alignment horizontal="center" vertical="center"/>
    </xf>
    <xf numFmtId="0" fontId="27" fillId="14" borderId="148" xfId="0" applyFont="1" applyFill="1" applyBorder="1" applyAlignment="1">
      <alignment horizontal="center" vertical="center"/>
    </xf>
    <xf numFmtId="0" fontId="27" fillId="14" borderId="149" xfId="0" applyFont="1" applyFill="1" applyBorder="1" applyAlignment="1">
      <alignment horizontal="center" vertical="center"/>
    </xf>
    <xf numFmtId="0" fontId="31" fillId="36" borderId="151" xfId="0" applyFont="1" applyFill="1" applyBorder="1" applyAlignment="1">
      <alignment horizontal="center" vertical="center"/>
    </xf>
    <xf numFmtId="0" fontId="31" fillId="36" borderId="152" xfId="0" applyFont="1" applyFill="1" applyBorder="1" applyAlignment="1">
      <alignment horizontal="center" vertical="center"/>
    </xf>
    <xf numFmtId="0" fontId="31" fillId="36" borderId="149" xfId="0" applyFont="1" applyFill="1" applyBorder="1" applyAlignment="1">
      <alignment horizontal="center" vertical="center"/>
    </xf>
    <xf numFmtId="0" fontId="13" fillId="30" borderId="10" xfId="0" applyFont="1" applyFill="1" applyBorder="1" applyAlignment="1">
      <alignment horizontal="center" vertical="center"/>
    </xf>
    <xf numFmtId="0" fontId="13" fillId="0" borderId="91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8" fillId="31" borderId="129" xfId="0" applyFont="1" applyFill="1" applyBorder="1" applyAlignment="1">
      <alignment horizontal="left" vertical="center" wrapText="1"/>
    </xf>
    <xf numFmtId="0" fontId="8" fillId="31" borderId="118" xfId="0" applyFont="1" applyFill="1" applyBorder="1" applyAlignment="1">
      <alignment horizontal="left" vertical="center" wrapText="1"/>
    </xf>
    <xf numFmtId="0" fontId="8" fillId="31" borderId="130" xfId="0" applyFont="1" applyFill="1" applyBorder="1" applyAlignment="1">
      <alignment horizontal="left" vertical="center" wrapText="1"/>
    </xf>
    <xf numFmtId="0" fontId="8" fillId="31" borderId="112" xfId="0" applyFont="1" applyFill="1" applyBorder="1" applyAlignment="1">
      <alignment horizontal="left" vertical="center" wrapText="1"/>
    </xf>
    <xf numFmtId="0" fontId="8" fillId="31" borderId="113" xfId="0" applyFont="1" applyFill="1" applyBorder="1" applyAlignment="1">
      <alignment horizontal="left" vertical="center" wrapText="1"/>
    </xf>
    <xf numFmtId="0" fontId="8" fillId="31" borderId="150" xfId="0" applyFont="1" applyFill="1" applyBorder="1" applyAlignment="1">
      <alignment horizontal="left" vertical="center" wrapText="1"/>
    </xf>
    <xf numFmtId="0" fontId="12" fillId="32" borderId="151" xfId="0" applyFont="1" applyFill="1" applyBorder="1" applyAlignment="1">
      <alignment horizontal="center" vertical="center"/>
    </xf>
    <xf numFmtId="0" fontId="12" fillId="32" borderId="152" xfId="0" applyFont="1" applyFill="1" applyBorder="1" applyAlignment="1">
      <alignment horizontal="center" vertical="center"/>
    </xf>
    <xf numFmtId="0" fontId="12" fillId="32" borderId="149" xfId="0" applyFont="1" applyFill="1" applyBorder="1" applyAlignment="1">
      <alignment horizontal="center" vertical="center"/>
    </xf>
    <xf numFmtId="0" fontId="8" fillId="31" borderId="99" xfId="0" applyFont="1" applyFill="1" applyBorder="1" applyAlignment="1">
      <alignment horizontal="left" vertical="center" wrapText="1"/>
    </xf>
    <xf numFmtId="0" fontId="8" fillId="31" borderId="77" xfId="0" applyFont="1" applyFill="1" applyBorder="1" applyAlignment="1">
      <alignment horizontal="left" vertical="center" wrapText="1"/>
    </xf>
    <xf numFmtId="0" fontId="8" fillId="31" borderId="100" xfId="0" applyFont="1" applyFill="1" applyBorder="1" applyAlignment="1">
      <alignment horizontal="left" vertical="center" wrapText="1"/>
    </xf>
    <xf numFmtId="0" fontId="27" fillId="14" borderId="166" xfId="12" applyFont="1" applyFill="1" applyBorder="1" applyAlignment="1">
      <alignment horizontal="center" vertical="center" wrapText="1"/>
    </xf>
    <xf numFmtId="0" fontId="27" fillId="14" borderId="167" xfId="12" applyFont="1" applyFill="1" applyBorder="1" applyAlignment="1">
      <alignment horizontal="center" vertical="center" wrapText="1"/>
    </xf>
    <xf numFmtId="0" fontId="27" fillId="14" borderId="269" xfId="12" applyFont="1" applyFill="1" applyBorder="1" applyAlignment="1">
      <alignment horizontal="center" vertical="center" wrapText="1"/>
    </xf>
    <xf numFmtId="0" fontId="27" fillId="14" borderId="168" xfId="12" applyFont="1" applyFill="1" applyBorder="1" applyAlignment="1">
      <alignment horizontal="center" vertical="center" wrapText="1"/>
    </xf>
    <xf numFmtId="0" fontId="27" fillId="14" borderId="85" xfId="12" applyFont="1" applyFill="1" applyBorder="1" applyAlignment="1">
      <alignment horizontal="center" vertical="center"/>
    </xf>
    <xf numFmtId="0" fontId="27" fillId="14" borderId="69" xfId="12" applyFont="1" applyFill="1" applyBorder="1" applyAlignment="1">
      <alignment horizontal="center" vertical="center"/>
    </xf>
    <xf numFmtId="0" fontId="27" fillId="14" borderId="198" xfId="12" applyFont="1" applyFill="1" applyBorder="1" applyAlignment="1">
      <alignment horizontal="center" vertical="center"/>
    </xf>
    <xf numFmtId="0" fontId="27" fillId="14" borderId="86" xfId="12" applyFont="1" applyFill="1" applyBorder="1" applyAlignment="1">
      <alignment horizontal="center" vertical="center"/>
    </xf>
    <xf numFmtId="0" fontId="7" fillId="0" borderId="136" xfId="12" applyFont="1" applyBorder="1" applyAlignment="1">
      <alignment horizontal="left" vertical="center" wrapText="1"/>
    </xf>
    <xf numFmtId="0" fontId="7" fillId="0" borderId="76" xfId="12" applyFont="1" applyBorder="1" applyAlignment="1">
      <alignment horizontal="left" vertical="center" wrapText="1"/>
    </xf>
    <xf numFmtId="0" fontId="7" fillId="0" borderId="169" xfId="12" applyFont="1" applyBorder="1" applyAlignment="1">
      <alignment horizontal="left" vertical="center" wrapText="1"/>
    </xf>
    <xf numFmtId="0" fontId="13" fillId="0" borderId="170" xfId="12" applyFont="1" applyBorder="1" applyAlignment="1">
      <alignment horizontal="left" vertical="center" wrapText="1"/>
    </xf>
    <xf numFmtId="0" fontId="13" fillId="0" borderId="171" xfId="12" applyFont="1" applyBorder="1" applyAlignment="1">
      <alignment horizontal="left" vertical="center" wrapText="1"/>
    </xf>
    <xf numFmtId="0" fontId="13" fillId="0" borderId="172" xfId="12" applyFont="1" applyBorder="1" applyAlignment="1">
      <alignment horizontal="left" vertical="center" wrapText="1"/>
    </xf>
    <xf numFmtId="4" fontId="25" fillId="14" borderId="167" xfId="12" applyNumberFormat="1" applyFont="1" applyFill="1" applyBorder="1" applyAlignment="1">
      <alignment horizontal="center" vertical="center" wrapText="1"/>
    </xf>
    <xf numFmtId="4" fontId="25" fillId="29" borderId="167" xfId="12" applyNumberFormat="1" applyFont="1" applyFill="1" applyBorder="1" applyAlignment="1">
      <alignment horizontal="center" vertical="center" wrapText="1"/>
    </xf>
    <xf numFmtId="4" fontId="25" fillId="25" borderId="168" xfId="12" applyNumberFormat="1" applyFont="1" applyFill="1" applyBorder="1" applyAlignment="1">
      <alignment horizontal="center" vertical="center" wrapText="1"/>
    </xf>
    <xf numFmtId="0" fontId="13" fillId="14" borderId="107" xfId="12" applyFont="1" applyFill="1" applyBorder="1" applyAlignment="1">
      <alignment horizontal="left" vertical="center" wrapText="1"/>
    </xf>
    <xf numFmtId="0" fontId="13" fillId="14" borderId="146" xfId="12" applyFont="1" applyFill="1" applyBorder="1" applyAlignment="1">
      <alignment horizontal="left" vertical="center" wrapText="1"/>
    </xf>
    <xf numFmtId="0" fontId="13" fillId="14" borderId="173" xfId="12" applyFont="1" applyFill="1" applyBorder="1" applyAlignment="1">
      <alignment horizontal="center" vertical="center"/>
    </xf>
    <xf numFmtId="0" fontId="13" fillId="14" borderId="174" xfId="12" applyFont="1" applyFill="1" applyBorder="1" applyAlignment="1">
      <alignment horizontal="center" vertical="center"/>
    </xf>
    <xf numFmtId="0" fontId="13" fillId="14" borderId="270" xfId="12" applyFont="1" applyFill="1" applyBorder="1" applyAlignment="1">
      <alignment horizontal="center" vertical="center"/>
    </xf>
    <xf numFmtId="0" fontId="13" fillId="14" borderId="175" xfId="12" applyFont="1" applyFill="1" applyBorder="1" applyAlignment="1">
      <alignment horizontal="center" vertical="center"/>
    </xf>
    <xf numFmtId="0" fontId="19" fillId="0" borderId="96" xfId="12" applyFont="1" applyBorder="1" applyAlignment="1">
      <alignment horizontal="center" vertical="center"/>
    </xf>
    <xf numFmtId="4" fontId="19" fillId="0" borderId="97" xfId="12" applyNumberFormat="1" applyFont="1" applyBorder="1" applyAlignment="1">
      <alignment horizontal="center" vertical="center" wrapText="1"/>
    </xf>
    <xf numFmtId="4" fontId="19" fillId="0" borderId="271" xfId="12" applyNumberFormat="1" applyFont="1" applyBorder="1" applyAlignment="1">
      <alignment horizontal="center" vertical="center" wrapText="1"/>
    </xf>
    <xf numFmtId="4" fontId="19" fillId="0" borderId="102" xfId="12" applyNumberFormat="1" applyFont="1" applyBorder="1" applyAlignment="1">
      <alignment horizontal="center" vertical="center" wrapText="1"/>
    </xf>
    <xf numFmtId="0" fontId="8" fillId="0" borderId="131" xfId="12" applyFont="1" applyBorder="1" applyAlignment="1">
      <alignment horizontal="center" vertical="center"/>
    </xf>
    <xf numFmtId="0" fontId="8" fillId="0" borderId="141" xfId="12" applyFont="1" applyBorder="1" applyAlignment="1">
      <alignment horizontal="center" vertical="center"/>
    </xf>
    <xf numFmtId="0" fontId="8" fillId="0" borderId="96" xfId="12" applyFont="1" applyBorder="1" applyAlignment="1" applyProtection="1">
      <alignment horizontal="left" vertical="center" wrapText="1"/>
      <protection locked="0"/>
    </xf>
    <xf numFmtId="0" fontId="13" fillId="14" borderId="89" xfId="12" applyFont="1" applyFill="1" applyBorder="1" applyAlignment="1">
      <alignment horizontal="left" vertical="center"/>
    </xf>
    <xf numFmtId="0" fontId="8" fillId="0" borderId="117" xfId="12" applyFont="1" applyBorder="1" applyAlignment="1">
      <alignment horizontal="left" vertical="center"/>
    </xf>
    <xf numFmtId="0" fontId="8" fillId="0" borderId="101" xfId="12" applyFont="1" applyBorder="1" applyAlignment="1">
      <alignment horizontal="left" vertical="center"/>
    </xf>
    <xf numFmtId="0" fontId="8" fillId="0" borderId="95" xfId="12" applyFont="1" applyBorder="1" applyAlignment="1">
      <alignment horizontal="left" vertical="center"/>
    </xf>
    <xf numFmtId="9" fontId="13" fillId="14" borderId="177" xfId="20" applyFont="1" applyFill="1" applyBorder="1" applyAlignment="1" applyProtection="1">
      <alignment horizontal="left" vertical="center"/>
    </xf>
    <xf numFmtId="9" fontId="13" fillId="14" borderId="178" xfId="20" applyFont="1" applyFill="1" applyBorder="1" applyAlignment="1" applyProtection="1">
      <alignment horizontal="left" vertical="center"/>
    </xf>
    <xf numFmtId="0" fontId="13" fillId="14" borderId="181" xfId="12" applyFont="1" applyFill="1" applyBorder="1" applyAlignment="1">
      <alignment horizontal="center" vertical="center"/>
    </xf>
    <xf numFmtId="0" fontId="13" fillId="14" borderId="156" xfId="12" applyFont="1" applyFill="1" applyBorder="1" applyAlignment="1">
      <alignment horizontal="center" vertical="center"/>
    </xf>
    <xf numFmtId="0" fontId="13" fillId="14" borderId="182" xfId="12" applyFont="1" applyFill="1" applyBorder="1" applyAlignment="1">
      <alignment horizontal="center" vertical="center"/>
    </xf>
    <xf numFmtId="0" fontId="8" fillId="0" borderId="101" xfId="12" applyFont="1" applyBorder="1" applyAlignment="1">
      <alignment horizontal="center" vertical="center"/>
    </xf>
    <xf numFmtId="0" fontId="8" fillId="0" borderId="95" xfId="12" applyFont="1" applyBorder="1" applyAlignment="1">
      <alignment horizontal="center" vertical="center"/>
    </xf>
    <xf numFmtId="0" fontId="8" fillId="0" borderId="96" xfId="12" applyFont="1" applyBorder="1" applyAlignment="1">
      <alignment horizontal="center" vertical="center"/>
    </xf>
    <xf numFmtId="4" fontId="8" fillId="0" borderId="97" xfId="12" applyNumberFormat="1" applyFont="1" applyBorder="1" applyAlignment="1">
      <alignment horizontal="center" vertical="center"/>
    </xf>
    <xf numFmtId="4" fontId="8" fillId="0" borderId="271" xfId="12" applyNumberFormat="1" applyFont="1" applyBorder="1" applyAlignment="1">
      <alignment horizontal="center" vertical="center"/>
    </xf>
    <xf numFmtId="4" fontId="8" fillId="0" borderId="102" xfId="12" applyNumberFormat="1" applyFont="1" applyBorder="1" applyAlignment="1">
      <alignment horizontal="center" vertical="center"/>
    </xf>
    <xf numFmtId="0" fontId="8" fillId="0" borderId="101" xfId="12" applyFont="1" applyBorder="1" applyAlignment="1">
      <alignment horizontal="left" vertical="center" wrapText="1"/>
    </xf>
    <xf numFmtId="0" fontId="8" fillId="0" borderId="95" xfId="12" applyFont="1" applyBorder="1" applyAlignment="1">
      <alignment horizontal="left" vertical="center" wrapText="1"/>
    </xf>
    <xf numFmtId="0" fontId="8" fillId="0" borderId="131" xfId="12" applyFont="1" applyBorder="1" applyAlignment="1">
      <alignment horizontal="left" vertical="center"/>
    </xf>
    <xf numFmtId="0" fontId="8" fillId="0" borderId="155" xfId="12" applyFont="1" applyBorder="1" applyAlignment="1">
      <alignment horizontal="left" vertical="center"/>
    </xf>
    <xf numFmtId="0" fontId="13" fillId="14" borderId="183" xfId="12" applyFont="1" applyFill="1" applyBorder="1" applyAlignment="1">
      <alignment horizontal="left" vertical="center"/>
    </xf>
    <xf numFmtId="0" fontId="13" fillId="14" borderId="184" xfId="12" applyFont="1" applyFill="1" applyBorder="1" applyAlignment="1">
      <alignment horizontal="left" vertical="center"/>
    </xf>
    <xf numFmtId="4" fontId="8" fillId="0" borderId="145" xfId="12" applyNumberFormat="1" applyFont="1" applyBorder="1" applyAlignment="1">
      <alignment horizontal="center" vertical="center" wrapText="1"/>
    </xf>
    <xf numFmtId="4" fontId="8" fillId="0" borderId="273" xfId="12" applyNumberFormat="1" applyFont="1" applyBorder="1" applyAlignment="1">
      <alignment horizontal="center" vertical="center" wrapText="1"/>
    </xf>
    <xf numFmtId="4" fontId="8" fillId="0" borderId="130" xfId="12" applyNumberFormat="1" applyFont="1" applyBorder="1" applyAlignment="1">
      <alignment horizontal="center" vertical="center" wrapText="1"/>
    </xf>
    <xf numFmtId="0" fontId="8" fillId="0" borderId="101" xfId="12" applyFont="1" applyBorder="1" applyAlignment="1">
      <alignment vertical="center"/>
    </xf>
    <xf numFmtId="0" fontId="8" fillId="0" borderId="95" xfId="12" applyFont="1" applyBorder="1" applyAlignment="1">
      <alignment vertical="center"/>
    </xf>
    <xf numFmtId="0" fontId="13" fillId="14" borderId="136" xfId="12" applyFont="1" applyFill="1" applyBorder="1" applyAlignment="1">
      <alignment horizontal="left" vertical="center"/>
    </xf>
    <xf numFmtId="0" fontId="13" fillId="14" borderId="70" xfId="12" applyFont="1" applyFill="1" applyBorder="1" applyAlignment="1">
      <alignment horizontal="left" vertical="center"/>
    </xf>
    <xf numFmtId="0" fontId="13" fillId="14" borderId="185" xfId="12" applyFont="1" applyFill="1" applyBorder="1" applyAlignment="1">
      <alignment horizontal="center" vertical="center"/>
    </xf>
    <xf numFmtId="0" fontId="13" fillId="14" borderId="186" xfId="12" applyFont="1" applyFill="1" applyBorder="1" applyAlignment="1">
      <alignment horizontal="center" vertical="center"/>
    </xf>
    <xf numFmtId="0" fontId="13" fillId="14" borderId="274" xfId="12" applyFont="1" applyFill="1" applyBorder="1" applyAlignment="1">
      <alignment horizontal="center" vertical="center"/>
    </xf>
    <xf numFmtId="0" fontId="13" fillId="14" borderId="187" xfId="12" applyFont="1" applyFill="1" applyBorder="1" applyAlignment="1">
      <alignment horizontal="center" vertical="center"/>
    </xf>
    <xf numFmtId="4" fontId="13" fillId="21" borderId="49" xfId="20" applyNumberFormat="1" applyFont="1" applyFill="1" applyBorder="1" applyAlignment="1" applyProtection="1">
      <alignment horizontal="center" vertical="center" wrapText="1"/>
    </xf>
    <xf numFmtId="4" fontId="13" fillId="21" borderId="218" xfId="20" applyNumberFormat="1" applyFont="1" applyFill="1" applyBorder="1" applyAlignment="1" applyProtection="1">
      <alignment horizontal="center" vertical="center" wrapText="1"/>
    </xf>
    <xf numFmtId="0" fontId="13" fillId="14" borderId="141" xfId="12" applyFont="1" applyFill="1" applyBorder="1" applyAlignment="1">
      <alignment horizontal="center" vertical="center"/>
    </xf>
    <xf numFmtId="0" fontId="13" fillId="14" borderId="142" xfId="12" applyFont="1" applyFill="1" applyBorder="1" applyAlignment="1">
      <alignment horizontal="center" vertical="center"/>
    </xf>
    <xf numFmtId="0" fontId="13" fillId="14" borderId="165" xfId="12" applyFont="1" applyFill="1" applyBorder="1" applyAlignment="1">
      <alignment horizontal="center" vertical="center"/>
    </xf>
    <xf numFmtId="0" fontId="13" fillId="14" borderId="91" xfId="12" applyFont="1" applyFill="1" applyBorder="1" applyAlignment="1">
      <alignment vertical="center"/>
    </xf>
    <xf numFmtId="0" fontId="13" fillId="14" borderId="89" xfId="12" applyFont="1" applyFill="1" applyBorder="1" applyAlignment="1">
      <alignment vertical="center"/>
    </xf>
    <xf numFmtId="0" fontId="13" fillId="14" borderId="91" xfId="12" applyFont="1" applyFill="1" applyBorder="1" applyAlignment="1">
      <alignment vertical="center" wrapText="1"/>
    </xf>
    <xf numFmtId="0" fontId="13" fillId="14" borderId="89" xfId="12" applyFont="1" applyFill="1" applyBorder="1" applyAlignment="1">
      <alignment vertical="center" wrapText="1"/>
    </xf>
    <xf numFmtId="0" fontId="13" fillId="24" borderId="15" xfId="0" applyFont="1" applyFill="1" applyBorder="1" applyAlignment="1">
      <alignment vertical="center"/>
    </xf>
    <xf numFmtId="0" fontId="13" fillId="24" borderId="16" xfId="0" applyFont="1" applyFill="1" applyBorder="1" applyAlignment="1">
      <alignment vertical="center"/>
    </xf>
    <xf numFmtId="0" fontId="31" fillId="37" borderId="59" xfId="4" applyFont="1" applyFill="1" applyBorder="1" applyAlignment="1">
      <alignment horizontal="center" vertical="center" wrapText="1"/>
    </xf>
    <xf numFmtId="0" fontId="31" fillId="37" borderId="60" xfId="4" applyFont="1" applyFill="1" applyBorder="1" applyAlignment="1">
      <alignment horizontal="center" vertical="center" wrapText="1"/>
    </xf>
    <xf numFmtId="0" fontId="31" fillId="37" borderId="275" xfId="4" applyFont="1" applyFill="1" applyBorder="1" applyAlignment="1">
      <alignment horizontal="center" vertical="center" wrapText="1"/>
    </xf>
    <xf numFmtId="0" fontId="31" fillId="37" borderId="61" xfId="4" applyFont="1" applyFill="1" applyBorder="1" applyAlignment="1">
      <alignment horizontal="center" vertical="center" wrapText="1"/>
    </xf>
    <xf numFmtId="0" fontId="12" fillId="0" borderId="59" xfId="4" applyFont="1" applyBorder="1" applyAlignment="1">
      <alignment horizontal="center" vertical="center" wrapText="1"/>
    </xf>
    <xf numFmtId="0" fontId="12" fillId="0" borderId="60" xfId="4" applyFont="1" applyBorder="1" applyAlignment="1">
      <alignment horizontal="center" vertical="center" wrapText="1"/>
    </xf>
    <xf numFmtId="0" fontId="12" fillId="0" borderId="275" xfId="4" applyFont="1" applyBorder="1" applyAlignment="1">
      <alignment horizontal="center" vertical="center" wrapText="1"/>
    </xf>
    <xf numFmtId="0" fontId="12" fillId="0" borderId="61" xfId="4" applyFont="1" applyBorder="1" applyAlignment="1">
      <alignment horizontal="center" vertical="center" wrapText="1"/>
    </xf>
    <xf numFmtId="0" fontId="8" fillId="15" borderId="62" xfId="4" applyFont="1" applyFill="1" applyBorder="1" applyAlignment="1">
      <alignment horizontal="center" vertical="center"/>
    </xf>
    <xf numFmtId="0" fontId="8" fillId="15" borderId="63" xfId="4" applyFont="1" applyFill="1" applyBorder="1" applyAlignment="1">
      <alignment horizontal="center" vertical="center"/>
    </xf>
    <xf numFmtId="0" fontId="8" fillId="15" borderId="276" xfId="4" applyFont="1" applyFill="1" applyBorder="1" applyAlignment="1">
      <alignment horizontal="center" vertical="center"/>
    </xf>
    <xf numFmtId="0" fontId="8" fillId="15" borderId="64" xfId="4" applyFont="1" applyFill="1" applyBorder="1" applyAlignment="1">
      <alignment horizontal="center" vertical="center"/>
    </xf>
    <xf numFmtId="0" fontId="27" fillId="14" borderId="195" xfId="4" applyFont="1" applyFill="1" applyBorder="1" applyAlignment="1">
      <alignment horizontal="center" vertical="center" wrapText="1"/>
    </xf>
    <xf numFmtId="0" fontId="27" fillId="14" borderId="196" xfId="4" applyFont="1" applyFill="1" applyBorder="1" applyAlignment="1">
      <alignment horizontal="center" vertical="center" wrapText="1"/>
    </xf>
    <xf numFmtId="0" fontId="13" fillId="14" borderId="197" xfId="4" applyFont="1" applyFill="1" applyBorder="1" applyAlignment="1">
      <alignment horizontal="center" vertical="center" textRotation="90"/>
    </xf>
    <xf numFmtId="0" fontId="13" fillId="14" borderId="166" xfId="4" applyFont="1" applyFill="1" applyBorder="1" applyAlignment="1">
      <alignment horizontal="center" vertical="center" textRotation="90"/>
    </xf>
    <xf numFmtId="0" fontId="12" fillId="14" borderId="198" xfId="4" applyFont="1" applyFill="1" applyBorder="1" applyAlignment="1">
      <alignment horizontal="center" vertical="center" wrapText="1"/>
    </xf>
    <xf numFmtId="0" fontId="12" fillId="14" borderId="186" xfId="4" applyFont="1" applyFill="1" applyBorder="1" applyAlignment="1">
      <alignment horizontal="center" vertical="center" wrapText="1"/>
    </xf>
    <xf numFmtId="0" fontId="27" fillId="14" borderId="70" xfId="4" applyFont="1" applyFill="1" applyBorder="1" applyAlignment="1">
      <alignment horizontal="center" vertical="center"/>
    </xf>
    <xf numFmtId="0" fontId="27" fillId="14" borderId="1" xfId="4" applyFont="1" applyFill="1" applyBorder="1" applyAlignment="1">
      <alignment horizontal="center" vertical="center"/>
    </xf>
    <xf numFmtId="0" fontId="27" fillId="14" borderId="199" xfId="4" applyFont="1" applyFill="1" applyBorder="1" applyAlignment="1">
      <alignment horizontal="center" vertical="center" wrapText="1"/>
    </xf>
    <xf numFmtId="0" fontId="27" fillId="14" borderId="280" xfId="4" applyFont="1" applyFill="1" applyBorder="1" applyAlignment="1">
      <alignment horizontal="center" vertical="center" wrapText="1"/>
    </xf>
    <xf numFmtId="0" fontId="12" fillId="14" borderId="200" xfId="4" applyFont="1" applyFill="1" applyBorder="1" applyAlignment="1">
      <alignment horizontal="center" vertical="center" wrapText="1"/>
    </xf>
    <xf numFmtId="0" fontId="12" fillId="14" borderId="270" xfId="4" applyFont="1" applyFill="1" applyBorder="1" applyAlignment="1">
      <alignment horizontal="center" vertical="center" wrapText="1"/>
    </xf>
    <xf numFmtId="0" fontId="8" fillId="14" borderId="144" xfId="4" applyFont="1" applyFill="1" applyBorder="1" applyAlignment="1">
      <alignment horizontal="center" vertical="center" wrapText="1"/>
    </xf>
    <xf numFmtId="0" fontId="32" fillId="14" borderId="184" xfId="4" applyFont="1" applyFill="1" applyBorder="1" applyAlignment="1">
      <alignment horizontal="center" vertical="center" wrapText="1"/>
    </xf>
    <xf numFmtId="0" fontId="32" fillId="14" borderId="207" xfId="4" applyFont="1" applyFill="1" applyBorder="1" applyAlignment="1">
      <alignment horizontal="center" vertical="center" wrapText="1"/>
    </xf>
    <xf numFmtId="0" fontId="8" fillId="14" borderId="201" xfId="4" applyFont="1" applyFill="1" applyBorder="1" applyAlignment="1">
      <alignment horizontal="center" vertical="center" wrapText="1"/>
    </xf>
    <xf numFmtId="0" fontId="8" fillId="14" borderId="77" xfId="4" applyFont="1" applyFill="1" applyBorder="1" applyAlignment="1">
      <alignment horizontal="center" vertical="center" wrapText="1"/>
    </xf>
    <xf numFmtId="0" fontId="8" fillId="14" borderId="81" xfId="4" applyFont="1" applyFill="1" applyBorder="1" applyAlignment="1">
      <alignment horizontal="center" vertical="center" wrapText="1"/>
    </xf>
    <xf numFmtId="0" fontId="8" fillId="14" borderId="82" xfId="4" applyFont="1" applyFill="1" applyBorder="1" applyAlignment="1">
      <alignment horizontal="center" vertical="center" wrapText="1"/>
    </xf>
    <xf numFmtId="0" fontId="8" fillId="14" borderId="252" xfId="4" applyFont="1" applyFill="1" applyBorder="1" applyAlignment="1">
      <alignment horizontal="center" vertical="center" wrapText="1"/>
    </xf>
    <xf numFmtId="0" fontId="12" fillId="14" borderId="147" xfId="4" applyFont="1" applyFill="1" applyBorder="1" applyAlignment="1">
      <alignment horizontal="center" vertical="center" wrapText="1"/>
    </xf>
    <xf numFmtId="0" fontId="12" fillId="14" borderId="162" xfId="4" applyFont="1" applyFill="1" applyBorder="1" applyAlignment="1">
      <alignment horizontal="center" vertical="center" wrapText="1"/>
    </xf>
    <xf numFmtId="0" fontId="12" fillId="14" borderId="261" xfId="4" applyFont="1" applyFill="1" applyBorder="1" applyAlignment="1">
      <alignment horizontal="center" vertical="center" wrapText="1"/>
    </xf>
    <xf numFmtId="0" fontId="12" fillId="14" borderId="262" xfId="4" applyFont="1" applyFill="1" applyBorder="1" applyAlignment="1">
      <alignment horizontal="center" vertical="center" wrapText="1"/>
    </xf>
    <xf numFmtId="0" fontId="12" fillId="14" borderId="295" xfId="4" applyFont="1" applyFill="1" applyBorder="1" applyAlignment="1">
      <alignment horizontal="center" vertical="center" wrapText="1"/>
    </xf>
    <xf numFmtId="0" fontId="12" fillId="14" borderId="296" xfId="4" applyFont="1" applyFill="1" applyBorder="1" applyAlignment="1">
      <alignment horizontal="center" vertical="center" wrapText="1"/>
    </xf>
    <xf numFmtId="0" fontId="12" fillId="14" borderId="297" xfId="4" applyFont="1" applyFill="1" applyBorder="1" applyAlignment="1">
      <alignment horizontal="center" vertical="center" wrapText="1"/>
    </xf>
    <xf numFmtId="0" fontId="13" fillId="14" borderId="54" xfId="4" applyFont="1" applyFill="1" applyBorder="1" applyAlignment="1">
      <alignment horizontal="center" vertical="center" wrapText="1"/>
    </xf>
    <xf numFmtId="0" fontId="13" fillId="14" borderId="261" xfId="4" applyFont="1" applyFill="1" applyBorder="1" applyAlignment="1">
      <alignment horizontal="center" vertical="center" wrapText="1"/>
    </xf>
    <xf numFmtId="0" fontId="13" fillId="14" borderId="262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8" fillId="14" borderId="84" xfId="4" applyFont="1" applyFill="1" applyBorder="1" applyAlignment="1">
      <alignment horizontal="center" vertical="center" wrapText="1"/>
    </xf>
    <xf numFmtId="0" fontId="12" fillId="0" borderId="87" xfId="4" applyFont="1" applyBorder="1" applyAlignment="1">
      <alignment horizontal="center" vertical="center" textRotation="90"/>
    </xf>
    <xf numFmtId="0" fontId="12" fillId="0" borderId="132" xfId="4" applyFont="1" applyBorder="1" applyAlignment="1">
      <alignment horizontal="center" vertical="center" textRotation="90"/>
    </xf>
    <xf numFmtId="0" fontId="27" fillId="14" borderId="202" xfId="4" applyFont="1" applyFill="1" applyBorder="1" applyAlignment="1">
      <alignment horizontal="left" vertical="center"/>
    </xf>
    <xf numFmtId="0" fontId="27" fillId="14" borderId="203" xfId="4" applyFont="1" applyFill="1" applyBorder="1" applyAlignment="1">
      <alignment horizontal="left" vertical="center"/>
    </xf>
    <xf numFmtId="0" fontId="27" fillId="14" borderId="277" xfId="4" applyFont="1" applyFill="1" applyBorder="1" applyAlignment="1">
      <alignment horizontal="left" vertical="center"/>
    </xf>
    <xf numFmtId="0" fontId="16" fillId="0" borderId="69" xfId="4" applyFont="1" applyBorder="1" applyAlignment="1">
      <alignment horizontal="left"/>
    </xf>
    <xf numFmtId="0" fontId="16" fillId="0" borderId="198" xfId="4" applyFont="1" applyBorder="1" applyAlignment="1">
      <alignment horizontal="left"/>
    </xf>
    <xf numFmtId="0" fontId="8" fillId="14" borderId="292" xfId="4" applyFont="1" applyFill="1" applyBorder="1" applyAlignment="1">
      <alignment horizontal="center" vertical="center" wrapText="1"/>
    </xf>
    <xf numFmtId="0" fontId="8" fillId="14" borderId="298" xfId="4" applyFont="1" applyFill="1" applyBorder="1" applyAlignment="1">
      <alignment horizontal="center" vertical="center" wrapText="1"/>
    </xf>
    <xf numFmtId="0" fontId="8" fillId="0" borderId="69" xfId="4" applyFont="1" applyBorder="1" applyAlignment="1">
      <alignment horizontal="left" vertical="center" wrapText="1"/>
    </xf>
    <xf numFmtId="0" fontId="8" fillId="0" borderId="198" xfId="4" applyFont="1" applyBorder="1" applyAlignment="1">
      <alignment horizontal="left" vertical="center" wrapText="1"/>
    </xf>
    <xf numFmtId="0" fontId="8" fillId="0" borderId="68" xfId="4" applyFont="1" applyBorder="1" applyAlignment="1">
      <alignment horizontal="left" vertical="top" wrapText="1"/>
    </xf>
    <xf numFmtId="0" fontId="27" fillId="14" borderId="147" xfId="4" applyFont="1" applyFill="1" applyBorder="1" applyAlignment="1">
      <alignment horizontal="center" vertical="center" wrapText="1"/>
    </xf>
    <xf numFmtId="0" fontId="27" fillId="14" borderId="162" xfId="4" applyFont="1" applyFill="1" applyBorder="1" applyAlignment="1">
      <alignment horizontal="center" vertical="center" wrapText="1"/>
    </xf>
    <xf numFmtId="0" fontId="27" fillId="14" borderId="292" xfId="4" applyFont="1" applyFill="1" applyBorder="1" applyAlignment="1">
      <alignment horizontal="left" vertical="center"/>
    </xf>
    <xf numFmtId="0" fontId="27" fillId="14" borderId="293" xfId="4" applyFont="1" applyFill="1" applyBorder="1" applyAlignment="1">
      <alignment horizontal="left" vertical="center"/>
    </xf>
    <xf numFmtId="0" fontId="27" fillId="14" borderId="294" xfId="4" applyFont="1" applyFill="1" applyBorder="1" applyAlignment="1">
      <alignment horizontal="left" vertical="center"/>
    </xf>
    <xf numFmtId="0" fontId="47" fillId="24" borderId="220" xfId="29" applyFont="1" applyFill="1" applyBorder="1" applyAlignment="1">
      <alignment horizontal="center" vertical="center" wrapText="1"/>
    </xf>
    <xf numFmtId="0" fontId="47" fillId="24" borderId="43" xfId="29" applyFont="1" applyFill="1" applyBorder="1" applyAlignment="1">
      <alignment horizontal="center" vertical="center" wrapText="1"/>
    </xf>
    <xf numFmtId="0" fontId="47" fillId="24" borderId="44" xfId="29" applyFont="1" applyFill="1" applyBorder="1" applyAlignment="1">
      <alignment horizontal="center" vertical="center" wrapText="1"/>
    </xf>
    <xf numFmtId="0" fontId="25" fillId="23" borderId="78" xfId="29" applyFont="1" applyFill="1" applyBorder="1" applyAlignment="1">
      <alignment horizontal="center" vertical="center"/>
    </xf>
    <xf numFmtId="0" fontId="25" fillId="23" borderId="79" xfId="29" applyFont="1" applyFill="1" applyBorder="1" applyAlignment="1">
      <alignment horizontal="center" vertical="center"/>
    </xf>
    <xf numFmtId="0" fontId="25" fillId="23" borderId="80" xfId="29" applyFont="1" applyFill="1" applyBorder="1" applyAlignment="1">
      <alignment horizontal="center" vertical="center"/>
    </xf>
    <xf numFmtId="10" fontId="39" fillId="23" borderId="190" xfId="29" applyNumberFormat="1" applyFont="1" applyFill="1" applyBorder="1" applyAlignment="1">
      <alignment horizontal="center" vertical="center"/>
    </xf>
    <xf numFmtId="10" fontId="39" fillId="23" borderId="236" xfId="29" applyNumberFormat="1" applyFont="1" applyFill="1" applyBorder="1" applyAlignment="1">
      <alignment horizontal="center" vertical="center"/>
    </xf>
    <xf numFmtId="0" fontId="39" fillId="23" borderId="192" xfId="29" applyFont="1" applyFill="1" applyBorder="1" applyAlignment="1">
      <alignment horizontal="left" vertical="center" wrapText="1"/>
    </xf>
    <xf numFmtId="0" fontId="39" fillId="23" borderId="193" xfId="29" applyFont="1" applyFill="1" applyBorder="1" applyAlignment="1">
      <alignment horizontal="left" vertical="center" wrapText="1"/>
    </xf>
    <xf numFmtId="0" fontId="39" fillId="23" borderId="194" xfId="29" applyFont="1" applyFill="1" applyBorder="1" applyAlignment="1">
      <alignment horizontal="left" vertical="center" wrapText="1"/>
    </xf>
    <xf numFmtId="0" fontId="48" fillId="23" borderId="192" xfId="29" applyFont="1" applyFill="1" applyBorder="1" applyAlignment="1" applyProtection="1">
      <alignment horizontal="center" vertical="center"/>
      <protection locked="0"/>
    </xf>
    <xf numFmtId="0" fontId="48" fillId="23" borderId="193" xfId="29" applyFont="1" applyFill="1" applyBorder="1" applyAlignment="1" applyProtection="1">
      <alignment horizontal="center" vertical="center"/>
      <protection locked="0"/>
    </xf>
    <xf numFmtId="0" fontId="48" fillId="23" borderId="194" xfId="29" applyFont="1" applyFill="1" applyBorder="1" applyAlignment="1" applyProtection="1">
      <alignment horizontal="center" vertical="center"/>
      <protection locked="0"/>
    </xf>
    <xf numFmtId="0" fontId="8" fillId="0" borderId="222" xfId="29" applyFont="1" applyBorder="1" applyAlignment="1" applyProtection="1">
      <alignment horizontal="left" vertical="center"/>
      <protection locked="0"/>
    </xf>
    <xf numFmtId="0" fontId="39" fillId="0" borderId="208" xfId="29" applyFont="1" applyBorder="1" applyAlignment="1" applyProtection="1">
      <alignment horizontal="left" vertical="center"/>
      <protection locked="0"/>
    </xf>
    <xf numFmtId="0" fontId="39" fillId="0" borderId="222" xfId="29" applyFont="1" applyBorder="1" applyAlignment="1" applyProtection="1">
      <alignment horizontal="left" vertical="center"/>
      <protection locked="0"/>
    </xf>
    <xf numFmtId="0" fontId="39" fillId="24" borderId="222" xfId="29" applyFont="1" applyFill="1" applyBorder="1" applyAlignment="1" applyProtection="1">
      <alignment horizontal="left" vertical="center" wrapText="1"/>
      <protection locked="0"/>
    </xf>
    <xf numFmtId="0" fontId="39" fillId="24" borderId="222" xfId="29" applyFont="1" applyFill="1" applyBorder="1" applyAlignment="1" applyProtection="1">
      <alignment horizontal="center" vertical="center"/>
      <protection locked="0"/>
    </xf>
    <xf numFmtId="0" fontId="39" fillId="24" borderId="209" xfId="29" applyFont="1" applyFill="1" applyBorder="1" applyAlignment="1" applyProtection="1">
      <alignment horizontal="center" vertical="center"/>
      <protection locked="0"/>
    </xf>
    <xf numFmtId="0" fontId="49" fillId="34" borderId="79" xfId="29" applyFont="1" applyFill="1" applyBorder="1" applyAlignment="1">
      <alignment horizontal="left" vertical="center"/>
    </xf>
    <xf numFmtId="0" fontId="8" fillId="0" borderId="10" xfId="29" applyFont="1" applyBorder="1" applyAlignment="1">
      <alignment horizontal="left" vertical="center"/>
    </xf>
    <xf numFmtId="0" fontId="8" fillId="0" borderId="222" xfId="29" applyFont="1" applyBorder="1" applyAlignment="1">
      <alignment horizontal="left" vertical="center"/>
    </xf>
    <xf numFmtId="0" fontId="39" fillId="0" borderId="208" xfId="29" applyFont="1" applyBorder="1" applyAlignment="1">
      <alignment horizontal="left" vertical="center" wrapText="1"/>
    </xf>
    <xf numFmtId="0" fontId="39" fillId="0" borderId="222" xfId="29" applyFont="1" applyBorder="1" applyAlignment="1">
      <alignment horizontal="left" vertical="center" wrapText="1"/>
    </xf>
    <xf numFmtId="0" fontId="8" fillId="0" borderId="222" xfId="29" applyFont="1" applyBorder="1" applyAlignment="1" applyProtection="1">
      <alignment horizontal="left" vertical="center" wrapText="1"/>
      <protection locked="0"/>
    </xf>
    <xf numFmtId="0" fontId="39" fillId="24" borderId="78" xfId="29" applyFont="1" applyFill="1" applyBorder="1" applyAlignment="1">
      <alignment horizontal="center" vertical="center"/>
    </xf>
    <xf numFmtId="0" fontId="39" fillId="24" borderId="79" xfId="29" applyFont="1" applyFill="1" applyBorder="1" applyAlignment="1">
      <alignment horizontal="center" vertical="center"/>
    </xf>
    <xf numFmtId="0" fontId="39" fillId="24" borderId="80" xfId="29" applyFont="1" applyFill="1" applyBorder="1" applyAlignment="1">
      <alignment horizontal="center" vertical="center"/>
    </xf>
    <xf numFmtId="0" fontId="39" fillId="23" borderId="78" xfId="29" applyFont="1" applyFill="1" applyBorder="1" applyAlignment="1">
      <alignment horizontal="center" vertical="center"/>
    </xf>
    <xf numFmtId="0" fontId="39" fillId="23" borderId="79" xfId="29" applyFont="1" applyFill="1" applyBorder="1" applyAlignment="1">
      <alignment horizontal="center" vertical="center"/>
    </xf>
    <xf numFmtId="0" fontId="39" fillId="23" borderId="80" xfId="29" applyFont="1" applyFill="1" applyBorder="1" applyAlignment="1">
      <alignment horizontal="center" vertical="center"/>
    </xf>
    <xf numFmtId="0" fontId="39" fillId="24" borderId="10" xfId="29" applyFont="1" applyFill="1" applyBorder="1" applyAlignment="1" applyProtection="1">
      <alignment horizontal="center" vertical="center"/>
      <protection locked="0"/>
    </xf>
    <xf numFmtId="0" fontId="39" fillId="24" borderId="26" xfId="29" applyFont="1" applyFill="1" applyBorder="1" applyAlignment="1" applyProtection="1">
      <alignment horizontal="center" vertical="center"/>
      <protection locked="0"/>
    </xf>
    <xf numFmtId="0" fontId="39" fillId="0" borderId="208" xfId="29" applyFont="1" applyBorder="1" applyAlignment="1">
      <alignment horizontal="left" vertical="center"/>
    </xf>
    <xf numFmtId="0" fontId="39" fillId="0" borderId="222" xfId="29" applyFont="1" applyBorder="1" applyAlignment="1">
      <alignment horizontal="left" vertical="center"/>
    </xf>
    <xf numFmtId="0" fontId="13" fillId="0" borderId="222" xfId="29" applyFont="1" applyBorder="1" applyAlignment="1" applyProtection="1">
      <alignment horizontal="left" vertical="center" wrapText="1"/>
      <protection locked="0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7" fillId="19" borderId="14" xfId="0" applyFont="1" applyFill="1" applyBorder="1" applyAlignment="1">
      <alignment horizontal="center" vertical="center" wrapText="1"/>
    </xf>
    <xf numFmtId="0" fontId="27" fillId="19" borderId="36" xfId="0" applyFont="1" applyFill="1" applyBorder="1" applyAlignment="1">
      <alignment horizontal="center" vertical="center" wrapText="1"/>
    </xf>
    <xf numFmtId="0" fontId="27" fillId="19" borderId="37" xfId="0" applyFont="1" applyFill="1" applyBorder="1" applyAlignment="1">
      <alignment horizontal="center" vertical="center" wrapText="1"/>
    </xf>
    <xf numFmtId="0" fontId="40" fillId="19" borderId="14" xfId="0" applyFont="1" applyFill="1" applyBorder="1" applyAlignment="1">
      <alignment horizontal="center" vertical="center"/>
    </xf>
    <xf numFmtId="0" fontId="40" fillId="19" borderId="36" xfId="0" applyFont="1" applyFill="1" applyBorder="1" applyAlignment="1">
      <alignment horizontal="center" vertical="center"/>
    </xf>
    <xf numFmtId="0" fontId="40" fillId="19" borderId="37" xfId="0" applyFont="1" applyFill="1" applyBorder="1" applyAlignment="1">
      <alignment horizontal="center" vertical="center"/>
    </xf>
    <xf numFmtId="0" fontId="13" fillId="19" borderId="14" xfId="0" applyFont="1" applyFill="1" applyBorder="1" applyAlignment="1">
      <alignment horizontal="center" vertical="center" wrapText="1"/>
    </xf>
    <xf numFmtId="0" fontId="13" fillId="19" borderId="37" xfId="0" applyFont="1" applyFill="1" applyBorder="1" applyAlignment="1">
      <alignment horizontal="center" vertical="center" wrapText="1"/>
    </xf>
  </cellXfs>
  <cellStyles count="31">
    <cellStyle name="Excel Built-in Explanatory Text" xfId="13" xr:uid="{00000000-0005-0000-0000-000000000000}"/>
    <cellStyle name="Excel Built-in Explanatory Text 1" xfId="11" xr:uid="{00000000-0005-0000-0000-000001000000}"/>
    <cellStyle name="Excel Built-in Explanatory Text 2" xfId="30" xr:uid="{00000000-0005-0000-0000-000002000000}"/>
    <cellStyle name="Moeda" xfId="2" builtinId="4"/>
    <cellStyle name="Moeda 8" xfId="7" xr:uid="{00000000-0005-0000-0000-000004000000}"/>
    <cellStyle name="Normal" xfId="0" builtinId="0"/>
    <cellStyle name="Normal 12" xfId="5" xr:uid="{00000000-0005-0000-0000-000006000000}"/>
    <cellStyle name="Normal 2" xfId="4" xr:uid="{00000000-0005-0000-0000-000007000000}"/>
    <cellStyle name="Normal 2 2" xfId="18" xr:uid="{00000000-0005-0000-0000-000008000000}"/>
    <cellStyle name="Normal 2 2 2" xfId="26" xr:uid="{00000000-0005-0000-0000-000009000000}"/>
    <cellStyle name="Normal 3" xfId="12" xr:uid="{00000000-0005-0000-0000-00000A000000}"/>
    <cellStyle name="Normal 3 3" xfId="16" xr:uid="{00000000-0005-0000-0000-00000B000000}"/>
    <cellStyle name="Normal 4" xfId="21" xr:uid="{00000000-0005-0000-0000-00000C000000}"/>
    <cellStyle name="Normal 7 2" xfId="10" xr:uid="{00000000-0005-0000-0000-00000D000000}"/>
    <cellStyle name="Normal 8" xfId="29" xr:uid="{00000000-0005-0000-0000-00000E000000}"/>
    <cellStyle name="Normal 9" xfId="14" xr:uid="{00000000-0005-0000-0000-00000F000000}"/>
    <cellStyle name="Normal_Plan1" xfId="8" xr:uid="{00000000-0005-0000-0000-000010000000}"/>
    <cellStyle name="Porcentagem" xfId="3" builtinId="5"/>
    <cellStyle name="Porcentagem 12" xfId="17" xr:uid="{00000000-0005-0000-0000-000012000000}"/>
    <cellStyle name="Porcentagem 2" xfId="20" xr:uid="{00000000-0005-0000-0000-000013000000}"/>
    <cellStyle name="Porcentagem 4" xfId="19" xr:uid="{00000000-0005-0000-0000-000014000000}"/>
    <cellStyle name="Porcentagem 4 3" xfId="25" xr:uid="{00000000-0005-0000-0000-000015000000}"/>
    <cellStyle name="Separador de milhares 2 2" xfId="9" xr:uid="{00000000-0005-0000-0000-000017000000}"/>
    <cellStyle name="Separador de milhares 2 2 2" xfId="23" xr:uid="{00000000-0005-0000-0000-000018000000}"/>
    <cellStyle name="Separador de milhares 3" xfId="22" xr:uid="{00000000-0005-0000-0000-000019000000}"/>
    <cellStyle name="Separador de milhares 3 3" xfId="24" xr:uid="{00000000-0005-0000-0000-00001A000000}"/>
    <cellStyle name="Separador de milhares 4 3" xfId="28" xr:uid="{00000000-0005-0000-0000-00001B000000}"/>
    <cellStyle name="Texto Explicativo 4" xfId="6" xr:uid="{00000000-0005-0000-0000-00001C000000}"/>
    <cellStyle name="Vírgula" xfId="1" builtinId="3"/>
    <cellStyle name="Vírgula 2" xfId="15" xr:uid="{00000000-0005-0000-0000-00001D000000}"/>
    <cellStyle name="Vírgula 4" xfId="27" xr:uid="{00000000-0005-0000-0000-00001E000000}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99797"/>
      <color rgb="FFE3B1B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76200</xdr:rowOff>
    </xdr:from>
    <xdr:to>
      <xdr:col>1</xdr:col>
      <xdr:colOff>3814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8FD4EC-582B-4411-980F-ADE15DA4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76200"/>
          <a:ext cx="38481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38100</xdr:rowOff>
    </xdr:from>
    <xdr:to>
      <xdr:col>0</xdr:col>
      <xdr:colOff>581120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615CE9-B50E-4A31-A99B-37261872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38100"/>
          <a:ext cx="40967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38100</xdr:rowOff>
    </xdr:from>
    <xdr:to>
      <xdr:col>0</xdr:col>
      <xdr:colOff>581120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D040CC-1215-4BB5-B210-734B829E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38100"/>
          <a:ext cx="40967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38100</xdr:rowOff>
    </xdr:from>
    <xdr:to>
      <xdr:col>0</xdr:col>
      <xdr:colOff>581120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45819A-BECE-430C-82AB-409E0B22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38100"/>
          <a:ext cx="40967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38100</xdr:rowOff>
    </xdr:from>
    <xdr:to>
      <xdr:col>0</xdr:col>
      <xdr:colOff>581120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1DB3D8-EDD6-4A27-8702-CEE34ED7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38100"/>
          <a:ext cx="40967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38100</xdr:rowOff>
    </xdr:from>
    <xdr:to>
      <xdr:col>0</xdr:col>
      <xdr:colOff>581120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AE96D5-E020-4473-9960-D8850D96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38100"/>
          <a:ext cx="40967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66675</xdr:rowOff>
    </xdr:from>
    <xdr:to>
      <xdr:col>0</xdr:col>
      <xdr:colOff>666846</xdr:colOff>
      <xdr:row>2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D28C1A4-39BB-4378-A4E0-0993466B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6675"/>
          <a:ext cx="40967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400050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CECDCF-F310-4A16-B5D6-5E16E99704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250" y="57150"/>
          <a:ext cx="304800" cy="29527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38100</xdr:rowOff>
    </xdr:from>
    <xdr:to>
      <xdr:col>0</xdr:col>
      <xdr:colOff>457295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7EB5FC-5940-435B-9890-DB9781D2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38100"/>
          <a:ext cx="31442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402981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6D76C-B0D8-41B5-8541-A380D57EB5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250" y="57150"/>
          <a:ext cx="304800" cy="29527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112620</xdr:colOff>
      <xdr:row>0</xdr:row>
      <xdr:rowOff>56030</xdr:rowOff>
    </xdr:from>
    <xdr:to>
      <xdr:col>0</xdr:col>
      <xdr:colOff>571500</xdr:colOff>
      <xdr:row>2</xdr:row>
      <xdr:rowOff>204677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853D23-0248-4FD0-81D4-0EC7EB83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0" y="56030"/>
          <a:ext cx="458880" cy="529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457200</xdr:colOff>
      <xdr:row>2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B8E5665-2BD5-40A0-8542-AEE00C74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09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112060</xdr:rowOff>
    </xdr:from>
    <xdr:to>
      <xdr:col>1</xdr:col>
      <xdr:colOff>24753</xdr:colOff>
      <xdr:row>2</xdr:row>
      <xdr:rowOff>44824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39B9E9-51F5-4B63-B111-0071F1D8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12060"/>
          <a:ext cx="204047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76200</xdr:rowOff>
    </xdr:from>
    <xdr:to>
      <xdr:col>0</xdr:col>
      <xdr:colOff>477994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05E3A2-0BBB-490D-8091-14229255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6200"/>
          <a:ext cx="32559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0</xdr:col>
      <xdr:colOff>361950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5184C5-15CA-497F-8EE7-7AE5D9C5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264629</xdr:colOff>
      <xdr:row>0</xdr:row>
      <xdr:rowOff>52181</xdr:rowOff>
    </xdr:from>
    <xdr:to>
      <xdr:col>0</xdr:col>
      <xdr:colOff>638869</xdr:colOff>
      <xdr:row>2</xdr:row>
      <xdr:rowOff>82827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1DCFA-AC0A-474D-88B7-DA64D688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29" y="52181"/>
          <a:ext cx="3742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95250</xdr:rowOff>
    </xdr:from>
    <xdr:to>
      <xdr:col>0</xdr:col>
      <xdr:colOff>571500</xdr:colOff>
      <xdr:row>2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725EA37-40F0-4CD0-AFF7-061107C7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342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295275</xdr:colOff>
      <xdr:row>6</xdr:row>
      <xdr:rowOff>66675</xdr:rowOff>
    </xdr:from>
    <xdr:to>
      <xdr:col>4</xdr:col>
      <xdr:colOff>850900</xdr:colOff>
      <xdr:row>8</xdr:row>
      <xdr:rowOff>169333</xdr:rowOff>
    </xdr:to>
    <xdr:pic>
      <xdr:nvPicPr>
        <xdr:cNvPr id="6" name="Picture 16">
          <a:extLst>
            <a:ext uri="{FF2B5EF4-FFF2-40B4-BE49-F238E27FC236}">
              <a16:creationId xmlns:a16="http://schemas.microsoft.com/office/drawing/2014/main" id="{9CF025CF-946A-4653-8645-6291C7C7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447800"/>
          <a:ext cx="555625" cy="874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9</xdr:row>
      <xdr:rowOff>123825</xdr:rowOff>
    </xdr:from>
    <xdr:to>
      <xdr:col>4</xdr:col>
      <xdr:colOff>898525</xdr:colOff>
      <xdr:row>11</xdr:row>
      <xdr:rowOff>233891</xdr:rowOff>
    </xdr:to>
    <xdr:pic>
      <xdr:nvPicPr>
        <xdr:cNvPr id="7" name="Picture 36">
          <a:extLst>
            <a:ext uri="{FF2B5EF4-FFF2-40B4-BE49-F238E27FC236}">
              <a16:creationId xmlns:a16="http://schemas.microsoft.com/office/drawing/2014/main" id="{0D598A66-C2DE-426C-ACBC-B2091013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2990850"/>
          <a:ext cx="650875" cy="88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12</xdr:row>
      <xdr:rowOff>38100</xdr:rowOff>
    </xdr:from>
    <xdr:to>
      <xdr:col>4</xdr:col>
      <xdr:colOff>889000</xdr:colOff>
      <xdr:row>12</xdr:row>
      <xdr:rowOff>893233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E3826E83-87B9-4BF7-A02B-AFB1BB8D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609975"/>
          <a:ext cx="746125" cy="855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114300</xdr:colOff>
      <xdr:row>13</xdr:row>
      <xdr:rowOff>180975</xdr:rowOff>
    </xdr:from>
    <xdr:to>
      <xdr:col>4</xdr:col>
      <xdr:colOff>1079500</xdr:colOff>
      <xdr:row>14</xdr:row>
      <xdr:rowOff>343958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C2340741-373E-4996-A262-6A5F5D4C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6210300"/>
          <a:ext cx="965200" cy="74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15</xdr:row>
      <xdr:rowOff>66675</xdr:rowOff>
    </xdr:from>
    <xdr:to>
      <xdr:col>4</xdr:col>
      <xdr:colOff>927100</xdr:colOff>
      <xdr:row>16</xdr:row>
      <xdr:rowOff>538692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D5CAFCD6-2294-47DA-9DCA-B9DC46CD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258050"/>
          <a:ext cx="860425" cy="1053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219075</xdr:colOff>
      <xdr:row>17</xdr:row>
      <xdr:rowOff>57151</xdr:rowOff>
    </xdr:from>
    <xdr:to>
      <xdr:col>4</xdr:col>
      <xdr:colOff>900456</xdr:colOff>
      <xdr:row>18</xdr:row>
      <xdr:rowOff>485776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8D0DC91D-1B23-4706-A418-4C60ED3F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8410576"/>
          <a:ext cx="68138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19</xdr:row>
      <xdr:rowOff>66675</xdr:rowOff>
    </xdr:from>
    <xdr:to>
      <xdr:col>4</xdr:col>
      <xdr:colOff>841375</xdr:colOff>
      <xdr:row>19</xdr:row>
      <xdr:rowOff>1041400</xdr:rowOff>
    </xdr:to>
    <xdr:pic>
      <xdr:nvPicPr>
        <xdr:cNvPr id="12" name="Picture 36">
          <a:extLst>
            <a:ext uri="{FF2B5EF4-FFF2-40B4-BE49-F238E27FC236}">
              <a16:creationId xmlns:a16="http://schemas.microsoft.com/office/drawing/2014/main" id="{D1A9068E-7DCE-4F97-B893-9976DAEB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9582150"/>
          <a:ext cx="527050" cy="97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20</xdr:row>
      <xdr:rowOff>247650</xdr:rowOff>
    </xdr:from>
    <xdr:to>
      <xdr:col>4</xdr:col>
      <xdr:colOff>784225</xdr:colOff>
      <xdr:row>20</xdr:row>
      <xdr:rowOff>1038225</xdr:rowOff>
    </xdr:to>
    <xdr:pic>
      <xdr:nvPicPr>
        <xdr:cNvPr id="13" name="Picture 36">
          <a:extLst>
            <a:ext uri="{FF2B5EF4-FFF2-40B4-BE49-F238E27FC236}">
              <a16:creationId xmlns:a16="http://schemas.microsoft.com/office/drawing/2014/main" id="{A66ECCBC-B777-4B14-8332-9F344228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0896600"/>
          <a:ext cx="536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9797"/>
  </sheetPr>
  <dimension ref="A1:W144"/>
  <sheetViews>
    <sheetView showGridLines="0" zoomScale="115" zoomScaleNormal="115" workbookViewId="0">
      <selection activeCell="A4" sqref="A4:XFD125"/>
    </sheetView>
  </sheetViews>
  <sheetFormatPr defaultRowHeight="14.4" x14ac:dyDescent="0.3"/>
  <cols>
    <col min="1" max="1" width="6.33203125" style="2" bestFit="1" customWidth="1"/>
    <col min="2" max="2" width="41.44140625" style="2" customWidth="1"/>
    <col min="3" max="3" width="7.88671875" style="2" customWidth="1"/>
    <col min="4" max="4" width="16.33203125" style="2" customWidth="1"/>
    <col min="5" max="5" width="12.88671875" style="2" customWidth="1"/>
    <col min="6" max="6" width="16.33203125" style="2" customWidth="1"/>
    <col min="7" max="7" width="17.6640625" style="2" customWidth="1"/>
    <col min="8" max="8" width="20" style="2" customWidth="1"/>
    <col min="9" max="10" width="16.33203125" style="2" customWidth="1"/>
    <col min="11" max="12" width="13.88671875" style="1" customWidth="1"/>
    <col min="13" max="13" width="14.33203125" style="1" customWidth="1"/>
    <col min="14" max="14" width="15.44140625" style="2" customWidth="1"/>
    <col min="15" max="15" width="12.88671875" style="2" customWidth="1"/>
    <col min="16" max="16" width="16.44140625" style="2" customWidth="1"/>
    <col min="17" max="17" width="12" style="2" customWidth="1"/>
    <col min="18" max="18" width="16.44140625" style="3" customWidth="1"/>
    <col min="19" max="19" width="10.109375" style="3" customWidth="1"/>
    <col min="20" max="20" width="13.33203125" style="3" bestFit="1" customWidth="1"/>
    <col min="21" max="21" width="13.88671875" style="3" customWidth="1"/>
    <col min="22" max="22" width="12.44140625" style="3" customWidth="1"/>
    <col min="23" max="23" width="12.33203125" style="3" bestFit="1" customWidth="1"/>
    <col min="24" max="256" width="9.109375" style="2"/>
    <col min="257" max="257" width="6.33203125" style="2" bestFit="1" customWidth="1"/>
    <col min="258" max="258" width="41.44140625" style="2" customWidth="1"/>
    <col min="259" max="259" width="7.88671875" style="2" customWidth="1"/>
    <col min="260" max="260" width="16.33203125" style="2" customWidth="1"/>
    <col min="261" max="261" width="12.88671875" style="2" customWidth="1"/>
    <col min="262" max="263" width="16.33203125" style="2" customWidth="1"/>
    <col min="264" max="264" width="13.33203125" style="2" customWidth="1"/>
    <col min="265" max="266" width="16.33203125" style="2" customWidth="1"/>
    <col min="267" max="268" width="13.88671875" style="2" customWidth="1"/>
    <col min="269" max="269" width="13" style="2" customWidth="1"/>
    <col min="270" max="270" width="13.5546875" style="2" customWidth="1"/>
    <col min="271" max="271" width="12.88671875" style="2" customWidth="1"/>
    <col min="272" max="272" width="14.109375" style="2" customWidth="1"/>
    <col min="273" max="273" width="12" style="2" customWidth="1"/>
    <col min="274" max="274" width="13" style="2" bestFit="1" customWidth="1"/>
    <col min="275" max="275" width="11.88671875" style="2" bestFit="1" customWidth="1"/>
    <col min="276" max="276" width="13.33203125" style="2" bestFit="1" customWidth="1"/>
    <col min="277" max="277" width="12.33203125" style="2" bestFit="1" customWidth="1"/>
    <col min="278" max="278" width="12.44140625" style="2" customWidth="1"/>
    <col min="279" max="279" width="10.5546875" style="2" bestFit="1" customWidth="1"/>
    <col min="280" max="512" width="9.109375" style="2"/>
    <col min="513" max="513" width="6.33203125" style="2" bestFit="1" customWidth="1"/>
    <col min="514" max="514" width="41.44140625" style="2" customWidth="1"/>
    <col min="515" max="515" width="7.88671875" style="2" customWidth="1"/>
    <col min="516" max="516" width="16.33203125" style="2" customWidth="1"/>
    <col min="517" max="517" width="12.88671875" style="2" customWidth="1"/>
    <col min="518" max="519" width="16.33203125" style="2" customWidth="1"/>
    <col min="520" max="520" width="13.33203125" style="2" customWidth="1"/>
    <col min="521" max="522" width="16.33203125" style="2" customWidth="1"/>
    <col min="523" max="524" width="13.88671875" style="2" customWidth="1"/>
    <col min="525" max="525" width="13" style="2" customWidth="1"/>
    <col min="526" max="526" width="13.5546875" style="2" customWidth="1"/>
    <col min="527" max="527" width="12.88671875" style="2" customWidth="1"/>
    <col min="528" max="528" width="14.109375" style="2" customWidth="1"/>
    <col min="529" max="529" width="12" style="2" customWidth="1"/>
    <col min="530" max="530" width="13" style="2" bestFit="1" customWidth="1"/>
    <col min="531" max="531" width="11.88671875" style="2" bestFit="1" customWidth="1"/>
    <col min="532" max="532" width="13.33203125" style="2" bestFit="1" customWidth="1"/>
    <col min="533" max="533" width="12.33203125" style="2" bestFit="1" customWidth="1"/>
    <col min="534" max="534" width="12.44140625" style="2" customWidth="1"/>
    <col min="535" max="535" width="10.5546875" style="2" bestFit="1" customWidth="1"/>
    <col min="536" max="768" width="9.109375" style="2"/>
    <col min="769" max="769" width="6.33203125" style="2" bestFit="1" customWidth="1"/>
    <col min="770" max="770" width="41.44140625" style="2" customWidth="1"/>
    <col min="771" max="771" width="7.88671875" style="2" customWidth="1"/>
    <col min="772" max="772" width="16.33203125" style="2" customWidth="1"/>
    <col min="773" max="773" width="12.88671875" style="2" customWidth="1"/>
    <col min="774" max="775" width="16.33203125" style="2" customWidth="1"/>
    <col min="776" max="776" width="13.33203125" style="2" customWidth="1"/>
    <col min="777" max="778" width="16.33203125" style="2" customWidth="1"/>
    <col min="779" max="780" width="13.88671875" style="2" customWidth="1"/>
    <col min="781" max="781" width="13" style="2" customWidth="1"/>
    <col min="782" max="782" width="13.5546875" style="2" customWidth="1"/>
    <col min="783" max="783" width="12.88671875" style="2" customWidth="1"/>
    <col min="784" max="784" width="14.109375" style="2" customWidth="1"/>
    <col min="785" max="785" width="12" style="2" customWidth="1"/>
    <col min="786" max="786" width="13" style="2" bestFit="1" customWidth="1"/>
    <col min="787" max="787" width="11.88671875" style="2" bestFit="1" customWidth="1"/>
    <col min="788" max="788" width="13.33203125" style="2" bestFit="1" customWidth="1"/>
    <col min="789" max="789" width="12.33203125" style="2" bestFit="1" customWidth="1"/>
    <col min="790" max="790" width="12.44140625" style="2" customWidth="1"/>
    <col min="791" max="791" width="10.5546875" style="2" bestFit="1" customWidth="1"/>
    <col min="792" max="1024" width="9.109375" style="2"/>
    <col min="1025" max="1025" width="6.33203125" style="2" bestFit="1" customWidth="1"/>
    <col min="1026" max="1026" width="41.44140625" style="2" customWidth="1"/>
    <col min="1027" max="1027" width="7.88671875" style="2" customWidth="1"/>
    <col min="1028" max="1028" width="16.33203125" style="2" customWidth="1"/>
    <col min="1029" max="1029" width="12.88671875" style="2" customWidth="1"/>
    <col min="1030" max="1031" width="16.33203125" style="2" customWidth="1"/>
    <col min="1032" max="1032" width="13.33203125" style="2" customWidth="1"/>
    <col min="1033" max="1034" width="16.33203125" style="2" customWidth="1"/>
    <col min="1035" max="1036" width="13.88671875" style="2" customWidth="1"/>
    <col min="1037" max="1037" width="13" style="2" customWidth="1"/>
    <col min="1038" max="1038" width="13.5546875" style="2" customWidth="1"/>
    <col min="1039" max="1039" width="12.88671875" style="2" customWidth="1"/>
    <col min="1040" max="1040" width="14.109375" style="2" customWidth="1"/>
    <col min="1041" max="1041" width="12" style="2" customWidth="1"/>
    <col min="1042" max="1042" width="13" style="2" bestFit="1" customWidth="1"/>
    <col min="1043" max="1043" width="11.88671875" style="2" bestFit="1" customWidth="1"/>
    <col min="1044" max="1044" width="13.33203125" style="2" bestFit="1" customWidth="1"/>
    <col min="1045" max="1045" width="12.33203125" style="2" bestFit="1" customWidth="1"/>
    <col min="1046" max="1046" width="12.44140625" style="2" customWidth="1"/>
    <col min="1047" max="1047" width="10.5546875" style="2" bestFit="1" customWidth="1"/>
    <col min="1048" max="1280" width="9.109375" style="2"/>
    <col min="1281" max="1281" width="6.33203125" style="2" bestFit="1" customWidth="1"/>
    <col min="1282" max="1282" width="41.44140625" style="2" customWidth="1"/>
    <col min="1283" max="1283" width="7.88671875" style="2" customWidth="1"/>
    <col min="1284" max="1284" width="16.33203125" style="2" customWidth="1"/>
    <col min="1285" max="1285" width="12.88671875" style="2" customWidth="1"/>
    <col min="1286" max="1287" width="16.33203125" style="2" customWidth="1"/>
    <col min="1288" max="1288" width="13.33203125" style="2" customWidth="1"/>
    <col min="1289" max="1290" width="16.33203125" style="2" customWidth="1"/>
    <col min="1291" max="1292" width="13.88671875" style="2" customWidth="1"/>
    <col min="1293" max="1293" width="13" style="2" customWidth="1"/>
    <col min="1294" max="1294" width="13.5546875" style="2" customWidth="1"/>
    <col min="1295" max="1295" width="12.88671875" style="2" customWidth="1"/>
    <col min="1296" max="1296" width="14.109375" style="2" customWidth="1"/>
    <col min="1297" max="1297" width="12" style="2" customWidth="1"/>
    <col min="1298" max="1298" width="13" style="2" bestFit="1" customWidth="1"/>
    <col min="1299" max="1299" width="11.88671875" style="2" bestFit="1" customWidth="1"/>
    <col min="1300" max="1300" width="13.33203125" style="2" bestFit="1" customWidth="1"/>
    <col min="1301" max="1301" width="12.33203125" style="2" bestFit="1" customWidth="1"/>
    <col min="1302" max="1302" width="12.44140625" style="2" customWidth="1"/>
    <col min="1303" max="1303" width="10.5546875" style="2" bestFit="1" customWidth="1"/>
    <col min="1304" max="1536" width="9.109375" style="2"/>
    <col min="1537" max="1537" width="6.33203125" style="2" bestFit="1" customWidth="1"/>
    <col min="1538" max="1538" width="41.44140625" style="2" customWidth="1"/>
    <col min="1539" max="1539" width="7.88671875" style="2" customWidth="1"/>
    <col min="1540" max="1540" width="16.33203125" style="2" customWidth="1"/>
    <col min="1541" max="1541" width="12.88671875" style="2" customWidth="1"/>
    <col min="1542" max="1543" width="16.33203125" style="2" customWidth="1"/>
    <col min="1544" max="1544" width="13.33203125" style="2" customWidth="1"/>
    <col min="1545" max="1546" width="16.33203125" style="2" customWidth="1"/>
    <col min="1547" max="1548" width="13.88671875" style="2" customWidth="1"/>
    <col min="1549" max="1549" width="13" style="2" customWidth="1"/>
    <col min="1550" max="1550" width="13.5546875" style="2" customWidth="1"/>
    <col min="1551" max="1551" width="12.88671875" style="2" customWidth="1"/>
    <col min="1552" max="1552" width="14.109375" style="2" customWidth="1"/>
    <col min="1553" max="1553" width="12" style="2" customWidth="1"/>
    <col min="1554" max="1554" width="13" style="2" bestFit="1" customWidth="1"/>
    <col min="1555" max="1555" width="11.88671875" style="2" bestFit="1" customWidth="1"/>
    <col min="1556" max="1556" width="13.33203125" style="2" bestFit="1" customWidth="1"/>
    <col min="1557" max="1557" width="12.33203125" style="2" bestFit="1" customWidth="1"/>
    <col min="1558" max="1558" width="12.44140625" style="2" customWidth="1"/>
    <col min="1559" max="1559" width="10.5546875" style="2" bestFit="1" customWidth="1"/>
    <col min="1560" max="1792" width="9.109375" style="2"/>
    <col min="1793" max="1793" width="6.33203125" style="2" bestFit="1" customWidth="1"/>
    <col min="1794" max="1794" width="41.44140625" style="2" customWidth="1"/>
    <col min="1795" max="1795" width="7.88671875" style="2" customWidth="1"/>
    <col min="1796" max="1796" width="16.33203125" style="2" customWidth="1"/>
    <col min="1797" max="1797" width="12.88671875" style="2" customWidth="1"/>
    <col min="1798" max="1799" width="16.33203125" style="2" customWidth="1"/>
    <col min="1800" max="1800" width="13.33203125" style="2" customWidth="1"/>
    <col min="1801" max="1802" width="16.33203125" style="2" customWidth="1"/>
    <col min="1803" max="1804" width="13.88671875" style="2" customWidth="1"/>
    <col min="1805" max="1805" width="13" style="2" customWidth="1"/>
    <col min="1806" max="1806" width="13.5546875" style="2" customWidth="1"/>
    <col min="1807" max="1807" width="12.88671875" style="2" customWidth="1"/>
    <col min="1808" max="1808" width="14.109375" style="2" customWidth="1"/>
    <col min="1809" max="1809" width="12" style="2" customWidth="1"/>
    <col min="1810" max="1810" width="13" style="2" bestFit="1" customWidth="1"/>
    <col min="1811" max="1811" width="11.88671875" style="2" bestFit="1" customWidth="1"/>
    <col min="1812" max="1812" width="13.33203125" style="2" bestFit="1" customWidth="1"/>
    <col min="1813" max="1813" width="12.33203125" style="2" bestFit="1" customWidth="1"/>
    <col min="1814" max="1814" width="12.44140625" style="2" customWidth="1"/>
    <col min="1815" max="1815" width="10.5546875" style="2" bestFit="1" customWidth="1"/>
    <col min="1816" max="2048" width="9.109375" style="2"/>
    <col min="2049" max="2049" width="6.33203125" style="2" bestFit="1" customWidth="1"/>
    <col min="2050" max="2050" width="41.44140625" style="2" customWidth="1"/>
    <col min="2051" max="2051" width="7.88671875" style="2" customWidth="1"/>
    <col min="2052" max="2052" width="16.33203125" style="2" customWidth="1"/>
    <col min="2053" max="2053" width="12.88671875" style="2" customWidth="1"/>
    <col min="2054" max="2055" width="16.33203125" style="2" customWidth="1"/>
    <col min="2056" max="2056" width="13.33203125" style="2" customWidth="1"/>
    <col min="2057" max="2058" width="16.33203125" style="2" customWidth="1"/>
    <col min="2059" max="2060" width="13.88671875" style="2" customWidth="1"/>
    <col min="2061" max="2061" width="13" style="2" customWidth="1"/>
    <col min="2062" max="2062" width="13.5546875" style="2" customWidth="1"/>
    <col min="2063" max="2063" width="12.88671875" style="2" customWidth="1"/>
    <col min="2064" max="2064" width="14.109375" style="2" customWidth="1"/>
    <col min="2065" max="2065" width="12" style="2" customWidth="1"/>
    <col min="2066" max="2066" width="13" style="2" bestFit="1" customWidth="1"/>
    <col min="2067" max="2067" width="11.88671875" style="2" bestFit="1" customWidth="1"/>
    <col min="2068" max="2068" width="13.33203125" style="2" bestFit="1" customWidth="1"/>
    <col min="2069" max="2069" width="12.33203125" style="2" bestFit="1" customWidth="1"/>
    <col min="2070" max="2070" width="12.44140625" style="2" customWidth="1"/>
    <col min="2071" max="2071" width="10.5546875" style="2" bestFit="1" customWidth="1"/>
    <col min="2072" max="2304" width="9.109375" style="2"/>
    <col min="2305" max="2305" width="6.33203125" style="2" bestFit="1" customWidth="1"/>
    <col min="2306" max="2306" width="41.44140625" style="2" customWidth="1"/>
    <col min="2307" max="2307" width="7.88671875" style="2" customWidth="1"/>
    <col min="2308" max="2308" width="16.33203125" style="2" customWidth="1"/>
    <col min="2309" max="2309" width="12.88671875" style="2" customWidth="1"/>
    <col min="2310" max="2311" width="16.33203125" style="2" customWidth="1"/>
    <col min="2312" max="2312" width="13.33203125" style="2" customWidth="1"/>
    <col min="2313" max="2314" width="16.33203125" style="2" customWidth="1"/>
    <col min="2315" max="2316" width="13.88671875" style="2" customWidth="1"/>
    <col min="2317" max="2317" width="13" style="2" customWidth="1"/>
    <col min="2318" max="2318" width="13.5546875" style="2" customWidth="1"/>
    <col min="2319" max="2319" width="12.88671875" style="2" customWidth="1"/>
    <col min="2320" max="2320" width="14.109375" style="2" customWidth="1"/>
    <col min="2321" max="2321" width="12" style="2" customWidth="1"/>
    <col min="2322" max="2322" width="13" style="2" bestFit="1" customWidth="1"/>
    <col min="2323" max="2323" width="11.88671875" style="2" bestFit="1" customWidth="1"/>
    <col min="2324" max="2324" width="13.33203125" style="2" bestFit="1" customWidth="1"/>
    <col min="2325" max="2325" width="12.33203125" style="2" bestFit="1" customWidth="1"/>
    <col min="2326" max="2326" width="12.44140625" style="2" customWidth="1"/>
    <col min="2327" max="2327" width="10.5546875" style="2" bestFit="1" customWidth="1"/>
    <col min="2328" max="2560" width="9.109375" style="2"/>
    <col min="2561" max="2561" width="6.33203125" style="2" bestFit="1" customWidth="1"/>
    <col min="2562" max="2562" width="41.44140625" style="2" customWidth="1"/>
    <col min="2563" max="2563" width="7.88671875" style="2" customWidth="1"/>
    <col min="2564" max="2564" width="16.33203125" style="2" customWidth="1"/>
    <col min="2565" max="2565" width="12.88671875" style="2" customWidth="1"/>
    <col min="2566" max="2567" width="16.33203125" style="2" customWidth="1"/>
    <col min="2568" max="2568" width="13.33203125" style="2" customWidth="1"/>
    <col min="2569" max="2570" width="16.33203125" style="2" customWidth="1"/>
    <col min="2571" max="2572" width="13.88671875" style="2" customWidth="1"/>
    <col min="2573" max="2573" width="13" style="2" customWidth="1"/>
    <col min="2574" max="2574" width="13.5546875" style="2" customWidth="1"/>
    <col min="2575" max="2575" width="12.88671875" style="2" customWidth="1"/>
    <col min="2576" max="2576" width="14.109375" style="2" customWidth="1"/>
    <col min="2577" max="2577" width="12" style="2" customWidth="1"/>
    <col min="2578" max="2578" width="13" style="2" bestFit="1" customWidth="1"/>
    <col min="2579" max="2579" width="11.88671875" style="2" bestFit="1" customWidth="1"/>
    <col min="2580" max="2580" width="13.33203125" style="2" bestFit="1" customWidth="1"/>
    <col min="2581" max="2581" width="12.33203125" style="2" bestFit="1" customWidth="1"/>
    <col min="2582" max="2582" width="12.44140625" style="2" customWidth="1"/>
    <col min="2583" max="2583" width="10.5546875" style="2" bestFit="1" customWidth="1"/>
    <col min="2584" max="2816" width="9.109375" style="2"/>
    <col min="2817" max="2817" width="6.33203125" style="2" bestFit="1" customWidth="1"/>
    <col min="2818" max="2818" width="41.44140625" style="2" customWidth="1"/>
    <col min="2819" max="2819" width="7.88671875" style="2" customWidth="1"/>
    <col min="2820" max="2820" width="16.33203125" style="2" customWidth="1"/>
    <col min="2821" max="2821" width="12.88671875" style="2" customWidth="1"/>
    <col min="2822" max="2823" width="16.33203125" style="2" customWidth="1"/>
    <col min="2824" max="2824" width="13.33203125" style="2" customWidth="1"/>
    <col min="2825" max="2826" width="16.33203125" style="2" customWidth="1"/>
    <col min="2827" max="2828" width="13.88671875" style="2" customWidth="1"/>
    <col min="2829" max="2829" width="13" style="2" customWidth="1"/>
    <col min="2830" max="2830" width="13.5546875" style="2" customWidth="1"/>
    <col min="2831" max="2831" width="12.88671875" style="2" customWidth="1"/>
    <col min="2832" max="2832" width="14.109375" style="2" customWidth="1"/>
    <col min="2833" max="2833" width="12" style="2" customWidth="1"/>
    <col min="2834" max="2834" width="13" style="2" bestFit="1" customWidth="1"/>
    <col min="2835" max="2835" width="11.88671875" style="2" bestFit="1" customWidth="1"/>
    <col min="2836" max="2836" width="13.33203125" style="2" bestFit="1" customWidth="1"/>
    <col min="2837" max="2837" width="12.33203125" style="2" bestFit="1" customWidth="1"/>
    <col min="2838" max="2838" width="12.44140625" style="2" customWidth="1"/>
    <col min="2839" max="2839" width="10.5546875" style="2" bestFit="1" customWidth="1"/>
    <col min="2840" max="3072" width="9.109375" style="2"/>
    <col min="3073" max="3073" width="6.33203125" style="2" bestFit="1" customWidth="1"/>
    <col min="3074" max="3074" width="41.44140625" style="2" customWidth="1"/>
    <col min="3075" max="3075" width="7.88671875" style="2" customWidth="1"/>
    <col min="3076" max="3076" width="16.33203125" style="2" customWidth="1"/>
    <col min="3077" max="3077" width="12.88671875" style="2" customWidth="1"/>
    <col min="3078" max="3079" width="16.33203125" style="2" customWidth="1"/>
    <col min="3080" max="3080" width="13.33203125" style="2" customWidth="1"/>
    <col min="3081" max="3082" width="16.33203125" style="2" customWidth="1"/>
    <col min="3083" max="3084" width="13.88671875" style="2" customWidth="1"/>
    <col min="3085" max="3085" width="13" style="2" customWidth="1"/>
    <col min="3086" max="3086" width="13.5546875" style="2" customWidth="1"/>
    <col min="3087" max="3087" width="12.88671875" style="2" customWidth="1"/>
    <col min="3088" max="3088" width="14.109375" style="2" customWidth="1"/>
    <col min="3089" max="3089" width="12" style="2" customWidth="1"/>
    <col min="3090" max="3090" width="13" style="2" bestFit="1" customWidth="1"/>
    <col min="3091" max="3091" width="11.88671875" style="2" bestFit="1" customWidth="1"/>
    <col min="3092" max="3092" width="13.33203125" style="2" bestFit="1" customWidth="1"/>
    <col min="3093" max="3093" width="12.33203125" style="2" bestFit="1" customWidth="1"/>
    <col min="3094" max="3094" width="12.44140625" style="2" customWidth="1"/>
    <col min="3095" max="3095" width="10.5546875" style="2" bestFit="1" customWidth="1"/>
    <col min="3096" max="3328" width="9.109375" style="2"/>
    <col min="3329" max="3329" width="6.33203125" style="2" bestFit="1" customWidth="1"/>
    <col min="3330" max="3330" width="41.44140625" style="2" customWidth="1"/>
    <col min="3331" max="3331" width="7.88671875" style="2" customWidth="1"/>
    <col min="3332" max="3332" width="16.33203125" style="2" customWidth="1"/>
    <col min="3333" max="3333" width="12.88671875" style="2" customWidth="1"/>
    <col min="3334" max="3335" width="16.33203125" style="2" customWidth="1"/>
    <col min="3336" max="3336" width="13.33203125" style="2" customWidth="1"/>
    <col min="3337" max="3338" width="16.33203125" style="2" customWidth="1"/>
    <col min="3339" max="3340" width="13.88671875" style="2" customWidth="1"/>
    <col min="3341" max="3341" width="13" style="2" customWidth="1"/>
    <col min="3342" max="3342" width="13.5546875" style="2" customWidth="1"/>
    <col min="3343" max="3343" width="12.88671875" style="2" customWidth="1"/>
    <col min="3344" max="3344" width="14.109375" style="2" customWidth="1"/>
    <col min="3345" max="3345" width="12" style="2" customWidth="1"/>
    <col min="3346" max="3346" width="13" style="2" bestFit="1" customWidth="1"/>
    <col min="3347" max="3347" width="11.88671875" style="2" bestFit="1" customWidth="1"/>
    <col min="3348" max="3348" width="13.33203125" style="2" bestFit="1" customWidth="1"/>
    <col min="3349" max="3349" width="12.33203125" style="2" bestFit="1" customWidth="1"/>
    <col min="3350" max="3350" width="12.44140625" style="2" customWidth="1"/>
    <col min="3351" max="3351" width="10.5546875" style="2" bestFit="1" customWidth="1"/>
    <col min="3352" max="3584" width="9.109375" style="2"/>
    <col min="3585" max="3585" width="6.33203125" style="2" bestFit="1" customWidth="1"/>
    <col min="3586" max="3586" width="41.44140625" style="2" customWidth="1"/>
    <col min="3587" max="3587" width="7.88671875" style="2" customWidth="1"/>
    <col min="3588" max="3588" width="16.33203125" style="2" customWidth="1"/>
    <col min="3589" max="3589" width="12.88671875" style="2" customWidth="1"/>
    <col min="3590" max="3591" width="16.33203125" style="2" customWidth="1"/>
    <col min="3592" max="3592" width="13.33203125" style="2" customWidth="1"/>
    <col min="3593" max="3594" width="16.33203125" style="2" customWidth="1"/>
    <col min="3595" max="3596" width="13.88671875" style="2" customWidth="1"/>
    <col min="3597" max="3597" width="13" style="2" customWidth="1"/>
    <col min="3598" max="3598" width="13.5546875" style="2" customWidth="1"/>
    <col min="3599" max="3599" width="12.88671875" style="2" customWidth="1"/>
    <col min="3600" max="3600" width="14.109375" style="2" customWidth="1"/>
    <col min="3601" max="3601" width="12" style="2" customWidth="1"/>
    <col min="3602" max="3602" width="13" style="2" bestFit="1" customWidth="1"/>
    <col min="3603" max="3603" width="11.88671875" style="2" bestFit="1" customWidth="1"/>
    <col min="3604" max="3604" width="13.33203125" style="2" bestFit="1" customWidth="1"/>
    <col min="3605" max="3605" width="12.33203125" style="2" bestFit="1" customWidth="1"/>
    <col min="3606" max="3606" width="12.44140625" style="2" customWidth="1"/>
    <col min="3607" max="3607" width="10.5546875" style="2" bestFit="1" customWidth="1"/>
    <col min="3608" max="3840" width="9.109375" style="2"/>
    <col min="3841" max="3841" width="6.33203125" style="2" bestFit="1" customWidth="1"/>
    <col min="3842" max="3842" width="41.44140625" style="2" customWidth="1"/>
    <col min="3843" max="3843" width="7.88671875" style="2" customWidth="1"/>
    <col min="3844" max="3844" width="16.33203125" style="2" customWidth="1"/>
    <col min="3845" max="3845" width="12.88671875" style="2" customWidth="1"/>
    <col min="3846" max="3847" width="16.33203125" style="2" customWidth="1"/>
    <col min="3848" max="3848" width="13.33203125" style="2" customWidth="1"/>
    <col min="3849" max="3850" width="16.33203125" style="2" customWidth="1"/>
    <col min="3851" max="3852" width="13.88671875" style="2" customWidth="1"/>
    <col min="3853" max="3853" width="13" style="2" customWidth="1"/>
    <col min="3854" max="3854" width="13.5546875" style="2" customWidth="1"/>
    <col min="3855" max="3855" width="12.88671875" style="2" customWidth="1"/>
    <col min="3856" max="3856" width="14.109375" style="2" customWidth="1"/>
    <col min="3857" max="3857" width="12" style="2" customWidth="1"/>
    <col min="3858" max="3858" width="13" style="2" bestFit="1" customWidth="1"/>
    <col min="3859" max="3859" width="11.88671875" style="2" bestFit="1" customWidth="1"/>
    <col min="3860" max="3860" width="13.33203125" style="2" bestFit="1" customWidth="1"/>
    <col min="3861" max="3861" width="12.33203125" style="2" bestFit="1" customWidth="1"/>
    <col min="3862" max="3862" width="12.44140625" style="2" customWidth="1"/>
    <col min="3863" max="3863" width="10.5546875" style="2" bestFit="1" customWidth="1"/>
    <col min="3864" max="4096" width="9.109375" style="2"/>
    <col min="4097" max="4097" width="6.33203125" style="2" bestFit="1" customWidth="1"/>
    <col min="4098" max="4098" width="41.44140625" style="2" customWidth="1"/>
    <col min="4099" max="4099" width="7.88671875" style="2" customWidth="1"/>
    <col min="4100" max="4100" width="16.33203125" style="2" customWidth="1"/>
    <col min="4101" max="4101" width="12.88671875" style="2" customWidth="1"/>
    <col min="4102" max="4103" width="16.33203125" style="2" customWidth="1"/>
    <col min="4104" max="4104" width="13.33203125" style="2" customWidth="1"/>
    <col min="4105" max="4106" width="16.33203125" style="2" customWidth="1"/>
    <col min="4107" max="4108" width="13.88671875" style="2" customWidth="1"/>
    <col min="4109" max="4109" width="13" style="2" customWidth="1"/>
    <col min="4110" max="4110" width="13.5546875" style="2" customWidth="1"/>
    <col min="4111" max="4111" width="12.88671875" style="2" customWidth="1"/>
    <col min="4112" max="4112" width="14.109375" style="2" customWidth="1"/>
    <col min="4113" max="4113" width="12" style="2" customWidth="1"/>
    <col min="4114" max="4114" width="13" style="2" bestFit="1" customWidth="1"/>
    <col min="4115" max="4115" width="11.88671875" style="2" bestFit="1" customWidth="1"/>
    <col min="4116" max="4116" width="13.33203125" style="2" bestFit="1" customWidth="1"/>
    <col min="4117" max="4117" width="12.33203125" style="2" bestFit="1" customWidth="1"/>
    <col min="4118" max="4118" width="12.44140625" style="2" customWidth="1"/>
    <col min="4119" max="4119" width="10.5546875" style="2" bestFit="1" customWidth="1"/>
    <col min="4120" max="4352" width="9.109375" style="2"/>
    <col min="4353" max="4353" width="6.33203125" style="2" bestFit="1" customWidth="1"/>
    <col min="4354" max="4354" width="41.44140625" style="2" customWidth="1"/>
    <col min="4355" max="4355" width="7.88671875" style="2" customWidth="1"/>
    <col min="4356" max="4356" width="16.33203125" style="2" customWidth="1"/>
    <col min="4357" max="4357" width="12.88671875" style="2" customWidth="1"/>
    <col min="4358" max="4359" width="16.33203125" style="2" customWidth="1"/>
    <col min="4360" max="4360" width="13.33203125" style="2" customWidth="1"/>
    <col min="4361" max="4362" width="16.33203125" style="2" customWidth="1"/>
    <col min="4363" max="4364" width="13.88671875" style="2" customWidth="1"/>
    <col min="4365" max="4365" width="13" style="2" customWidth="1"/>
    <col min="4366" max="4366" width="13.5546875" style="2" customWidth="1"/>
    <col min="4367" max="4367" width="12.88671875" style="2" customWidth="1"/>
    <col min="4368" max="4368" width="14.109375" style="2" customWidth="1"/>
    <col min="4369" max="4369" width="12" style="2" customWidth="1"/>
    <col min="4370" max="4370" width="13" style="2" bestFit="1" customWidth="1"/>
    <col min="4371" max="4371" width="11.88671875" style="2" bestFit="1" customWidth="1"/>
    <col min="4372" max="4372" width="13.33203125" style="2" bestFit="1" customWidth="1"/>
    <col min="4373" max="4373" width="12.33203125" style="2" bestFit="1" customWidth="1"/>
    <col min="4374" max="4374" width="12.44140625" style="2" customWidth="1"/>
    <col min="4375" max="4375" width="10.5546875" style="2" bestFit="1" customWidth="1"/>
    <col min="4376" max="4608" width="9.109375" style="2"/>
    <col min="4609" max="4609" width="6.33203125" style="2" bestFit="1" customWidth="1"/>
    <col min="4610" max="4610" width="41.44140625" style="2" customWidth="1"/>
    <col min="4611" max="4611" width="7.88671875" style="2" customWidth="1"/>
    <col min="4612" max="4612" width="16.33203125" style="2" customWidth="1"/>
    <col min="4613" max="4613" width="12.88671875" style="2" customWidth="1"/>
    <col min="4614" max="4615" width="16.33203125" style="2" customWidth="1"/>
    <col min="4616" max="4616" width="13.33203125" style="2" customWidth="1"/>
    <col min="4617" max="4618" width="16.33203125" style="2" customWidth="1"/>
    <col min="4619" max="4620" width="13.88671875" style="2" customWidth="1"/>
    <col min="4621" max="4621" width="13" style="2" customWidth="1"/>
    <col min="4622" max="4622" width="13.5546875" style="2" customWidth="1"/>
    <col min="4623" max="4623" width="12.88671875" style="2" customWidth="1"/>
    <col min="4624" max="4624" width="14.109375" style="2" customWidth="1"/>
    <col min="4625" max="4625" width="12" style="2" customWidth="1"/>
    <col min="4626" max="4626" width="13" style="2" bestFit="1" customWidth="1"/>
    <col min="4627" max="4627" width="11.88671875" style="2" bestFit="1" customWidth="1"/>
    <col min="4628" max="4628" width="13.33203125" style="2" bestFit="1" customWidth="1"/>
    <col min="4629" max="4629" width="12.33203125" style="2" bestFit="1" customWidth="1"/>
    <col min="4630" max="4630" width="12.44140625" style="2" customWidth="1"/>
    <col min="4631" max="4631" width="10.5546875" style="2" bestFit="1" customWidth="1"/>
    <col min="4632" max="4864" width="9.109375" style="2"/>
    <col min="4865" max="4865" width="6.33203125" style="2" bestFit="1" customWidth="1"/>
    <col min="4866" max="4866" width="41.44140625" style="2" customWidth="1"/>
    <col min="4867" max="4867" width="7.88671875" style="2" customWidth="1"/>
    <col min="4868" max="4868" width="16.33203125" style="2" customWidth="1"/>
    <col min="4869" max="4869" width="12.88671875" style="2" customWidth="1"/>
    <col min="4870" max="4871" width="16.33203125" style="2" customWidth="1"/>
    <col min="4872" max="4872" width="13.33203125" style="2" customWidth="1"/>
    <col min="4873" max="4874" width="16.33203125" style="2" customWidth="1"/>
    <col min="4875" max="4876" width="13.88671875" style="2" customWidth="1"/>
    <col min="4877" max="4877" width="13" style="2" customWidth="1"/>
    <col min="4878" max="4878" width="13.5546875" style="2" customWidth="1"/>
    <col min="4879" max="4879" width="12.88671875" style="2" customWidth="1"/>
    <col min="4880" max="4880" width="14.109375" style="2" customWidth="1"/>
    <col min="4881" max="4881" width="12" style="2" customWidth="1"/>
    <col min="4882" max="4882" width="13" style="2" bestFit="1" customWidth="1"/>
    <col min="4883" max="4883" width="11.88671875" style="2" bestFit="1" customWidth="1"/>
    <col min="4884" max="4884" width="13.33203125" style="2" bestFit="1" customWidth="1"/>
    <col min="4885" max="4885" width="12.33203125" style="2" bestFit="1" customWidth="1"/>
    <col min="4886" max="4886" width="12.44140625" style="2" customWidth="1"/>
    <col min="4887" max="4887" width="10.5546875" style="2" bestFit="1" customWidth="1"/>
    <col min="4888" max="5120" width="9.109375" style="2"/>
    <col min="5121" max="5121" width="6.33203125" style="2" bestFit="1" customWidth="1"/>
    <col min="5122" max="5122" width="41.44140625" style="2" customWidth="1"/>
    <col min="5123" max="5123" width="7.88671875" style="2" customWidth="1"/>
    <col min="5124" max="5124" width="16.33203125" style="2" customWidth="1"/>
    <col min="5125" max="5125" width="12.88671875" style="2" customWidth="1"/>
    <col min="5126" max="5127" width="16.33203125" style="2" customWidth="1"/>
    <col min="5128" max="5128" width="13.33203125" style="2" customWidth="1"/>
    <col min="5129" max="5130" width="16.33203125" style="2" customWidth="1"/>
    <col min="5131" max="5132" width="13.88671875" style="2" customWidth="1"/>
    <col min="5133" max="5133" width="13" style="2" customWidth="1"/>
    <col min="5134" max="5134" width="13.5546875" style="2" customWidth="1"/>
    <col min="5135" max="5135" width="12.88671875" style="2" customWidth="1"/>
    <col min="5136" max="5136" width="14.109375" style="2" customWidth="1"/>
    <col min="5137" max="5137" width="12" style="2" customWidth="1"/>
    <col min="5138" max="5138" width="13" style="2" bestFit="1" customWidth="1"/>
    <col min="5139" max="5139" width="11.88671875" style="2" bestFit="1" customWidth="1"/>
    <col min="5140" max="5140" width="13.33203125" style="2" bestFit="1" customWidth="1"/>
    <col min="5141" max="5141" width="12.33203125" style="2" bestFit="1" customWidth="1"/>
    <col min="5142" max="5142" width="12.44140625" style="2" customWidth="1"/>
    <col min="5143" max="5143" width="10.5546875" style="2" bestFit="1" customWidth="1"/>
    <col min="5144" max="5376" width="9.109375" style="2"/>
    <col min="5377" max="5377" width="6.33203125" style="2" bestFit="1" customWidth="1"/>
    <col min="5378" max="5378" width="41.44140625" style="2" customWidth="1"/>
    <col min="5379" max="5379" width="7.88671875" style="2" customWidth="1"/>
    <col min="5380" max="5380" width="16.33203125" style="2" customWidth="1"/>
    <col min="5381" max="5381" width="12.88671875" style="2" customWidth="1"/>
    <col min="5382" max="5383" width="16.33203125" style="2" customWidth="1"/>
    <col min="5384" max="5384" width="13.33203125" style="2" customWidth="1"/>
    <col min="5385" max="5386" width="16.33203125" style="2" customWidth="1"/>
    <col min="5387" max="5388" width="13.88671875" style="2" customWidth="1"/>
    <col min="5389" max="5389" width="13" style="2" customWidth="1"/>
    <col min="5390" max="5390" width="13.5546875" style="2" customWidth="1"/>
    <col min="5391" max="5391" width="12.88671875" style="2" customWidth="1"/>
    <col min="5392" max="5392" width="14.109375" style="2" customWidth="1"/>
    <col min="5393" max="5393" width="12" style="2" customWidth="1"/>
    <col min="5394" max="5394" width="13" style="2" bestFit="1" customWidth="1"/>
    <col min="5395" max="5395" width="11.88671875" style="2" bestFit="1" customWidth="1"/>
    <col min="5396" max="5396" width="13.33203125" style="2" bestFit="1" customWidth="1"/>
    <col min="5397" max="5397" width="12.33203125" style="2" bestFit="1" customWidth="1"/>
    <col min="5398" max="5398" width="12.44140625" style="2" customWidth="1"/>
    <col min="5399" max="5399" width="10.5546875" style="2" bestFit="1" customWidth="1"/>
    <col min="5400" max="5632" width="9.109375" style="2"/>
    <col min="5633" max="5633" width="6.33203125" style="2" bestFit="1" customWidth="1"/>
    <col min="5634" max="5634" width="41.44140625" style="2" customWidth="1"/>
    <col min="5635" max="5635" width="7.88671875" style="2" customWidth="1"/>
    <col min="5636" max="5636" width="16.33203125" style="2" customWidth="1"/>
    <col min="5637" max="5637" width="12.88671875" style="2" customWidth="1"/>
    <col min="5638" max="5639" width="16.33203125" style="2" customWidth="1"/>
    <col min="5640" max="5640" width="13.33203125" style="2" customWidth="1"/>
    <col min="5641" max="5642" width="16.33203125" style="2" customWidth="1"/>
    <col min="5643" max="5644" width="13.88671875" style="2" customWidth="1"/>
    <col min="5645" max="5645" width="13" style="2" customWidth="1"/>
    <col min="5646" max="5646" width="13.5546875" style="2" customWidth="1"/>
    <col min="5647" max="5647" width="12.88671875" style="2" customWidth="1"/>
    <col min="5648" max="5648" width="14.109375" style="2" customWidth="1"/>
    <col min="5649" max="5649" width="12" style="2" customWidth="1"/>
    <col min="5650" max="5650" width="13" style="2" bestFit="1" customWidth="1"/>
    <col min="5651" max="5651" width="11.88671875" style="2" bestFit="1" customWidth="1"/>
    <col min="5652" max="5652" width="13.33203125" style="2" bestFit="1" customWidth="1"/>
    <col min="5653" max="5653" width="12.33203125" style="2" bestFit="1" customWidth="1"/>
    <col min="5654" max="5654" width="12.44140625" style="2" customWidth="1"/>
    <col min="5655" max="5655" width="10.5546875" style="2" bestFit="1" customWidth="1"/>
    <col min="5656" max="5888" width="9.109375" style="2"/>
    <col min="5889" max="5889" width="6.33203125" style="2" bestFit="1" customWidth="1"/>
    <col min="5890" max="5890" width="41.44140625" style="2" customWidth="1"/>
    <col min="5891" max="5891" width="7.88671875" style="2" customWidth="1"/>
    <col min="5892" max="5892" width="16.33203125" style="2" customWidth="1"/>
    <col min="5893" max="5893" width="12.88671875" style="2" customWidth="1"/>
    <col min="5894" max="5895" width="16.33203125" style="2" customWidth="1"/>
    <col min="5896" max="5896" width="13.33203125" style="2" customWidth="1"/>
    <col min="5897" max="5898" width="16.33203125" style="2" customWidth="1"/>
    <col min="5899" max="5900" width="13.88671875" style="2" customWidth="1"/>
    <col min="5901" max="5901" width="13" style="2" customWidth="1"/>
    <col min="5902" max="5902" width="13.5546875" style="2" customWidth="1"/>
    <col min="5903" max="5903" width="12.88671875" style="2" customWidth="1"/>
    <col min="5904" max="5904" width="14.109375" style="2" customWidth="1"/>
    <col min="5905" max="5905" width="12" style="2" customWidth="1"/>
    <col min="5906" max="5906" width="13" style="2" bestFit="1" customWidth="1"/>
    <col min="5907" max="5907" width="11.88671875" style="2" bestFit="1" customWidth="1"/>
    <col min="5908" max="5908" width="13.33203125" style="2" bestFit="1" customWidth="1"/>
    <col min="5909" max="5909" width="12.33203125" style="2" bestFit="1" customWidth="1"/>
    <col min="5910" max="5910" width="12.44140625" style="2" customWidth="1"/>
    <col min="5911" max="5911" width="10.5546875" style="2" bestFit="1" customWidth="1"/>
    <col min="5912" max="6144" width="9.109375" style="2"/>
    <col min="6145" max="6145" width="6.33203125" style="2" bestFit="1" customWidth="1"/>
    <col min="6146" max="6146" width="41.44140625" style="2" customWidth="1"/>
    <col min="6147" max="6147" width="7.88671875" style="2" customWidth="1"/>
    <col min="6148" max="6148" width="16.33203125" style="2" customWidth="1"/>
    <col min="6149" max="6149" width="12.88671875" style="2" customWidth="1"/>
    <col min="6150" max="6151" width="16.33203125" style="2" customWidth="1"/>
    <col min="6152" max="6152" width="13.33203125" style="2" customWidth="1"/>
    <col min="6153" max="6154" width="16.33203125" style="2" customWidth="1"/>
    <col min="6155" max="6156" width="13.88671875" style="2" customWidth="1"/>
    <col min="6157" max="6157" width="13" style="2" customWidth="1"/>
    <col min="6158" max="6158" width="13.5546875" style="2" customWidth="1"/>
    <col min="6159" max="6159" width="12.88671875" style="2" customWidth="1"/>
    <col min="6160" max="6160" width="14.109375" style="2" customWidth="1"/>
    <col min="6161" max="6161" width="12" style="2" customWidth="1"/>
    <col min="6162" max="6162" width="13" style="2" bestFit="1" customWidth="1"/>
    <col min="6163" max="6163" width="11.88671875" style="2" bestFit="1" customWidth="1"/>
    <col min="6164" max="6164" width="13.33203125" style="2" bestFit="1" customWidth="1"/>
    <col min="6165" max="6165" width="12.33203125" style="2" bestFit="1" customWidth="1"/>
    <col min="6166" max="6166" width="12.44140625" style="2" customWidth="1"/>
    <col min="6167" max="6167" width="10.5546875" style="2" bestFit="1" customWidth="1"/>
    <col min="6168" max="6400" width="9.109375" style="2"/>
    <col min="6401" max="6401" width="6.33203125" style="2" bestFit="1" customWidth="1"/>
    <col min="6402" max="6402" width="41.44140625" style="2" customWidth="1"/>
    <col min="6403" max="6403" width="7.88671875" style="2" customWidth="1"/>
    <col min="6404" max="6404" width="16.33203125" style="2" customWidth="1"/>
    <col min="6405" max="6405" width="12.88671875" style="2" customWidth="1"/>
    <col min="6406" max="6407" width="16.33203125" style="2" customWidth="1"/>
    <col min="6408" max="6408" width="13.33203125" style="2" customWidth="1"/>
    <col min="6409" max="6410" width="16.33203125" style="2" customWidth="1"/>
    <col min="6411" max="6412" width="13.88671875" style="2" customWidth="1"/>
    <col min="6413" max="6413" width="13" style="2" customWidth="1"/>
    <col min="6414" max="6414" width="13.5546875" style="2" customWidth="1"/>
    <col min="6415" max="6415" width="12.88671875" style="2" customWidth="1"/>
    <col min="6416" max="6416" width="14.109375" style="2" customWidth="1"/>
    <col min="6417" max="6417" width="12" style="2" customWidth="1"/>
    <col min="6418" max="6418" width="13" style="2" bestFit="1" customWidth="1"/>
    <col min="6419" max="6419" width="11.88671875" style="2" bestFit="1" customWidth="1"/>
    <col min="6420" max="6420" width="13.33203125" style="2" bestFit="1" customWidth="1"/>
    <col min="6421" max="6421" width="12.33203125" style="2" bestFit="1" customWidth="1"/>
    <col min="6422" max="6422" width="12.44140625" style="2" customWidth="1"/>
    <col min="6423" max="6423" width="10.5546875" style="2" bestFit="1" customWidth="1"/>
    <col min="6424" max="6656" width="9.109375" style="2"/>
    <col min="6657" max="6657" width="6.33203125" style="2" bestFit="1" customWidth="1"/>
    <col min="6658" max="6658" width="41.44140625" style="2" customWidth="1"/>
    <col min="6659" max="6659" width="7.88671875" style="2" customWidth="1"/>
    <col min="6660" max="6660" width="16.33203125" style="2" customWidth="1"/>
    <col min="6661" max="6661" width="12.88671875" style="2" customWidth="1"/>
    <col min="6662" max="6663" width="16.33203125" style="2" customWidth="1"/>
    <col min="6664" max="6664" width="13.33203125" style="2" customWidth="1"/>
    <col min="6665" max="6666" width="16.33203125" style="2" customWidth="1"/>
    <col min="6667" max="6668" width="13.88671875" style="2" customWidth="1"/>
    <col min="6669" max="6669" width="13" style="2" customWidth="1"/>
    <col min="6670" max="6670" width="13.5546875" style="2" customWidth="1"/>
    <col min="6671" max="6671" width="12.88671875" style="2" customWidth="1"/>
    <col min="6672" max="6672" width="14.109375" style="2" customWidth="1"/>
    <col min="6673" max="6673" width="12" style="2" customWidth="1"/>
    <col min="6674" max="6674" width="13" style="2" bestFit="1" customWidth="1"/>
    <col min="6675" max="6675" width="11.88671875" style="2" bestFit="1" customWidth="1"/>
    <col min="6676" max="6676" width="13.33203125" style="2" bestFit="1" customWidth="1"/>
    <col min="6677" max="6677" width="12.33203125" style="2" bestFit="1" customWidth="1"/>
    <col min="6678" max="6678" width="12.44140625" style="2" customWidth="1"/>
    <col min="6679" max="6679" width="10.5546875" style="2" bestFit="1" customWidth="1"/>
    <col min="6680" max="6912" width="9.109375" style="2"/>
    <col min="6913" max="6913" width="6.33203125" style="2" bestFit="1" customWidth="1"/>
    <col min="6914" max="6914" width="41.44140625" style="2" customWidth="1"/>
    <col min="6915" max="6915" width="7.88671875" style="2" customWidth="1"/>
    <col min="6916" max="6916" width="16.33203125" style="2" customWidth="1"/>
    <col min="6917" max="6917" width="12.88671875" style="2" customWidth="1"/>
    <col min="6918" max="6919" width="16.33203125" style="2" customWidth="1"/>
    <col min="6920" max="6920" width="13.33203125" style="2" customWidth="1"/>
    <col min="6921" max="6922" width="16.33203125" style="2" customWidth="1"/>
    <col min="6923" max="6924" width="13.88671875" style="2" customWidth="1"/>
    <col min="6925" max="6925" width="13" style="2" customWidth="1"/>
    <col min="6926" max="6926" width="13.5546875" style="2" customWidth="1"/>
    <col min="6927" max="6927" width="12.88671875" style="2" customWidth="1"/>
    <col min="6928" max="6928" width="14.109375" style="2" customWidth="1"/>
    <col min="6929" max="6929" width="12" style="2" customWidth="1"/>
    <col min="6930" max="6930" width="13" style="2" bestFit="1" customWidth="1"/>
    <col min="6931" max="6931" width="11.88671875" style="2" bestFit="1" customWidth="1"/>
    <col min="6932" max="6932" width="13.33203125" style="2" bestFit="1" customWidth="1"/>
    <col min="6933" max="6933" width="12.33203125" style="2" bestFit="1" customWidth="1"/>
    <col min="6934" max="6934" width="12.44140625" style="2" customWidth="1"/>
    <col min="6935" max="6935" width="10.5546875" style="2" bestFit="1" customWidth="1"/>
    <col min="6936" max="7168" width="9.109375" style="2"/>
    <col min="7169" max="7169" width="6.33203125" style="2" bestFit="1" customWidth="1"/>
    <col min="7170" max="7170" width="41.44140625" style="2" customWidth="1"/>
    <col min="7171" max="7171" width="7.88671875" style="2" customWidth="1"/>
    <col min="7172" max="7172" width="16.33203125" style="2" customWidth="1"/>
    <col min="7173" max="7173" width="12.88671875" style="2" customWidth="1"/>
    <col min="7174" max="7175" width="16.33203125" style="2" customWidth="1"/>
    <col min="7176" max="7176" width="13.33203125" style="2" customWidth="1"/>
    <col min="7177" max="7178" width="16.33203125" style="2" customWidth="1"/>
    <col min="7179" max="7180" width="13.88671875" style="2" customWidth="1"/>
    <col min="7181" max="7181" width="13" style="2" customWidth="1"/>
    <col min="7182" max="7182" width="13.5546875" style="2" customWidth="1"/>
    <col min="7183" max="7183" width="12.88671875" style="2" customWidth="1"/>
    <col min="7184" max="7184" width="14.109375" style="2" customWidth="1"/>
    <col min="7185" max="7185" width="12" style="2" customWidth="1"/>
    <col min="7186" max="7186" width="13" style="2" bestFit="1" customWidth="1"/>
    <col min="7187" max="7187" width="11.88671875" style="2" bestFit="1" customWidth="1"/>
    <col min="7188" max="7188" width="13.33203125" style="2" bestFit="1" customWidth="1"/>
    <col min="7189" max="7189" width="12.33203125" style="2" bestFit="1" customWidth="1"/>
    <col min="7190" max="7190" width="12.44140625" style="2" customWidth="1"/>
    <col min="7191" max="7191" width="10.5546875" style="2" bestFit="1" customWidth="1"/>
    <col min="7192" max="7424" width="9.109375" style="2"/>
    <col min="7425" max="7425" width="6.33203125" style="2" bestFit="1" customWidth="1"/>
    <col min="7426" max="7426" width="41.44140625" style="2" customWidth="1"/>
    <col min="7427" max="7427" width="7.88671875" style="2" customWidth="1"/>
    <col min="7428" max="7428" width="16.33203125" style="2" customWidth="1"/>
    <col min="7429" max="7429" width="12.88671875" style="2" customWidth="1"/>
    <col min="7430" max="7431" width="16.33203125" style="2" customWidth="1"/>
    <col min="7432" max="7432" width="13.33203125" style="2" customWidth="1"/>
    <col min="7433" max="7434" width="16.33203125" style="2" customWidth="1"/>
    <col min="7435" max="7436" width="13.88671875" style="2" customWidth="1"/>
    <col min="7437" max="7437" width="13" style="2" customWidth="1"/>
    <col min="7438" max="7438" width="13.5546875" style="2" customWidth="1"/>
    <col min="7439" max="7439" width="12.88671875" style="2" customWidth="1"/>
    <col min="7440" max="7440" width="14.109375" style="2" customWidth="1"/>
    <col min="7441" max="7441" width="12" style="2" customWidth="1"/>
    <col min="7442" max="7442" width="13" style="2" bestFit="1" customWidth="1"/>
    <col min="7443" max="7443" width="11.88671875" style="2" bestFit="1" customWidth="1"/>
    <col min="7444" max="7444" width="13.33203125" style="2" bestFit="1" customWidth="1"/>
    <col min="7445" max="7445" width="12.33203125" style="2" bestFit="1" customWidth="1"/>
    <col min="7446" max="7446" width="12.44140625" style="2" customWidth="1"/>
    <col min="7447" max="7447" width="10.5546875" style="2" bestFit="1" customWidth="1"/>
    <col min="7448" max="7680" width="9.109375" style="2"/>
    <col min="7681" max="7681" width="6.33203125" style="2" bestFit="1" customWidth="1"/>
    <col min="7682" max="7682" width="41.44140625" style="2" customWidth="1"/>
    <col min="7683" max="7683" width="7.88671875" style="2" customWidth="1"/>
    <col min="7684" max="7684" width="16.33203125" style="2" customWidth="1"/>
    <col min="7685" max="7685" width="12.88671875" style="2" customWidth="1"/>
    <col min="7686" max="7687" width="16.33203125" style="2" customWidth="1"/>
    <col min="7688" max="7688" width="13.33203125" style="2" customWidth="1"/>
    <col min="7689" max="7690" width="16.33203125" style="2" customWidth="1"/>
    <col min="7691" max="7692" width="13.88671875" style="2" customWidth="1"/>
    <col min="7693" max="7693" width="13" style="2" customWidth="1"/>
    <col min="7694" max="7694" width="13.5546875" style="2" customWidth="1"/>
    <col min="7695" max="7695" width="12.88671875" style="2" customWidth="1"/>
    <col min="7696" max="7696" width="14.109375" style="2" customWidth="1"/>
    <col min="7697" max="7697" width="12" style="2" customWidth="1"/>
    <col min="7698" max="7698" width="13" style="2" bestFit="1" customWidth="1"/>
    <col min="7699" max="7699" width="11.88671875" style="2" bestFit="1" customWidth="1"/>
    <col min="7700" max="7700" width="13.33203125" style="2" bestFit="1" customWidth="1"/>
    <col min="7701" max="7701" width="12.33203125" style="2" bestFit="1" customWidth="1"/>
    <col min="7702" max="7702" width="12.44140625" style="2" customWidth="1"/>
    <col min="7703" max="7703" width="10.5546875" style="2" bestFit="1" customWidth="1"/>
    <col min="7704" max="7936" width="9.109375" style="2"/>
    <col min="7937" max="7937" width="6.33203125" style="2" bestFit="1" customWidth="1"/>
    <col min="7938" max="7938" width="41.44140625" style="2" customWidth="1"/>
    <col min="7939" max="7939" width="7.88671875" style="2" customWidth="1"/>
    <col min="7940" max="7940" width="16.33203125" style="2" customWidth="1"/>
    <col min="7941" max="7941" width="12.88671875" style="2" customWidth="1"/>
    <col min="7942" max="7943" width="16.33203125" style="2" customWidth="1"/>
    <col min="7944" max="7944" width="13.33203125" style="2" customWidth="1"/>
    <col min="7945" max="7946" width="16.33203125" style="2" customWidth="1"/>
    <col min="7947" max="7948" width="13.88671875" style="2" customWidth="1"/>
    <col min="7949" max="7949" width="13" style="2" customWidth="1"/>
    <col min="7950" max="7950" width="13.5546875" style="2" customWidth="1"/>
    <col min="7951" max="7951" width="12.88671875" style="2" customWidth="1"/>
    <col min="7952" max="7952" width="14.109375" style="2" customWidth="1"/>
    <col min="7953" max="7953" width="12" style="2" customWidth="1"/>
    <col min="7954" max="7954" width="13" style="2" bestFit="1" customWidth="1"/>
    <col min="7955" max="7955" width="11.88671875" style="2" bestFit="1" customWidth="1"/>
    <col min="7956" max="7956" width="13.33203125" style="2" bestFit="1" customWidth="1"/>
    <col min="7957" max="7957" width="12.33203125" style="2" bestFit="1" customWidth="1"/>
    <col min="7958" max="7958" width="12.44140625" style="2" customWidth="1"/>
    <col min="7959" max="7959" width="10.5546875" style="2" bestFit="1" customWidth="1"/>
    <col min="7960" max="8192" width="9.109375" style="2"/>
    <col min="8193" max="8193" width="6.33203125" style="2" bestFit="1" customWidth="1"/>
    <col min="8194" max="8194" width="41.44140625" style="2" customWidth="1"/>
    <col min="8195" max="8195" width="7.88671875" style="2" customWidth="1"/>
    <col min="8196" max="8196" width="16.33203125" style="2" customWidth="1"/>
    <col min="8197" max="8197" width="12.88671875" style="2" customWidth="1"/>
    <col min="8198" max="8199" width="16.33203125" style="2" customWidth="1"/>
    <col min="8200" max="8200" width="13.33203125" style="2" customWidth="1"/>
    <col min="8201" max="8202" width="16.33203125" style="2" customWidth="1"/>
    <col min="8203" max="8204" width="13.88671875" style="2" customWidth="1"/>
    <col min="8205" max="8205" width="13" style="2" customWidth="1"/>
    <col min="8206" max="8206" width="13.5546875" style="2" customWidth="1"/>
    <col min="8207" max="8207" width="12.88671875" style="2" customWidth="1"/>
    <col min="8208" max="8208" width="14.109375" style="2" customWidth="1"/>
    <col min="8209" max="8209" width="12" style="2" customWidth="1"/>
    <col min="8210" max="8210" width="13" style="2" bestFit="1" customWidth="1"/>
    <col min="8211" max="8211" width="11.88671875" style="2" bestFit="1" customWidth="1"/>
    <col min="8212" max="8212" width="13.33203125" style="2" bestFit="1" customWidth="1"/>
    <col min="8213" max="8213" width="12.33203125" style="2" bestFit="1" customWidth="1"/>
    <col min="8214" max="8214" width="12.44140625" style="2" customWidth="1"/>
    <col min="8215" max="8215" width="10.5546875" style="2" bestFit="1" customWidth="1"/>
    <col min="8216" max="8448" width="9.109375" style="2"/>
    <col min="8449" max="8449" width="6.33203125" style="2" bestFit="1" customWidth="1"/>
    <col min="8450" max="8450" width="41.44140625" style="2" customWidth="1"/>
    <col min="8451" max="8451" width="7.88671875" style="2" customWidth="1"/>
    <col min="8452" max="8452" width="16.33203125" style="2" customWidth="1"/>
    <col min="8453" max="8453" width="12.88671875" style="2" customWidth="1"/>
    <col min="8454" max="8455" width="16.33203125" style="2" customWidth="1"/>
    <col min="8456" max="8456" width="13.33203125" style="2" customWidth="1"/>
    <col min="8457" max="8458" width="16.33203125" style="2" customWidth="1"/>
    <col min="8459" max="8460" width="13.88671875" style="2" customWidth="1"/>
    <col min="8461" max="8461" width="13" style="2" customWidth="1"/>
    <col min="8462" max="8462" width="13.5546875" style="2" customWidth="1"/>
    <col min="8463" max="8463" width="12.88671875" style="2" customWidth="1"/>
    <col min="8464" max="8464" width="14.109375" style="2" customWidth="1"/>
    <col min="8465" max="8465" width="12" style="2" customWidth="1"/>
    <col min="8466" max="8466" width="13" style="2" bestFit="1" customWidth="1"/>
    <col min="8467" max="8467" width="11.88671875" style="2" bestFit="1" customWidth="1"/>
    <col min="8468" max="8468" width="13.33203125" style="2" bestFit="1" customWidth="1"/>
    <col min="8469" max="8469" width="12.33203125" style="2" bestFit="1" customWidth="1"/>
    <col min="8470" max="8470" width="12.44140625" style="2" customWidth="1"/>
    <col min="8471" max="8471" width="10.5546875" style="2" bestFit="1" customWidth="1"/>
    <col min="8472" max="8704" width="9.109375" style="2"/>
    <col min="8705" max="8705" width="6.33203125" style="2" bestFit="1" customWidth="1"/>
    <col min="8706" max="8706" width="41.44140625" style="2" customWidth="1"/>
    <col min="8707" max="8707" width="7.88671875" style="2" customWidth="1"/>
    <col min="8708" max="8708" width="16.33203125" style="2" customWidth="1"/>
    <col min="8709" max="8709" width="12.88671875" style="2" customWidth="1"/>
    <col min="8710" max="8711" width="16.33203125" style="2" customWidth="1"/>
    <col min="8712" max="8712" width="13.33203125" style="2" customWidth="1"/>
    <col min="8713" max="8714" width="16.33203125" style="2" customWidth="1"/>
    <col min="8715" max="8716" width="13.88671875" style="2" customWidth="1"/>
    <col min="8717" max="8717" width="13" style="2" customWidth="1"/>
    <col min="8718" max="8718" width="13.5546875" style="2" customWidth="1"/>
    <col min="8719" max="8719" width="12.88671875" style="2" customWidth="1"/>
    <col min="8720" max="8720" width="14.109375" style="2" customWidth="1"/>
    <col min="8721" max="8721" width="12" style="2" customWidth="1"/>
    <col min="8722" max="8722" width="13" style="2" bestFit="1" customWidth="1"/>
    <col min="8723" max="8723" width="11.88671875" style="2" bestFit="1" customWidth="1"/>
    <col min="8724" max="8724" width="13.33203125" style="2" bestFit="1" customWidth="1"/>
    <col min="8725" max="8725" width="12.33203125" style="2" bestFit="1" customWidth="1"/>
    <col min="8726" max="8726" width="12.44140625" style="2" customWidth="1"/>
    <col min="8727" max="8727" width="10.5546875" style="2" bestFit="1" customWidth="1"/>
    <col min="8728" max="8960" width="9.109375" style="2"/>
    <col min="8961" max="8961" width="6.33203125" style="2" bestFit="1" customWidth="1"/>
    <col min="8962" max="8962" width="41.44140625" style="2" customWidth="1"/>
    <col min="8963" max="8963" width="7.88671875" style="2" customWidth="1"/>
    <col min="8964" max="8964" width="16.33203125" style="2" customWidth="1"/>
    <col min="8965" max="8965" width="12.88671875" style="2" customWidth="1"/>
    <col min="8966" max="8967" width="16.33203125" style="2" customWidth="1"/>
    <col min="8968" max="8968" width="13.33203125" style="2" customWidth="1"/>
    <col min="8969" max="8970" width="16.33203125" style="2" customWidth="1"/>
    <col min="8971" max="8972" width="13.88671875" style="2" customWidth="1"/>
    <col min="8973" max="8973" width="13" style="2" customWidth="1"/>
    <col min="8974" max="8974" width="13.5546875" style="2" customWidth="1"/>
    <col min="8975" max="8975" width="12.88671875" style="2" customWidth="1"/>
    <col min="8976" max="8976" width="14.109375" style="2" customWidth="1"/>
    <col min="8977" max="8977" width="12" style="2" customWidth="1"/>
    <col min="8978" max="8978" width="13" style="2" bestFit="1" customWidth="1"/>
    <col min="8979" max="8979" width="11.88671875" style="2" bestFit="1" customWidth="1"/>
    <col min="8980" max="8980" width="13.33203125" style="2" bestFit="1" customWidth="1"/>
    <col min="8981" max="8981" width="12.33203125" style="2" bestFit="1" customWidth="1"/>
    <col min="8982" max="8982" width="12.44140625" style="2" customWidth="1"/>
    <col min="8983" max="8983" width="10.5546875" style="2" bestFit="1" customWidth="1"/>
    <col min="8984" max="9216" width="9.109375" style="2"/>
    <col min="9217" max="9217" width="6.33203125" style="2" bestFit="1" customWidth="1"/>
    <col min="9218" max="9218" width="41.44140625" style="2" customWidth="1"/>
    <col min="9219" max="9219" width="7.88671875" style="2" customWidth="1"/>
    <col min="9220" max="9220" width="16.33203125" style="2" customWidth="1"/>
    <col min="9221" max="9221" width="12.88671875" style="2" customWidth="1"/>
    <col min="9222" max="9223" width="16.33203125" style="2" customWidth="1"/>
    <col min="9224" max="9224" width="13.33203125" style="2" customWidth="1"/>
    <col min="9225" max="9226" width="16.33203125" style="2" customWidth="1"/>
    <col min="9227" max="9228" width="13.88671875" style="2" customWidth="1"/>
    <col min="9229" max="9229" width="13" style="2" customWidth="1"/>
    <col min="9230" max="9230" width="13.5546875" style="2" customWidth="1"/>
    <col min="9231" max="9231" width="12.88671875" style="2" customWidth="1"/>
    <col min="9232" max="9232" width="14.109375" style="2" customWidth="1"/>
    <col min="9233" max="9233" width="12" style="2" customWidth="1"/>
    <col min="9234" max="9234" width="13" style="2" bestFit="1" customWidth="1"/>
    <col min="9235" max="9235" width="11.88671875" style="2" bestFit="1" customWidth="1"/>
    <col min="9236" max="9236" width="13.33203125" style="2" bestFit="1" customWidth="1"/>
    <col min="9237" max="9237" width="12.33203125" style="2" bestFit="1" customWidth="1"/>
    <col min="9238" max="9238" width="12.44140625" style="2" customWidth="1"/>
    <col min="9239" max="9239" width="10.5546875" style="2" bestFit="1" customWidth="1"/>
    <col min="9240" max="9472" width="9.109375" style="2"/>
    <col min="9473" max="9473" width="6.33203125" style="2" bestFit="1" customWidth="1"/>
    <col min="9474" max="9474" width="41.44140625" style="2" customWidth="1"/>
    <col min="9475" max="9475" width="7.88671875" style="2" customWidth="1"/>
    <col min="9476" max="9476" width="16.33203125" style="2" customWidth="1"/>
    <col min="9477" max="9477" width="12.88671875" style="2" customWidth="1"/>
    <col min="9478" max="9479" width="16.33203125" style="2" customWidth="1"/>
    <col min="9480" max="9480" width="13.33203125" style="2" customWidth="1"/>
    <col min="9481" max="9482" width="16.33203125" style="2" customWidth="1"/>
    <col min="9483" max="9484" width="13.88671875" style="2" customWidth="1"/>
    <col min="9485" max="9485" width="13" style="2" customWidth="1"/>
    <col min="9486" max="9486" width="13.5546875" style="2" customWidth="1"/>
    <col min="9487" max="9487" width="12.88671875" style="2" customWidth="1"/>
    <col min="9488" max="9488" width="14.109375" style="2" customWidth="1"/>
    <col min="9489" max="9489" width="12" style="2" customWidth="1"/>
    <col min="9490" max="9490" width="13" style="2" bestFit="1" customWidth="1"/>
    <col min="9491" max="9491" width="11.88671875" style="2" bestFit="1" customWidth="1"/>
    <col min="9492" max="9492" width="13.33203125" style="2" bestFit="1" customWidth="1"/>
    <col min="9493" max="9493" width="12.33203125" style="2" bestFit="1" customWidth="1"/>
    <col min="9494" max="9494" width="12.44140625" style="2" customWidth="1"/>
    <col min="9495" max="9495" width="10.5546875" style="2" bestFit="1" customWidth="1"/>
    <col min="9496" max="9728" width="9.109375" style="2"/>
    <col min="9729" max="9729" width="6.33203125" style="2" bestFit="1" customWidth="1"/>
    <col min="9730" max="9730" width="41.44140625" style="2" customWidth="1"/>
    <col min="9731" max="9731" width="7.88671875" style="2" customWidth="1"/>
    <col min="9732" max="9732" width="16.33203125" style="2" customWidth="1"/>
    <col min="9733" max="9733" width="12.88671875" style="2" customWidth="1"/>
    <col min="9734" max="9735" width="16.33203125" style="2" customWidth="1"/>
    <col min="9736" max="9736" width="13.33203125" style="2" customWidth="1"/>
    <col min="9737" max="9738" width="16.33203125" style="2" customWidth="1"/>
    <col min="9739" max="9740" width="13.88671875" style="2" customWidth="1"/>
    <col min="9741" max="9741" width="13" style="2" customWidth="1"/>
    <col min="9742" max="9742" width="13.5546875" style="2" customWidth="1"/>
    <col min="9743" max="9743" width="12.88671875" style="2" customWidth="1"/>
    <col min="9744" max="9744" width="14.109375" style="2" customWidth="1"/>
    <col min="9745" max="9745" width="12" style="2" customWidth="1"/>
    <col min="9746" max="9746" width="13" style="2" bestFit="1" customWidth="1"/>
    <col min="9747" max="9747" width="11.88671875" style="2" bestFit="1" customWidth="1"/>
    <col min="9748" max="9748" width="13.33203125" style="2" bestFit="1" customWidth="1"/>
    <col min="9749" max="9749" width="12.33203125" style="2" bestFit="1" customWidth="1"/>
    <col min="9750" max="9750" width="12.44140625" style="2" customWidth="1"/>
    <col min="9751" max="9751" width="10.5546875" style="2" bestFit="1" customWidth="1"/>
    <col min="9752" max="9984" width="9.109375" style="2"/>
    <col min="9985" max="9985" width="6.33203125" style="2" bestFit="1" customWidth="1"/>
    <col min="9986" max="9986" width="41.44140625" style="2" customWidth="1"/>
    <col min="9987" max="9987" width="7.88671875" style="2" customWidth="1"/>
    <col min="9988" max="9988" width="16.33203125" style="2" customWidth="1"/>
    <col min="9989" max="9989" width="12.88671875" style="2" customWidth="1"/>
    <col min="9990" max="9991" width="16.33203125" style="2" customWidth="1"/>
    <col min="9992" max="9992" width="13.33203125" style="2" customWidth="1"/>
    <col min="9993" max="9994" width="16.33203125" style="2" customWidth="1"/>
    <col min="9995" max="9996" width="13.88671875" style="2" customWidth="1"/>
    <col min="9997" max="9997" width="13" style="2" customWidth="1"/>
    <col min="9998" max="9998" width="13.5546875" style="2" customWidth="1"/>
    <col min="9999" max="9999" width="12.88671875" style="2" customWidth="1"/>
    <col min="10000" max="10000" width="14.109375" style="2" customWidth="1"/>
    <col min="10001" max="10001" width="12" style="2" customWidth="1"/>
    <col min="10002" max="10002" width="13" style="2" bestFit="1" customWidth="1"/>
    <col min="10003" max="10003" width="11.88671875" style="2" bestFit="1" customWidth="1"/>
    <col min="10004" max="10004" width="13.33203125" style="2" bestFit="1" customWidth="1"/>
    <col min="10005" max="10005" width="12.33203125" style="2" bestFit="1" customWidth="1"/>
    <col min="10006" max="10006" width="12.44140625" style="2" customWidth="1"/>
    <col min="10007" max="10007" width="10.5546875" style="2" bestFit="1" customWidth="1"/>
    <col min="10008" max="10240" width="9.109375" style="2"/>
    <col min="10241" max="10241" width="6.33203125" style="2" bestFit="1" customWidth="1"/>
    <col min="10242" max="10242" width="41.44140625" style="2" customWidth="1"/>
    <col min="10243" max="10243" width="7.88671875" style="2" customWidth="1"/>
    <col min="10244" max="10244" width="16.33203125" style="2" customWidth="1"/>
    <col min="10245" max="10245" width="12.88671875" style="2" customWidth="1"/>
    <col min="10246" max="10247" width="16.33203125" style="2" customWidth="1"/>
    <col min="10248" max="10248" width="13.33203125" style="2" customWidth="1"/>
    <col min="10249" max="10250" width="16.33203125" style="2" customWidth="1"/>
    <col min="10251" max="10252" width="13.88671875" style="2" customWidth="1"/>
    <col min="10253" max="10253" width="13" style="2" customWidth="1"/>
    <col min="10254" max="10254" width="13.5546875" style="2" customWidth="1"/>
    <col min="10255" max="10255" width="12.88671875" style="2" customWidth="1"/>
    <col min="10256" max="10256" width="14.109375" style="2" customWidth="1"/>
    <col min="10257" max="10257" width="12" style="2" customWidth="1"/>
    <col min="10258" max="10258" width="13" style="2" bestFit="1" customWidth="1"/>
    <col min="10259" max="10259" width="11.88671875" style="2" bestFit="1" customWidth="1"/>
    <col min="10260" max="10260" width="13.33203125" style="2" bestFit="1" customWidth="1"/>
    <col min="10261" max="10261" width="12.33203125" style="2" bestFit="1" customWidth="1"/>
    <col min="10262" max="10262" width="12.44140625" style="2" customWidth="1"/>
    <col min="10263" max="10263" width="10.5546875" style="2" bestFit="1" customWidth="1"/>
    <col min="10264" max="10496" width="9.109375" style="2"/>
    <col min="10497" max="10497" width="6.33203125" style="2" bestFit="1" customWidth="1"/>
    <col min="10498" max="10498" width="41.44140625" style="2" customWidth="1"/>
    <col min="10499" max="10499" width="7.88671875" style="2" customWidth="1"/>
    <col min="10500" max="10500" width="16.33203125" style="2" customWidth="1"/>
    <col min="10501" max="10501" width="12.88671875" style="2" customWidth="1"/>
    <col min="10502" max="10503" width="16.33203125" style="2" customWidth="1"/>
    <col min="10504" max="10504" width="13.33203125" style="2" customWidth="1"/>
    <col min="10505" max="10506" width="16.33203125" style="2" customWidth="1"/>
    <col min="10507" max="10508" width="13.88671875" style="2" customWidth="1"/>
    <col min="10509" max="10509" width="13" style="2" customWidth="1"/>
    <col min="10510" max="10510" width="13.5546875" style="2" customWidth="1"/>
    <col min="10511" max="10511" width="12.88671875" style="2" customWidth="1"/>
    <col min="10512" max="10512" width="14.109375" style="2" customWidth="1"/>
    <col min="10513" max="10513" width="12" style="2" customWidth="1"/>
    <col min="10514" max="10514" width="13" style="2" bestFit="1" customWidth="1"/>
    <col min="10515" max="10515" width="11.88671875" style="2" bestFit="1" customWidth="1"/>
    <col min="10516" max="10516" width="13.33203125" style="2" bestFit="1" customWidth="1"/>
    <col min="10517" max="10517" width="12.33203125" style="2" bestFit="1" customWidth="1"/>
    <col min="10518" max="10518" width="12.44140625" style="2" customWidth="1"/>
    <col min="10519" max="10519" width="10.5546875" style="2" bestFit="1" customWidth="1"/>
    <col min="10520" max="10752" width="9.109375" style="2"/>
    <col min="10753" max="10753" width="6.33203125" style="2" bestFit="1" customWidth="1"/>
    <col min="10754" max="10754" width="41.44140625" style="2" customWidth="1"/>
    <col min="10755" max="10755" width="7.88671875" style="2" customWidth="1"/>
    <col min="10756" max="10756" width="16.33203125" style="2" customWidth="1"/>
    <col min="10757" max="10757" width="12.88671875" style="2" customWidth="1"/>
    <col min="10758" max="10759" width="16.33203125" style="2" customWidth="1"/>
    <col min="10760" max="10760" width="13.33203125" style="2" customWidth="1"/>
    <col min="10761" max="10762" width="16.33203125" style="2" customWidth="1"/>
    <col min="10763" max="10764" width="13.88671875" style="2" customWidth="1"/>
    <col min="10765" max="10765" width="13" style="2" customWidth="1"/>
    <col min="10766" max="10766" width="13.5546875" style="2" customWidth="1"/>
    <col min="10767" max="10767" width="12.88671875" style="2" customWidth="1"/>
    <col min="10768" max="10768" width="14.109375" style="2" customWidth="1"/>
    <col min="10769" max="10769" width="12" style="2" customWidth="1"/>
    <col min="10770" max="10770" width="13" style="2" bestFit="1" customWidth="1"/>
    <col min="10771" max="10771" width="11.88671875" style="2" bestFit="1" customWidth="1"/>
    <col min="10772" max="10772" width="13.33203125" style="2" bestFit="1" customWidth="1"/>
    <col min="10773" max="10773" width="12.33203125" style="2" bestFit="1" customWidth="1"/>
    <col min="10774" max="10774" width="12.44140625" style="2" customWidth="1"/>
    <col min="10775" max="10775" width="10.5546875" style="2" bestFit="1" customWidth="1"/>
    <col min="10776" max="11008" width="9.109375" style="2"/>
    <col min="11009" max="11009" width="6.33203125" style="2" bestFit="1" customWidth="1"/>
    <col min="11010" max="11010" width="41.44140625" style="2" customWidth="1"/>
    <col min="11011" max="11011" width="7.88671875" style="2" customWidth="1"/>
    <col min="11012" max="11012" width="16.33203125" style="2" customWidth="1"/>
    <col min="11013" max="11013" width="12.88671875" style="2" customWidth="1"/>
    <col min="11014" max="11015" width="16.33203125" style="2" customWidth="1"/>
    <col min="11016" max="11016" width="13.33203125" style="2" customWidth="1"/>
    <col min="11017" max="11018" width="16.33203125" style="2" customWidth="1"/>
    <col min="11019" max="11020" width="13.88671875" style="2" customWidth="1"/>
    <col min="11021" max="11021" width="13" style="2" customWidth="1"/>
    <col min="11022" max="11022" width="13.5546875" style="2" customWidth="1"/>
    <col min="11023" max="11023" width="12.88671875" style="2" customWidth="1"/>
    <col min="11024" max="11024" width="14.109375" style="2" customWidth="1"/>
    <col min="11025" max="11025" width="12" style="2" customWidth="1"/>
    <col min="11026" max="11026" width="13" style="2" bestFit="1" customWidth="1"/>
    <col min="11027" max="11027" width="11.88671875" style="2" bestFit="1" customWidth="1"/>
    <col min="11028" max="11028" width="13.33203125" style="2" bestFit="1" customWidth="1"/>
    <col min="11029" max="11029" width="12.33203125" style="2" bestFit="1" customWidth="1"/>
    <col min="11030" max="11030" width="12.44140625" style="2" customWidth="1"/>
    <col min="11031" max="11031" width="10.5546875" style="2" bestFit="1" customWidth="1"/>
    <col min="11032" max="11264" width="9.109375" style="2"/>
    <col min="11265" max="11265" width="6.33203125" style="2" bestFit="1" customWidth="1"/>
    <col min="11266" max="11266" width="41.44140625" style="2" customWidth="1"/>
    <col min="11267" max="11267" width="7.88671875" style="2" customWidth="1"/>
    <col min="11268" max="11268" width="16.33203125" style="2" customWidth="1"/>
    <col min="11269" max="11269" width="12.88671875" style="2" customWidth="1"/>
    <col min="11270" max="11271" width="16.33203125" style="2" customWidth="1"/>
    <col min="11272" max="11272" width="13.33203125" style="2" customWidth="1"/>
    <col min="11273" max="11274" width="16.33203125" style="2" customWidth="1"/>
    <col min="11275" max="11276" width="13.88671875" style="2" customWidth="1"/>
    <col min="11277" max="11277" width="13" style="2" customWidth="1"/>
    <col min="11278" max="11278" width="13.5546875" style="2" customWidth="1"/>
    <col min="11279" max="11279" width="12.88671875" style="2" customWidth="1"/>
    <col min="11280" max="11280" width="14.109375" style="2" customWidth="1"/>
    <col min="11281" max="11281" width="12" style="2" customWidth="1"/>
    <col min="11282" max="11282" width="13" style="2" bestFit="1" customWidth="1"/>
    <col min="11283" max="11283" width="11.88671875" style="2" bestFit="1" customWidth="1"/>
    <col min="11284" max="11284" width="13.33203125" style="2" bestFit="1" customWidth="1"/>
    <col min="11285" max="11285" width="12.33203125" style="2" bestFit="1" customWidth="1"/>
    <col min="11286" max="11286" width="12.44140625" style="2" customWidth="1"/>
    <col min="11287" max="11287" width="10.5546875" style="2" bestFit="1" customWidth="1"/>
    <col min="11288" max="11520" width="9.109375" style="2"/>
    <col min="11521" max="11521" width="6.33203125" style="2" bestFit="1" customWidth="1"/>
    <col min="11522" max="11522" width="41.44140625" style="2" customWidth="1"/>
    <col min="11523" max="11523" width="7.88671875" style="2" customWidth="1"/>
    <col min="11524" max="11524" width="16.33203125" style="2" customWidth="1"/>
    <col min="11525" max="11525" width="12.88671875" style="2" customWidth="1"/>
    <col min="11526" max="11527" width="16.33203125" style="2" customWidth="1"/>
    <col min="11528" max="11528" width="13.33203125" style="2" customWidth="1"/>
    <col min="11529" max="11530" width="16.33203125" style="2" customWidth="1"/>
    <col min="11531" max="11532" width="13.88671875" style="2" customWidth="1"/>
    <col min="11533" max="11533" width="13" style="2" customWidth="1"/>
    <col min="11534" max="11534" width="13.5546875" style="2" customWidth="1"/>
    <col min="11535" max="11535" width="12.88671875" style="2" customWidth="1"/>
    <col min="11536" max="11536" width="14.109375" style="2" customWidth="1"/>
    <col min="11537" max="11537" width="12" style="2" customWidth="1"/>
    <col min="11538" max="11538" width="13" style="2" bestFit="1" customWidth="1"/>
    <col min="11539" max="11539" width="11.88671875" style="2" bestFit="1" customWidth="1"/>
    <col min="11540" max="11540" width="13.33203125" style="2" bestFit="1" customWidth="1"/>
    <col min="11541" max="11541" width="12.33203125" style="2" bestFit="1" customWidth="1"/>
    <col min="11542" max="11542" width="12.44140625" style="2" customWidth="1"/>
    <col min="11543" max="11543" width="10.5546875" style="2" bestFit="1" customWidth="1"/>
    <col min="11544" max="11776" width="9.109375" style="2"/>
    <col min="11777" max="11777" width="6.33203125" style="2" bestFit="1" customWidth="1"/>
    <col min="11778" max="11778" width="41.44140625" style="2" customWidth="1"/>
    <col min="11779" max="11779" width="7.88671875" style="2" customWidth="1"/>
    <col min="11780" max="11780" width="16.33203125" style="2" customWidth="1"/>
    <col min="11781" max="11781" width="12.88671875" style="2" customWidth="1"/>
    <col min="11782" max="11783" width="16.33203125" style="2" customWidth="1"/>
    <col min="11784" max="11784" width="13.33203125" style="2" customWidth="1"/>
    <col min="11785" max="11786" width="16.33203125" style="2" customWidth="1"/>
    <col min="11787" max="11788" width="13.88671875" style="2" customWidth="1"/>
    <col min="11789" max="11789" width="13" style="2" customWidth="1"/>
    <col min="11790" max="11790" width="13.5546875" style="2" customWidth="1"/>
    <col min="11791" max="11791" width="12.88671875" style="2" customWidth="1"/>
    <col min="11792" max="11792" width="14.109375" style="2" customWidth="1"/>
    <col min="11793" max="11793" width="12" style="2" customWidth="1"/>
    <col min="11794" max="11794" width="13" style="2" bestFit="1" customWidth="1"/>
    <col min="11795" max="11795" width="11.88671875" style="2" bestFit="1" customWidth="1"/>
    <col min="11796" max="11796" width="13.33203125" style="2" bestFit="1" customWidth="1"/>
    <col min="11797" max="11797" width="12.33203125" style="2" bestFit="1" customWidth="1"/>
    <col min="11798" max="11798" width="12.44140625" style="2" customWidth="1"/>
    <col min="11799" max="11799" width="10.5546875" style="2" bestFit="1" customWidth="1"/>
    <col min="11800" max="12032" width="9.109375" style="2"/>
    <col min="12033" max="12033" width="6.33203125" style="2" bestFit="1" customWidth="1"/>
    <col min="12034" max="12034" width="41.44140625" style="2" customWidth="1"/>
    <col min="12035" max="12035" width="7.88671875" style="2" customWidth="1"/>
    <col min="12036" max="12036" width="16.33203125" style="2" customWidth="1"/>
    <col min="12037" max="12037" width="12.88671875" style="2" customWidth="1"/>
    <col min="12038" max="12039" width="16.33203125" style="2" customWidth="1"/>
    <col min="12040" max="12040" width="13.33203125" style="2" customWidth="1"/>
    <col min="12041" max="12042" width="16.33203125" style="2" customWidth="1"/>
    <col min="12043" max="12044" width="13.88671875" style="2" customWidth="1"/>
    <col min="12045" max="12045" width="13" style="2" customWidth="1"/>
    <col min="12046" max="12046" width="13.5546875" style="2" customWidth="1"/>
    <col min="12047" max="12047" width="12.88671875" style="2" customWidth="1"/>
    <col min="12048" max="12048" width="14.109375" style="2" customWidth="1"/>
    <col min="12049" max="12049" width="12" style="2" customWidth="1"/>
    <col min="12050" max="12050" width="13" style="2" bestFit="1" customWidth="1"/>
    <col min="12051" max="12051" width="11.88671875" style="2" bestFit="1" customWidth="1"/>
    <col min="12052" max="12052" width="13.33203125" style="2" bestFit="1" customWidth="1"/>
    <col min="12053" max="12053" width="12.33203125" style="2" bestFit="1" customWidth="1"/>
    <col min="12054" max="12054" width="12.44140625" style="2" customWidth="1"/>
    <col min="12055" max="12055" width="10.5546875" style="2" bestFit="1" customWidth="1"/>
    <col min="12056" max="12288" width="9.109375" style="2"/>
    <col min="12289" max="12289" width="6.33203125" style="2" bestFit="1" customWidth="1"/>
    <col min="12290" max="12290" width="41.44140625" style="2" customWidth="1"/>
    <col min="12291" max="12291" width="7.88671875" style="2" customWidth="1"/>
    <col min="12292" max="12292" width="16.33203125" style="2" customWidth="1"/>
    <col min="12293" max="12293" width="12.88671875" style="2" customWidth="1"/>
    <col min="12294" max="12295" width="16.33203125" style="2" customWidth="1"/>
    <col min="12296" max="12296" width="13.33203125" style="2" customWidth="1"/>
    <col min="12297" max="12298" width="16.33203125" style="2" customWidth="1"/>
    <col min="12299" max="12300" width="13.88671875" style="2" customWidth="1"/>
    <col min="12301" max="12301" width="13" style="2" customWidth="1"/>
    <col min="12302" max="12302" width="13.5546875" style="2" customWidth="1"/>
    <col min="12303" max="12303" width="12.88671875" style="2" customWidth="1"/>
    <col min="12304" max="12304" width="14.109375" style="2" customWidth="1"/>
    <col min="12305" max="12305" width="12" style="2" customWidth="1"/>
    <col min="12306" max="12306" width="13" style="2" bestFit="1" customWidth="1"/>
    <col min="12307" max="12307" width="11.88671875" style="2" bestFit="1" customWidth="1"/>
    <col min="12308" max="12308" width="13.33203125" style="2" bestFit="1" customWidth="1"/>
    <col min="12309" max="12309" width="12.33203125" style="2" bestFit="1" customWidth="1"/>
    <col min="12310" max="12310" width="12.44140625" style="2" customWidth="1"/>
    <col min="12311" max="12311" width="10.5546875" style="2" bestFit="1" customWidth="1"/>
    <col min="12312" max="12544" width="9.109375" style="2"/>
    <col min="12545" max="12545" width="6.33203125" style="2" bestFit="1" customWidth="1"/>
    <col min="12546" max="12546" width="41.44140625" style="2" customWidth="1"/>
    <col min="12547" max="12547" width="7.88671875" style="2" customWidth="1"/>
    <col min="12548" max="12548" width="16.33203125" style="2" customWidth="1"/>
    <col min="12549" max="12549" width="12.88671875" style="2" customWidth="1"/>
    <col min="12550" max="12551" width="16.33203125" style="2" customWidth="1"/>
    <col min="12552" max="12552" width="13.33203125" style="2" customWidth="1"/>
    <col min="12553" max="12554" width="16.33203125" style="2" customWidth="1"/>
    <col min="12555" max="12556" width="13.88671875" style="2" customWidth="1"/>
    <col min="12557" max="12557" width="13" style="2" customWidth="1"/>
    <col min="12558" max="12558" width="13.5546875" style="2" customWidth="1"/>
    <col min="12559" max="12559" width="12.88671875" style="2" customWidth="1"/>
    <col min="12560" max="12560" width="14.109375" style="2" customWidth="1"/>
    <col min="12561" max="12561" width="12" style="2" customWidth="1"/>
    <col min="12562" max="12562" width="13" style="2" bestFit="1" customWidth="1"/>
    <col min="12563" max="12563" width="11.88671875" style="2" bestFit="1" customWidth="1"/>
    <col min="12564" max="12564" width="13.33203125" style="2" bestFit="1" customWidth="1"/>
    <col min="12565" max="12565" width="12.33203125" style="2" bestFit="1" customWidth="1"/>
    <col min="12566" max="12566" width="12.44140625" style="2" customWidth="1"/>
    <col min="12567" max="12567" width="10.5546875" style="2" bestFit="1" customWidth="1"/>
    <col min="12568" max="12800" width="9.109375" style="2"/>
    <col min="12801" max="12801" width="6.33203125" style="2" bestFit="1" customWidth="1"/>
    <col min="12802" max="12802" width="41.44140625" style="2" customWidth="1"/>
    <col min="12803" max="12803" width="7.88671875" style="2" customWidth="1"/>
    <col min="12804" max="12804" width="16.33203125" style="2" customWidth="1"/>
    <col min="12805" max="12805" width="12.88671875" style="2" customWidth="1"/>
    <col min="12806" max="12807" width="16.33203125" style="2" customWidth="1"/>
    <col min="12808" max="12808" width="13.33203125" style="2" customWidth="1"/>
    <col min="12809" max="12810" width="16.33203125" style="2" customWidth="1"/>
    <col min="12811" max="12812" width="13.88671875" style="2" customWidth="1"/>
    <col min="12813" max="12813" width="13" style="2" customWidth="1"/>
    <col min="12814" max="12814" width="13.5546875" style="2" customWidth="1"/>
    <col min="12815" max="12815" width="12.88671875" style="2" customWidth="1"/>
    <col min="12816" max="12816" width="14.109375" style="2" customWidth="1"/>
    <col min="12817" max="12817" width="12" style="2" customWidth="1"/>
    <col min="12818" max="12818" width="13" style="2" bestFit="1" customWidth="1"/>
    <col min="12819" max="12819" width="11.88671875" style="2" bestFit="1" customWidth="1"/>
    <col min="12820" max="12820" width="13.33203125" style="2" bestFit="1" customWidth="1"/>
    <col min="12821" max="12821" width="12.33203125" style="2" bestFit="1" customWidth="1"/>
    <col min="12822" max="12822" width="12.44140625" style="2" customWidth="1"/>
    <col min="12823" max="12823" width="10.5546875" style="2" bestFit="1" customWidth="1"/>
    <col min="12824" max="13056" width="9.109375" style="2"/>
    <col min="13057" max="13057" width="6.33203125" style="2" bestFit="1" customWidth="1"/>
    <col min="13058" max="13058" width="41.44140625" style="2" customWidth="1"/>
    <col min="13059" max="13059" width="7.88671875" style="2" customWidth="1"/>
    <col min="13060" max="13060" width="16.33203125" style="2" customWidth="1"/>
    <col min="13061" max="13061" width="12.88671875" style="2" customWidth="1"/>
    <col min="13062" max="13063" width="16.33203125" style="2" customWidth="1"/>
    <col min="13064" max="13064" width="13.33203125" style="2" customWidth="1"/>
    <col min="13065" max="13066" width="16.33203125" style="2" customWidth="1"/>
    <col min="13067" max="13068" width="13.88671875" style="2" customWidth="1"/>
    <col min="13069" max="13069" width="13" style="2" customWidth="1"/>
    <col min="13070" max="13070" width="13.5546875" style="2" customWidth="1"/>
    <col min="13071" max="13071" width="12.88671875" style="2" customWidth="1"/>
    <col min="13072" max="13072" width="14.109375" style="2" customWidth="1"/>
    <col min="13073" max="13073" width="12" style="2" customWidth="1"/>
    <col min="13074" max="13074" width="13" style="2" bestFit="1" customWidth="1"/>
    <col min="13075" max="13075" width="11.88671875" style="2" bestFit="1" customWidth="1"/>
    <col min="13076" max="13076" width="13.33203125" style="2" bestFit="1" customWidth="1"/>
    <col min="13077" max="13077" width="12.33203125" style="2" bestFit="1" customWidth="1"/>
    <col min="13078" max="13078" width="12.44140625" style="2" customWidth="1"/>
    <col min="13079" max="13079" width="10.5546875" style="2" bestFit="1" customWidth="1"/>
    <col min="13080" max="13312" width="9.109375" style="2"/>
    <col min="13313" max="13313" width="6.33203125" style="2" bestFit="1" customWidth="1"/>
    <col min="13314" max="13314" width="41.44140625" style="2" customWidth="1"/>
    <col min="13315" max="13315" width="7.88671875" style="2" customWidth="1"/>
    <col min="13316" max="13316" width="16.33203125" style="2" customWidth="1"/>
    <col min="13317" max="13317" width="12.88671875" style="2" customWidth="1"/>
    <col min="13318" max="13319" width="16.33203125" style="2" customWidth="1"/>
    <col min="13320" max="13320" width="13.33203125" style="2" customWidth="1"/>
    <col min="13321" max="13322" width="16.33203125" style="2" customWidth="1"/>
    <col min="13323" max="13324" width="13.88671875" style="2" customWidth="1"/>
    <col min="13325" max="13325" width="13" style="2" customWidth="1"/>
    <col min="13326" max="13326" width="13.5546875" style="2" customWidth="1"/>
    <col min="13327" max="13327" width="12.88671875" style="2" customWidth="1"/>
    <col min="13328" max="13328" width="14.109375" style="2" customWidth="1"/>
    <col min="13329" max="13329" width="12" style="2" customWidth="1"/>
    <col min="13330" max="13330" width="13" style="2" bestFit="1" customWidth="1"/>
    <col min="13331" max="13331" width="11.88671875" style="2" bestFit="1" customWidth="1"/>
    <col min="13332" max="13332" width="13.33203125" style="2" bestFit="1" customWidth="1"/>
    <col min="13333" max="13333" width="12.33203125" style="2" bestFit="1" customWidth="1"/>
    <col min="13334" max="13334" width="12.44140625" style="2" customWidth="1"/>
    <col min="13335" max="13335" width="10.5546875" style="2" bestFit="1" customWidth="1"/>
    <col min="13336" max="13568" width="9.109375" style="2"/>
    <col min="13569" max="13569" width="6.33203125" style="2" bestFit="1" customWidth="1"/>
    <col min="13570" max="13570" width="41.44140625" style="2" customWidth="1"/>
    <col min="13571" max="13571" width="7.88671875" style="2" customWidth="1"/>
    <col min="13572" max="13572" width="16.33203125" style="2" customWidth="1"/>
    <col min="13573" max="13573" width="12.88671875" style="2" customWidth="1"/>
    <col min="13574" max="13575" width="16.33203125" style="2" customWidth="1"/>
    <col min="13576" max="13576" width="13.33203125" style="2" customWidth="1"/>
    <col min="13577" max="13578" width="16.33203125" style="2" customWidth="1"/>
    <col min="13579" max="13580" width="13.88671875" style="2" customWidth="1"/>
    <col min="13581" max="13581" width="13" style="2" customWidth="1"/>
    <col min="13582" max="13582" width="13.5546875" style="2" customWidth="1"/>
    <col min="13583" max="13583" width="12.88671875" style="2" customWidth="1"/>
    <col min="13584" max="13584" width="14.109375" style="2" customWidth="1"/>
    <col min="13585" max="13585" width="12" style="2" customWidth="1"/>
    <col min="13586" max="13586" width="13" style="2" bestFit="1" customWidth="1"/>
    <col min="13587" max="13587" width="11.88671875" style="2" bestFit="1" customWidth="1"/>
    <col min="13588" max="13588" width="13.33203125" style="2" bestFit="1" customWidth="1"/>
    <col min="13589" max="13589" width="12.33203125" style="2" bestFit="1" customWidth="1"/>
    <col min="13590" max="13590" width="12.44140625" style="2" customWidth="1"/>
    <col min="13591" max="13591" width="10.5546875" style="2" bestFit="1" customWidth="1"/>
    <col min="13592" max="13824" width="9.109375" style="2"/>
    <col min="13825" max="13825" width="6.33203125" style="2" bestFit="1" customWidth="1"/>
    <col min="13826" max="13826" width="41.44140625" style="2" customWidth="1"/>
    <col min="13827" max="13827" width="7.88671875" style="2" customWidth="1"/>
    <col min="13828" max="13828" width="16.33203125" style="2" customWidth="1"/>
    <col min="13829" max="13829" width="12.88671875" style="2" customWidth="1"/>
    <col min="13830" max="13831" width="16.33203125" style="2" customWidth="1"/>
    <col min="13832" max="13832" width="13.33203125" style="2" customWidth="1"/>
    <col min="13833" max="13834" width="16.33203125" style="2" customWidth="1"/>
    <col min="13835" max="13836" width="13.88671875" style="2" customWidth="1"/>
    <col min="13837" max="13837" width="13" style="2" customWidth="1"/>
    <col min="13838" max="13838" width="13.5546875" style="2" customWidth="1"/>
    <col min="13839" max="13839" width="12.88671875" style="2" customWidth="1"/>
    <col min="13840" max="13840" width="14.109375" style="2" customWidth="1"/>
    <col min="13841" max="13841" width="12" style="2" customWidth="1"/>
    <col min="13842" max="13842" width="13" style="2" bestFit="1" customWidth="1"/>
    <col min="13843" max="13843" width="11.88671875" style="2" bestFit="1" customWidth="1"/>
    <col min="13844" max="13844" width="13.33203125" style="2" bestFit="1" customWidth="1"/>
    <col min="13845" max="13845" width="12.33203125" style="2" bestFit="1" customWidth="1"/>
    <col min="13846" max="13846" width="12.44140625" style="2" customWidth="1"/>
    <col min="13847" max="13847" width="10.5546875" style="2" bestFit="1" customWidth="1"/>
    <col min="13848" max="14080" width="9.109375" style="2"/>
    <col min="14081" max="14081" width="6.33203125" style="2" bestFit="1" customWidth="1"/>
    <col min="14082" max="14082" width="41.44140625" style="2" customWidth="1"/>
    <col min="14083" max="14083" width="7.88671875" style="2" customWidth="1"/>
    <col min="14084" max="14084" width="16.33203125" style="2" customWidth="1"/>
    <col min="14085" max="14085" width="12.88671875" style="2" customWidth="1"/>
    <col min="14086" max="14087" width="16.33203125" style="2" customWidth="1"/>
    <col min="14088" max="14088" width="13.33203125" style="2" customWidth="1"/>
    <col min="14089" max="14090" width="16.33203125" style="2" customWidth="1"/>
    <col min="14091" max="14092" width="13.88671875" style="2" customWidth="1"/>
    <col min="14093" max="14093" width="13" style="2" customWidth="1"/>
    <col min="14094" max="14094" width="13.5546875" style="2" customWidth="1"/>
    <col min="14095" max="14095" width="12.88671875" style="2" customWidth="1"/>
    <col min="14096" max="14096" width="14.109375" style="2" customWidth="1"/>
    <col min="14097" max="14097" width="12" style="2" customWidth="1"/>
    <col min="14098" max="14098" width="13" style="2" bestFit="1" customWidth="1"/>
    <col min="14099" max="14099" width="11.88671875" style="2" bestFit="1" customWidth="1"/>
    <col min="14100" max="14100" width="13.33203125" style="2" bestFit="1" customWidth="1"/>
    <col min="14101" max="14101" width="12.33203125" style="2" bestFit="1" customWidth="1"/>
    <col min="14102" max="14102" width="12.44140625" style="2" customWidth="1"/>
    <col min="14103" max="14103" width="10.5546875" style="2" bestFit="1" customWidth="1"/>
    <col min="14104" max="14336" width="9.109375" style="2"/>
    <col min="14337" max="14337" width="6.33203125" style="2" bestFit="1" customWidth="1"/>
    <col min="14338" max="14338" width="41.44140625" style="2" customWidth="1"/>
    <col min="14339" max="14339" width="7.88671875" style="2" customWidth="1"/>
    <col min="14340" max="14340" width="16.33203125" style="2" customWidth="1"/>
    <col min="14341" max="14341" width="12.88671875" style="2" customWidth="1"/>
    <col min="14342" max="14343" width="16.33203125" style="2" customWidth="1"/>
    <col min="14344" max="14344" width="13.33203125" style="2" customWidth="1"/>
    <col min="14345" max="14346" width="16.33203125" style="2" customWidth="1"/>
    <col min="14347" max="14348" width="13.88671875" style="2" customWidth="1"/>
    <col min="14349" max="14349" width="13" style="2" customWidth="1"/>
    <col min="14350" max="14350" width="13.5546875" style="2" customWidth="1"/>
    <col min="14351" max="14351" width="12.88671875" style="2" customWidth="1"/>
    <col min="14352" max="14352" width="14.109375" style="2" customWidth="1"/>
    <col min="14353" max="14353" width="12" style="2" customWidth="1"/>
    <col min="14354" max="14354" width="13" style="2" bestFit="1" customWidth="1"/>
    <col min="14355" max="14355" width="11.88671875" style="2" bestFit="1" customWidth="1"/>
    <col min="14356" max="14356" width="13.33203125" style="2" bestFit="1" customWidth="1"/>
    <col min="14357" max="14357" width="12.33203125" style="2" bestFit="1" customWidth="1"/>
    <col min="14358" max="14358" width="12.44140625" style="2" customWidth="1"/>
    <col min="14359" max="14359" width="10.5546875" style="2" bestFit="1" customWidth="1"/>
    <col min="14360" max="14592" width="9.109375" style="2"/>
    <col min="14593" max="14593" width="6.33203125" style="2" bestFit="1" customWidth="1"/>
    <col min="14594" max="14594" width="41.44140625" style="2" customWidth="1"/>
    <col min="14595" max="14595" width="7.88671875" style="2" customWidth="1"/>
    <col min="14596" max="14596" width="16.33203125" style="2" customWidth="1"/>
    <col min="14597" max="14597" width="12.88671875" style="2" customWidth="1"/>
    <col min="14598" max="14599" width="16.33203125" style="2" customWidth="1"/>
    <col min="14600" max="14600" width="13.33203125" style="2" customWidth="1"/>
    <col min="14601" max="14602" width="16.33203125" style="2" customWidth="1"/>
    <col min="14603" max="14604" width="13.88671875" style="2" customWidth="1"/>
    <col min="14605" max="14605" width="13" style="2" customWidth="1"/>
    <col min="14606" max="14606" width="13.5546875" style="2" customWidth="1"/>
    <col min="14607" max="14607" width="12.88671875" style="2" customWidth="1"/>
    <col min="14608" max="14608" width="14.109375" style="2" customWidth="1"/>
    <col min="14609" max="14609" width="12" style="2" customWidth="1"/>
    <col min="14610" max="14610" width="13" style="2" bestFit="1" customWidth="1"/>
    <col min="14611" max="14611" width="11.88671875" style="2" bestFit="1" customWidth="1"/>
    <col min="14612" max="14612" width="13.33203125" style="2" bestFit="1" customWidth="1"/>
    <col min="14613" max="14613" width="12.33203125" style="2" bestFit="1" customWidth="1"/>
    <col min="14614" max="14614" width="12.44140625" style="2" customWidth="1"/>
    <col min="14615" max="14615" width="10.5546875" style="2" bestFit="1" customWidth="1"/>
    <col min="14616" max="14848" width="9.109375" style="2"/>
    <col min="14849" max="14849" width="6.33203125" style="2" bestFit="1" customWidth="1"/>
    <col min="14850" max="14850" width="41.44140625" style="2" customWidth="1"/>
    <col min="14851" max="14851" width="7.88671875" style="2" customWidth="1"/>
    <col min="14852" max="14852" width="16.33203125" style="2" customWidth="1"/>
    <col min="14853" max="14853" width="12.88671875" style="2" customWidth="1"/>
    <col min="14854" max="14855" width="16.33203125" style="2" customWidth="1"/>
    <col min="14856" max="14856" width="13.33203125" style="2" customWidth="1"/>
    <col min="14857" max="14858" width="16.33203125" style="2" customWidth="1"/>
    <col min="14859" max="14860" width="13.88671875" style="2" customWidth="1"/>
    <col min="14861" max="14861" width="13" style="2" customWidth="1"/>
    <col min="14862" max="14862" width="13.5546875" style="2" customWidth="1"/>
    <col min="14863" max="14863" width="12.88671875" style="2" customWidth="1"/>
    <col min="14864" max="14864" width="14.109375" style="2" customWidth="1"/>
    <col min="14865" max="14865" width="12" style="2" customWidth="1"/>
    <col min="14866" max="14866" width="13" style="2" bestFit="1" customWidth="1"/>
    <col min="14867" max="14867" width="11.88671875" style="2" bestFit="1" customWidth="1"/>
    <col min="14868" max="14868" width="13.33203125" style="2" bestFit="1" customWidth="1"/>
    <col min="14869" max="14869" width="12.33203125" style="2" bestFit="1" customWidth="1"/>
    <col min="14870" max="14870" width="12.44140625" style="2" customWidth="1"/>
    <col min="14871" max="14871" width="10.5546875" style="2" bestFit="1" customWidth="1"/>
    <col min="14872" max="15104" width="9.109375" style="2"/>
    <col min="15105" max="15105" width="6.33203125" style="2" bestFit="1" customWidth="1"/>
    <col min="15106" max="15106" width="41.44140625" style="2" customWidth="1"/>
    <col min="15107" max="15107" width="7.88671875" style="2" customWidth="1"/>
    <col min="15108" max="15108" width="16.33203125" style="2" customWidth="1"/>
    <col min="15109" max="15109" width="12.88671875" style="2" customWidth="1"/>
    <col min="15110" max="15111" width="16.33203125" style="2" customWidth="1"/>
    <col min="15112" max="15112" width="13.33203125" style="2" customWidth="1"/>
    <col min="15113" max="15114" width="16.33203125" style="2" customWidth="1"/>
    <col min="15115" max="15116" width="13.88671875" style="2" customWidth="1"/>
    <col min="15117" max="15117" width="13" style="2" customWidth="1"/>
    <col min="15118" max="15118" width="13.5546875" style="2" customWidth="1"/>
    <col min="15119" max="15119" width="12.88671875" style="2" customWidth="1"/>
    <col min="15120" max="15120" width="14.109375" style="2" customWidth="1"/>
    <col min="15121" max="15121" width="12" style="2" customWidth="1"/>
    <col min="15122" max="15122" width="13" style="2" bestFit="1" customWidth="1"/>
    <col min="15123" max="15123" width="11.88671875" style="2" bestFit="1" customWidth="1"/>
    <col min="15124" max="15124" width="13.33203125" style="2" bestFit="1" customWidth="1"/>
    <col min="15125" max="15125" width="12.33203125" style="2" bestFit="1" customWidth="1"/>
    <col min="15126" max="15126" width="12.44140625" style="2" customWidth="1"/>
    <col min="15127" max="15127" width="10.5546875" style="2" bestFit="1" customWidth="1"/>
    <col min="15128" max="15360" width="9.109375" style="2"/>
    <col min="15361" max="15361" width="6.33203125" style="2" bestFit="1" customWidth="1"/>
    <col min="15362" max="15362" width="41.44140625" style="2" customWidth="1"/>
    <col min="15363" max="15363" width="7.88671875" style="2" customWidth="1"/>
    <col min="15364" max="15364" width="16.33203125" style="2" customWidth="1"/>
    <col min="15365" max="15365" width="12.88671875" style="2" customWidth="1"/>
    <col min="15366" max="15367" width="16.33203125" style="2" customWidth="1"/>
    <col min="15368" max="15368" width="13.33203125" style="2" customWidth="1"/>
    <col min="15369" max="15370" width="16.33203125" style="2" customWidth="1"/>
    <col min="15371" max="15372" width="13.88671875" style="2" customWidth="1"/>
    <col min="15373" max="15373" width="13" style="2" customWidth="1"/>
    <col min="15374" max="15374" width="13.5546875" style="2" customWidth="1"/>
    <col min="15375" max="15375" width="12.88671875" style="2" customWidth="1"/>
    <col min="15376" max="15376" width="14.109375" style="2" customWidth="1"/>
    <col min="15377" max="15377" width="12" style="2" customWidth="1"/>
    <col min="15378" max="15378" width="13" style="2" bestFit="1" customWidth="1"/>
    <col min="15379" max="15379" width="11.88671875" style="2" bestFit="1" customWidth="1"/>
    <col min="15380" max="15380" width="13.33203125" style="2" bestFit="1" customWidth="1"/>
    <col min="15381" max="15381" width="12.33203125" style="2" bestFit="1" customWidth="1"/>
    <col min="15382" max="15382" width="12.44140625" style="2" customWidth="1"/>
    <col min="15383" max="15383" width="10.5546875" style="2" bestFit="1" customWidth="1"/>
    <col min="15384" max="15616" width="9.109375" style="2"/>
    <col min="15617" max="15617" width="6.33203125" style="2" bestFit="1" customWidth="1"/>
    <col min="15618" max="15618" width="41.44140625" style="2" customWidth="1"/>
    <col min="15619" max="15619" width="7.88671875" style="2" customWidth="1"/>
    <col min="15620" max="15620" width="16.33203125" style="2" customWidth="1"/>
    <col min="15621" max="15621" width="12.88671875" style="2" customWidth="1"/>
    <col min="15622" max="15623" width="16.33203125" style="2" customWidth="1"/>
    <col min="15624" max="15624" width="13.33203125" style="2" customWidth="1"/>
    <col min="15625" max="15626" width="16.33203125" style="2" customWidth="1"/>
    <col min="15627" max="15628" width="13.88671875" style="2" customWidth="1"/>
    <col min="15629" max="15629" width="13" style="2" customWidth="1"/>
    <col min="15630" max="15630" width="13.5546875" style="2" customWidth="1"/>
    <col min="15631" max="15631" width="12.88671875" style="2" customWidth="1"/>
    <col min="15632" max="15632" width="14.109375" style="2" customWidth="1"/>
    <col min="15633" max="15633" width="12" style="2" customWidth="1"/>
    <col min="15634" max="15634" width="13" style="2" bestFit="1" customWidth="1"/>
    <col min="15635" max="15635" width="11.88671875" style="2" bestFit="1" customWidth="1"/>
    <col min="15636" max="15636" width="13.33203125" style="2" bestFit="1" customWidth="1"/>
    <col min="15637" max="15637" width="12.33203125" style="2" bestFit="1" customWidth="1"/>
    <col min="15638" max="15638" width="12.44140625" style="2" customWidth="1"/>
    <col min="15639" max="15639" width="10.5546875" style="2" bestFit="1" customWidth="1"/>
    <col min="15640" max="15872" width="9.109375" style="2"/>
    <col min="15873" max="15873" width="6.33203125" style="2" bestFit="1" customWidth="1"/>
    <col min="15874" max="15874" width="41.44140625" style="2" customWidth="1"/>
    <col min="15875" max="15875" width="7.88671875" style="2" customWidth="1"/>
    <col min="15876" max="15876" width="16.33203125" style="2" customWidth="1"/>
    <col min="15877" max="15877" width="12.88671875" style="2" customWidth="1"/>
    <col min="15878" max="15879" width="16.33203125" style="2" customWidth="1"/>
    <col min="15880" max="15880" width="13.33203125" style="2" customWidth="1"/>
    <col min="15881" max="15882" width="16.33203125" style="2" customWidth="1"/>
    <col min="15883" max="15884" width="13.88671875" style="2" customWidth="1"/>
    <col min="15885" max="15885" width="13" style="2" customWidth="1"/>
    <col min="15886" max="15886" width="13.5546875" style="2" customWidth="1"/>
    <col min="15887" max="15887" width="12.88671875" style="2" customWidth="1"/>
    <col min="15888" max="15888" width="14.109375" style="2" customWidth="1"/>
    <col min="15889" max="15889" width="12" style="2" customWidth="1"/>
    <col min="15890" max="15890" width="13" style="2" bestFit="1" customWidth="1"/>
    <col min="15891" max="15891" width="11.88671875" style="2" bestFit="1" customWidth="1"/>
    <col min="15892" max="15892" width="13.33203125" style="2" bestFit="1" customWidth="1"/>
    <col min="15893" max="15893" width="12.33203125" style="2" bestFit="1" customWidth="1"/>
    <col min="15894" max="15894" width="12.44140625" style="2" customWidth="1"/>
    <col min="15895" max="15895" width="10.5546875" style="2" bestFit="1" customWidth="1"/>
    <col min="15896" max="16128" width="9.109375" style="2"/>
    <col min="16129" max="16129" width="6.33203125" style="2" bestFit="1" customWidth="1"/>
    <col min="16130" max="16130" width="41.44140625" style="2" customWidth="1"/>
    <col min="16131" max="16131" width="7.88671875" style="2" customWidth="1"/>
    <col min="16132" max="16132" width="16.33203125" style="2" customWidth="1"/>
    <col min="16133" max="16133" width="12.88671875" style="2" customWidth="1"/>
    <col min="16134" max="16135" width="16.33203125" style="2" customWidth="1"/>
    <col min="16136" max="16136" width="13.33203125" style="2" customWidth="1"/>
    <col min="16137" max="16138" width="16.33203125" style="2" customWidth="1"/>
    <col min="16139" max="16140" width="13.88671875" style="2" customWidth="1"/>
    <col min="16141" max="16141" width="13" style="2" customWidth="1"/>
    <col min="16142" max="16142" width="13.5546875" style="2" customWidth="1"/>
    <col min="16143" max="16143" width="12.88671875" style="2" customWidth="1"/>
    <col min="16144" max="16144" width="14.109375" style="2" customWidth="1"/>
    <col min="16145" max="16145" width="12" style="2" customWidth="1"/>
    <col min="16146" max="16146" width="13" style="2" bestFit="1" customWidth="1"/>
    <col min="16147" max="16147" width="11.88671875" style="2" bestFit="1" customWidth="1"/>
    <col min="16148" max="16148" width="13.33203125" style="2" bestFit="1" customWidth="1"/>
    <col min="16149" max="16149" width="12.33203125" style="2" bestFit="1" customWidth="1"/>
    <col min="16150" max="16150" width="12.44140625" style="2" customWidth="1"/>
    <col min="16151" max="16151" width="10.5546875" style="2" bestFit="1" customWidth="1"/>
    <col min="16152" max="16384" width="9.109375" style="2"/>
  </cols>
  <sheetData>
    <row r="1" spans="1:23" ht="17.25" customHeight="1" x14ac:dyDescent="0.3">
      <c r="A1" s="22"/>
      <c r="B1" s="505" t="str">
        <f>INSTRUÇÕES!B1</f>
        <v>Tribunal Regional Federal da 6ª Região</v>
      </c>
      <c r="T1" s="504"/>
      <c r="U1" s="504"/>
      <c r="V1" s="504"/>
    </row>
    <row r="2" spans="1:23" s="596" customFormat="1" ht="19.5" customHeight="1" x14ac:dyDescent="0.3">
      <c r="A2" s="594"/>
      <c r="B2" s="506" t="str">
        <f>INSTRUÇÕES!B2</f>
        <v>Seção Judiciária de Minas Gerais</v>
      </c>
      <c r="C2" s="835" t="s">
        <v>3</v>
      </c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598"/>
      <c r="U2" s="598"/>
      <c r="V2" s="598"/>
      <c r="W2" s="597"/>
    </row>
    <row r="3" spans="1:23" s="596" customFormat="1" ht="21.75" customHeight="1" x14ac:dyDescent="0.3">
      <c r="A3" s="594"/>
      <c r="B3" s="595" t="str">
        <f>INSTRUÇÕES!B3</f>
        <v>Subseção Judiciária de Sete Lagoas</v>
      </c>
      <c r="C3" s="835" t="s">
        <v>4</v>
      </c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W3" s="597"/>
    </row>
    <row r="4" spans="1:23" s="6" customFormat="1" ht="35.25" hidden="1" customHeight="1" x14ac:dyDescent="0.3">
      <c r="A4" s="882" t="s">
        <v>5</v>
      </c>
      <c r="B4" s="882"/>
      <c r="C4" s="882"/>
      <c r="D4" s="883" t="s">
        <v>777</v>
      </c>
      <c r="E4" s="883"/>
      <c r="F4" s="8"/>
      <c r="G4" s="8"/>
      <c r="H4" s="8"/>
      <c r="I4" s="8"/>
      <c r="J4" s="4"/>
      <c r="K4" s="4"/>
      <c r="L4" s="4"/>
      <c r="M4" s="4"/>
      <c r="N4" s="4"/>
      <c r="O4" s="7"/>
      <c r="R4" s="5"/>
      <c r="S4" s="5"/>
      <c r="T4" s="5"/>
      <c r="U4" s="5"/>
      <c r="V4" s="5"/>
      <c r="W4" s="5"/>
    </row>
    <row r="5" spans="1:23" s="6" customFormat="1" ht="23.4" hidden="1" x14ac:dyDescent="0.3">
      <c r="A5" s="882" t="s">
        <v>6</v>
      </c>
      <c r="B5" s="882"/>
      <c r="C5" s="882"/>
      <c r="D5" s="235" t="s">
        <v>7</v>
      </c>
      <c r="E5" s="9">
        <f>VLOOKUP(D5,B127:C130,2,FALSE)</f>
        <v>30</v>
      </c>
      <c r="F5" s="8" t="str">
        <f>VLOOKUP(D5,B128:D130,3,FALSE)</f>
        <v>Obs: Desconto atualmente aplicado (30 dias corridos).</v>
      </c>
      <c r="G5" s="8"/>
      <c r="H5" s="8"/>
      <c r="I5" s="8"/>
      <c r="J5" s="4"/>
      <c r="K5" s="4"/>
      <c r="L5" s="4"/>
      <c r="M5" s="4"/>
      <c r="N5" s="4"/>
      <c r="O5" s="7"/>
      <c r="R5" s="5"/>
      <c r="S5" s="5"/>
      <c r="T5" s="5"/>
      <c r="U5" s="5"/>
      <c r="V5" s="5"/>
      <c r="W5" s="5"/>
    </row>
    <row r="6" spans="1:23" s="6" customFormat="1" ht="24" hidden="1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R6" s="5"/>
      <c r="S6" s="5"/>
      <c r="T6" s="5"/>
      <c r="U6" s="5"/>
      <c r="V6" s="5"/>
      <c r="W6" s="5"/>
    </row>
    <row r="7" spans="1:23" s="6" customFormat="1" ht="15.6" hidden="1" x14ac:dyDescent="0.3">
      <c r="A7" s="836" t="s">
        <v>736</v>
      </c>
      <c r="B7" s="837"/>
      <c r="C7" s="837"/>
      <c r="D7" s="829" t="s">
        <v>9</v>
      </c>
      <c r="E7" s="832" t="s">
        <v>55</v>
      </c>
      <c r="F7" s="842" t="s">
        <v>10</v>
      </c>
      <c r="G7" s="842" t="s">
        <v>56</v>
      </c>
      <c r="H7" s="829" t="s">
        <v>771</v>
      </c>
      <c r="I7" s="832" t="s">
        <v>57</v>
      </c>
      <c r="J7" s="842" t="s">
        <v>11</v>
      </c>
      <c r="K7" s="851" t="s">
        <v>12</v>
      </c>
      <c r="L7" s="854" t="s">
        <v>13</v>
      </c>
      <c r="M7" s="1001" t="s">
        <v>769</v>
      </c>
      <c r="N7" s="857" t="s">
        <v>770</v>
      </c>
      <c r="O7" s="998" t="s">
        <v>750</v>
      </c>
      <c r="P7" s="845" t="s">
        <v>751</v>
      </c>
      <c r="Q7" s="845" t="s">
        <v>752</v>
      </c>
      <c r="R7" s="848" t="s">
        <v>753</v>
      </c>
      <c r="S7" s="832" t="s">
        <v>754</v>
      </c>
      <c r="T7" s="823" t="s">
        <v>14</v>
      </c>
      <c r="U7" s="823"/>
      <c r="V7" s="823"/>
      <c r="W7" s="824"/>
    </row>
    <row r="8" spans="1:23" s="6" customFormat="1" ht="15.6" hidden="1" x14ac:dyDescent="0.3">
      <c r="A8" s="838"/>
      <c r="B8" s="839"/>
      <c r="C8" s="839"/>
      <c r="D8" s="830"/>
      <c r="E8" s="833"/>
      <c r="F8" s="843"/>
      <c r="G8" s="843"/>
      <c r="H8" s="830"/>
      <c r="I8" s="833"/>
      <c r="J8" s="843"/>
      <c r="K8" s="852"/>
      <c r="L8" s="855"/>
      <c r="M8" s="1002"/>
      <c r="N8" s="858"/>
      <c r="O8" s="999"/>
      <c r="P8" s="846"/>
      <c r="Q8" s="846"/>
      <c r="R8" s="849"/>
      <c r="S8" s="833"/>
      <c r="T8" s="825"/>
      <c r="U8" s="825"/>
      <c r="V8" s="825"/>
      <c r="W8" s="826"/>
    </row>
    <row r="9" spans="1:23" s="6" customFormat="1" ht="67.5" hidden="1" customHeight="1" thickBot="1" x14ac:dyDescent="0.35">
      <c r="A9" s="840"/>
      <c r="B9" s="841"/>
      <c r="C9" s="841"/>
      <c r="D9" s="831"/>
      <c r="E9" s="834"/>
      <c r="F9" s="844"/>
      <c r="G9" s="844"/>
      <c r="H9" s="831"/>
      <c r="I9" s="834"/>
      <c r="J9" s="844"/>
      <c r="K9" s="853"/>
      <c r="L9" s="856"/>
      <c r="M9" s="1003"/>
      <c r="N9" s="859"/>
      <c r="O9" s="1000"/>
      <c r="P9" s="847"/>
      <c r="Q9" s="847"/>
      <c r="R9" s="850"/>
      <c r="S9" s="834"/>
      <c r="T9" s="827"/>
      <c r="U9" s="827"/>
      <c r="V9" s="827"/>
      <c r="W9" s="828"/>
    </row>
    <row r="10" spans="1:23" s="6" customFormat="1" ht="69" hidden="1" x14ac:dyDescent="0.3">
      <c r="A10" s="708" t="s">
        <v>15</v>
      </c>
      <c r="B10" s="753" t="s">
        <v>16</v>
      </c>
      <c r="C10" s="753" t="s">
        <v>17</v>
      </c>
      <c r="D10" s="710" t="s">
        <v>18</v>
      </c>
      <c r="E10" s="708" t="s">
        <v>19</v>
      </c>
      <c r="F10" s="753" t="s">
        <v>20</v>
      </c>
      <c r="G10" s="753" t="s">
        <v>21</v>
      </c>
      <c r="H10" s="754" t="s">
        <v>772</v>
      </c>
      <c r="I10" s="708" t="s">
        <v>22</v>
      </c>
      <c r="J10" s="753" t="s">
        <v>23</v>
      </c>
      <c r="K10" s="755" t="s">
        <v>23</v>
      </c>
      <c r="L10" s="756" t="s">
        <v>24</v>
      </c>
      <c r="M10" s="756" t="s">
        <v>755</v>
      </c>
      <c r="N10" s="756" t="s">
        <v>25</v>
      </c>
      <c r="O10" s="709" t="s">
        <v>26</v>
      </c>
      <c r="P10" s="753" t="s">
        <v>27</v>
      </c>
      <c r="Q10" s="753" t="s">
        <v>28</v>
      </c>
      <c r="R10" s="755" t="s">
        <v>29</v>
      </c>
      <c r="S10" s="708" t="s">
        <v>30</v>
      </c>
      <c r="T10" s="753" t="s">
        <v>31</v>
      </c>
      <c r="U10" s="753" t="s">
        <v>32</v>
      </c>
      <c r="V10" s="753" t="s">
        <v>33</v>
      </c>
      <c r="W10" s="755" t="s">
        <v>34</v>
      </c>
    </row>
    <row r="11" spans="1:23" s="6" customFormat="1" ht="15.6" hidden="1" x14ac:dyDescent="0.3">
      <c r="A11" s="10">
        <f>Dados!B7</f>
        <v>1</v>
      </c>
      <c r="B11" s="11" t="str">
        <f>Dados!C7</f>
        <v>Servente de Limpeza 40% Insalubridade</v>
      </c>
      <c r="C11" s="12">
        <f>Dados!D7</f>
        <v>200</v>
      </c>
      <c r="D11" s="731">
        <v>0</v>
      </c>
      <c r="E11" s="732" t="s">
        <v>764</v>
      </c>
      <c r="F11" s="733">
        <f>IF(E11="NÃO",0,D11*Dados!$G$35)</f>
        <v>0</v>
      </c>
      <c r="G11" s="716">
        <v>0</v>
      </c>
      <c r="H11" s="731">
        <v>0</v>
      </c>
      <c r="I11" s="740">
        <v>0</v>
      </c>
      <c r="J11" s="741">
        <v>0</v>
      </c>
      <c r="K11" s="742">
        <f>I11+J11</f>
        <v>0</v>
      </c>
      <c r="L11" s="746">
        <v>0</v>
      </c>
      <c r="M11" s="746">
        <v>0</v>
      </c>
      <c r="N11" s="751"/>
      <c r="O11" s="750">
        <f>Resumo!S12</f>
        <v>0</v>
      </c>
      <c r="P11" s="13">
        <f>Resumo!V12</f>
        <v>0</v>
      </c>
      <c r="Q11" s="27">
        <f>Resumo!W12</f>
        <v>6258.69</v>
      </c>
      <c r="R11" s="28">
        <f>Dados!O7+Dados!P7+Dados!Q7</f>
        <v>1115.81</v>
      </c>
      <c r="S11" s="10">
        <f>Dados!T7</f>
        <v>2</v>
      </c>
      <c r="T11" s="27">
        <f>Dados!M7*Encargos!$H$59</f>
        <v>608.85902292200001</v>
      </c>
      <c r="U11" s="29" t="s">
        <v>35</v>
      </c>
      <c r="V11" s="236">
        <f>SUMIF($S$11:$S$15,1,$Q$11:$Q$15)</f>
        <v>8694.9</v>
      </c>
      <c r="W11" s="237">
        <f>SUMIF($S$11:$S$15,1,$T$11:$T$15)</f>
        <v>538.73595215800003</v>
      </c>
    </row>
    <row r="12" spans="1:23" s="6" customFormat="1" ht="15.6" hidden="1" x14ac:dyDescent="0.3">
      <c r="A12" s="10">
        <f>Dados!B8</f>
        <v>1</v>
      </c>
      <c r="B12" s="11" t="str">
        <f>Dados!C8</f>
        <v xml:space="preserve">Servente de Limpeza  </v>
      </c>
      <c r="C12" s="12">
        <f>Dados!D8</f>
        <v>200</v>
      </c>
      <c r="D12" s="731">
        <v>0</v>
      </c>
      <c r="E12" s="732" t="s">
        <v>764</v>
      </c>
      <c r="F12" s="733">
        <f>IF(E12="NÃO",0,D12*Dados!$G$35)</f>
        <v>0</v>
      </c>
      <c r="G12" s="716">
        <v>0</v>
      </c>
      <c r="H12" s="731">
        <v>0</v>
      </c>
      <c r="I12" s="740">
        <v>0</v>
      </c>
      <c r="J12" s="741">
        <v>0</v>
      </c>
      <c r="K12" s="742">
        <f>I12+J12</f>
        <v>0</v>
      </c>
      <c r="L12" s="746">
        <v>0</v>
      </c>
      <c r="M12" s="746">
        <v>0</v>
      </c>
      <c r="N12" s="746">
        <v>0</v>
      </c>
      <c r="O12" s="750">
        <f>Resumo!S13</f>
        <v>0</v>
      </c>
      <c r="P12" s="27">
        <f>Resumo!V13</f>
        <v>0</v>
      </c>
      <c r="Q12" s="27">
        <f>Resumo!W13</f>
        <v>5073.66</v>
      </c>
      <c r="R12" s="28">
        <f>Dados!O8+Dados!P8+Dados!Q8</f>
        <v>1115.81</v>
      </c>
      <c r="S12" s="10">
        <f>Dados!T8</f>
        <v>2</v>
      </c>
      <c r="T12" s="27">
        <f>Dados!M8*Encargos!$H$59</f>
        <v>433.86620052199999</v>
      </c>
      <c r="U12" s="29" t="s">
        <v>36</v>
      </c>
      <c r="V12" s="236">
        <f>SUMIF($S$11:$S$15,2,$Q$11:$Q$15)</f>
        <v>16611.68</v>
      </c>
      <c r="W12" s="237">
        <f>SUMIF($S$11:$S$15,2,$T$11:$T$15)</f>
        <v>1698.59036758</v>
      </c>
    </row>
    <row r="13" spans="1:23" s="6" customFormat="1" ht="15.6" hidden="1" x14ac:dyDescent="0.3">
      <c r="A13" s="10">
        <f>Dados!B9</f>
        <v>1</v>
      </c>
      <c r="B13" s="11" t="str">
        <f>Dados!C9</f>
        <v>Copeira</v>
      </c>
      <c r="C13" s="12">
        <f>Dados!D9</f>
        <v>200</v>
      </c>
      <c r="D13" s="731">
        <v>0</v>
      </c>
      <c r="E13" s="732" t="s">
        <v>764</v>
      </c>
      <c r="F13" s="733">
        <f>IF(E13="NÃO",0,D13*Dados!$G$35)</f>
        <v>0</v>
      </c>
      <c r="G13" s="716">
        <v>0</v>
      </c>
      <c r="H13" s="731">
        <v>0</v>
      </c>
      <c r="I13" s="740">
        <v>0</v>
      </c>
      <c r="J13" s="741">
        <v>0</v>
      </c>
      <c r="K13" s="742">
        <f>I13+J13</f>
        <v>0</v>
      </c>
      <c r="L13" s="746">
        <v>0</v>
      </c>
      <c r="M13" s="746">
        <v>0</v>
      </c>
      <c r="N13" s="751"/>
      <c r="O13" s="750">
        <f>Resumo!S14</f>
        <v>0</v>
      </c>
      <c r="P13" s="13">
        <f>Resumo!V14</f>
        <v>0</v>
      </c>
      <c r="Q13" s="27">
        <f>Resumo!W14</f>
        <v>3789.53</v>
      </c>
      <c r="R13" s="28">
        <f>Dados!O9+Dados!P9+Dados!Q9</f>
        <v>95.650833333333352</v>
      </c>
      <c r="S13" s="10">
        <f>Dados!T9</f>
        <v>5</v>
      </c>
      <c r="T13" s="27">
        <f>Dados!M9*Encargos!$H$59</f>
        <v>434.46939547800002</v>
      </c>
      <c r="U13" s="29" t="s">
        <v>37</v>
      </c>
      <c r="V13" s="236">
        <f>SUMIF($S$11:$S$15,3,$Q$11:$Q$15)</f>
        <v>0</v>
      </c>
      <c r="W13" s="237">
        <f>SUMIF($S$11:$S$15,3,$T$11:$T$15)</f>
        <v>0</v>
      </c>
    </row>
    <row r="14" spans="1:23" s="6" customFormat="1" ht="15.6" hidden="1" x14ac:dyDescent="0.3">
      <c r="A14" s="10">
        <f>Dados!B10</f>
        <v>1</v>
      </c>
      <c r="B14" s="11" t="str">
        <f>Dados!C10</f>
        <v>Zelador com Acúmulo de Lavador de Carro</v>
      </c>
      <c r="C14" s="12">
        <f>Dados!D10</f>
        <v>200</v>
      </c>
      <c r="D14" s="731">
        <v>0</v>
      </c>
      <c r="E14" s="732" t="s">
        <v>764</v>
      </c>
      <c r="F14" s="733">
        <f>IF(E14="NÃO",0,D14*Dados!$G$35)</f>
        <v>0</v>
      </c>
      <c r="G14" s="716">
        <v>0</v>
      </c>
      <c r="H14" s="731">
        <v>0</v>
      </c>
      <c r="I14" s="740">
        <v>0</v>
      </c>
      <c r="J14" s="741">
        <v>0</v>
      </c>
      <c r="K14" s="742">
        <f>I14+J14</f>
        <v>0</v>
      </c>
      <c r="L14" s="746">
        <v>0</v>
      </c>
      <c r="M14" s="746">
        <v>0</v>
      </c>
      <c r="N14" s="751"/>
      <c r="O14" s="750">
        <f>Resumo!S15</f>
        <v>0</v>
      </c>
      <c r="P14" s="13">
        <f>Resumo!V15</f>
        <v>0</v>
      </c>
      <c r="Q14" s="27">
        <f>Resumo!W15</f>
        <v>5279.33</v>
      </c>
      <c r="R14" s="28">
        <f>Dados!O10+Dados!P10+Dados!Q10</f>
        <v>125.44000000000003</v>
      </c>
      <c r="S14" s="10">
        <f>Dados!T10</f>
        <v>2</v>
      </c>
      <c r="T14" s="27">
        <f>Dados!M10*Encargos!$H$59</f>
        <v>655.86514413600003</v>
      </c>
      <c r="U14" s="29" t="s">
        <v>38</v>
      </c>
      <c r="V14" s="236">
        <f>SUMIF($S$11:$S$15,4,$Q$11:$Q$15)</f>
        <v>0</v>
      </c>
      <c r="W14" s="237">
        <f>SUMIF($S$11:$S$15,4,$T$11:$T$15)</f>
        <v>0</v>
      </c>
    </row>
    <row r="15" spans="1:23" s="6" customFormat="1" ht="16.2" hidden="1" thickBot="1" x14ac:dyDescent="0.35">
      <c r="A15" s="10">
        <f>Dados!B11</f>
        <v>2</v>
      </c>
      <c r="B15" s="11" t="str">
        <f>Dados!C11</f>
        <v>Auxiliar Administrativo</v>
      </c>
      <c r="C15" s="12">
        <f>Dados!D11</f>
        <v>200</v>
      </c>
      <c r="D15" s="731">
        <v>0</v>
      </c>
      <c r="E15" s="734" t="s">
        <v>764</v>
      </c>
      <c r="F15" s="735">
        <f>IF(E15="NÃO",0,D15*Dados!$G$35)</f>
        <v>0</v>
      </c>
      <c r="G15" s="736">
        <v>0</v>
      </c>
      <c r="H15" s="737">
        <v>0</v>
      </c>
      <c r="I15" s="743">
        <v>0</v>
      </c>
      <c r="J15" s="744">
        <v>0</v>
      </c>
      <c r="K15" s="745">
        <f>I15+J15</f>
        <v>0</v>
      </c>
      <c r="L15" s="747">
        <v>0</v>
      </c>
      <c r="M15" s="747">
        <v>0</v>
      </c>
      <c r="N15" s="751"/>
      <c r="O15" s="750">
        <f>Resumo!S16</f>
        <v>0</v>
      </c>
      <c r="P15" s="13">
        <f>Resumo!V16</f>
        <v>0</v>
      </c>
      <c r="Q15" s="27">
        <f>Resumo!W16</f>
        <v>8694.9</v>
      </c>
      <c r="R15" s="28">
        <f>Dados!O11+Dados!P11+Dados!Q11</f>
        <v>0</v>
      </c>
      <c r="S15" s="10">
        <f>Dados!T11</f>
        <v>1</v>
      </c>
      <c r="T15" s="27">
        <f>Dados!M11*Encargos!$H$59</f>
        <v>538.73595215800003</v>
      </c>
      <c r="U15" s="29" t="s">
        <v>39</v>
      </c>
      <c r="V15" s="236">
        <f>SUMIF($S$11:$S$15,5,$Q$11:$Q$15)</f>
        <v>3789.53</v>
      </c>
      <c r="W15" s="237">
        <f>SUMIF($S$11:$S$15,5,$T$11:$T$15)</f>
        <v>434.46939547800002</v>
      </c>
    </row>
    <row r="16" spans="1:23" s="14" customFormat="1" hidden="1" thickBot="1" x14ac:dyDescent="0.35">
      <c r="A16" s="878" t="s">
        <v>40</v>
      </c>
      <c r="B16" s="879"/>
      <c r="C16" s="879"/>
      <c r="D16" s="879"/>
      <c r="E16" s="880"/>
      <c r="F16" s="880"/>
      <c r="G16" s="881"/>
      <c r="H16" s="738">
        <f>Resumo!I17</f>
        <v>0</v>
      </c>
      <c r="I16" s="860"/>
      <c r="J16" s="861"/>
      <c r="K16" s="739">
        <f>Resumo!L17</f>
        <v>0</v>
      </c>
      <c r="L16" s="749">
        <f>Resumo!O17</f>
        <v>0</v>
      </c>
      <c r="M16" s="749">
        <f>Resumo!R17</f>
        <v>0</v>
      </c>
      <c r="N16" s="752">
        <f>Resumo!V17</f>
        <v>0</v>
      </c>
      <c r="O16" s="748">
        <f>(H16+K16+L16+M16)</f>
        <v>0</v>
      </c>
      <c r="P16" s="30">
        <f>Resumo!V17</f>
        <v>0</v>
      </c>
      <c r="Q16" s="30">
        <f>SUM(Q11:Q15)</f>
        <v>29096.11</v>
      </c>
      <c r="R16" s="31">
        <f>SUM(R11:R15)</f>
        <v>2452.7108333333331</v>
      </c>
      <c r="S16" s="32"/>
      <c r="T16" s="30">
        <f>SUM(T11:T15)</f>
        <v>2671.7957152160002</v>
      </c>
      <c r="U16" s="30"/>
      <c r="V16" s="30">
        <f>SUM(V11:V15)</f>
        <v>29096.11</v>
      </c>
      <c r="W16" s="31">
        <f>SUM(W11:W15)</f>
        <v>2671.7957152160002</v>
      </c>
    </row>
    <row r="17" spans="1:23" hidden="1" x14ac:dyDescent="0.3">
      <c r="A17" s="15" t="s">
        <v>41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23" hidden="1" x14ac:dyDescent="0.3">
      <c r="A18" s="17" t="s">
        <v>685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23" s="14" customFormat="1" ht="27.6" hidden="1" x14ac:dyDescent="0.3">
      <c r="A19" s="862" t="s">
        <v>42</v>
      </c>
      <c r="B19" s="863"/>
      <c r="C19" s="25" t="s">
        <v>43</v>
      </c>
      <c r="D19" s="25" t="s">
        <v>44</v>
      </c>
      <c r="E19" s="25" t="s">
        <v>45</v>
      </c>
      <c r="F19" s="25" t="s">
        <v>46</v>
      </c>
      <c r="H19" s="17"/>
      <c r="I19" s="19"/>
      <c r="J19" s="17"/>
      <c r="K19" s="19"/>
      <c r="L19" s="19"/>
      <c r="M19" s="19"/>
      <c r="R19" s="19"/>
      <c r="S19" s="19"/>
      <c r="T19" s="19"/>
      <c r="U19" s="19"/>
      <c r="V19" s="19"/>
      <c r="W19" s="19"/>
    </row>
    <row r="20" spans="1:23" s="14" customFormat="1" ht="13.8" hidden="1" x14ac:dyDescent="0.3">
      <c r="A20" s="864"/>
      <c r="B20" s="865"/>
      <c r="C20" s="262">
        <v>220</v>
      </c>
      <c r="D20" s="263">
        <v>10</v>
      </c>
      <c r="E20" s="263">
        <v>25</v>
      </c>
      <c r="F20" s="264">
        <f>ROUND((D20/VLOOKUP(C20,$B$133:$C$139,2,FALSE)+E20/60/VLOOKUP(C20,$B$133:$C$139,2,FALSE)),2)</f>
        <v>1.18</v>
      </c>
      <c r="H20" s="17"/>
      <c r="I20" s="19"/>
      <c r="J20" s="17"/>
      <c r="K20" s="19"/>
      <c r="L20" s="19"/>
      <c r="M20" s="19"/>
      <c r="R20" s="19"/>
      <c r="S20" s="19"/>
      <c r="T20" s="19"/>
      <c r="U20" s="19"/>
      <c r="V20" s="19"/>
      <c r="W20" s="19"/>
    </row>
    <row r="21" spans="1:23" s="14" customFormat="1" hidden="1" x14ac:dyDescent="0.3">
      <c r="A21" s="866" t="s">
        <v>735</v>
      </c>
      <c r="B21" s="866"/>
      <c r="C21" s="866"/>
      <c r="D21" s="866"/>
      <c r="E21" s="866"/>
      <c r="F21" s="866"/>
      <c r="G21" s="8"/>
      <c r="H21" s="8"/>
      <c r="I21" s="8"/>
      <c r="J21" s="17"/>
      <c r="K21" s="19"/>
      <c r="L21" s="19"/>
      <c r="M21" s="19"/>
      <c r="R21" s="19"/>
      <c r="S21" s="19"/>
      <c r="T21" s="19"/>
      <c r="U21" s="19"/>
      <c r="V21" s="19"/>
      <c r="W21" s="19"/>
    </row>
    <row r="22" spans="1:23" s="14" customFormat="1" hidden="1" x14ac:dyDescent="0.3">
      <c r="A22" s="867"/>
      <c r="B22" s="867"/>
      <c r="C22" s="867"/>
      <c r="D22" s="867"/>
      <c r="E22" s="867"/>
      <c r="F22" s="867"/>
      <c r="G22" s="8"/>
      <c r="H22" s="763">
        <f>5*6335+4437*(188-5)</f>
        <v>843646</v>
      </c>
      <c r="I22" s="8"/>
      <c r="J22" s="17"/>
      <c r="K22" s="19"/>
      <c r="L22" s="19"/>
      <c r="M22" s="19"/>
      <c r="R22" s="19"/>
      <c r="S22" s="19"/>
      <c r="T22" s="19"/>
      <c r="U22" s="19"/>
      <c r="V22" s="19"/>
      <c r="W22" s="19"/>
    </row>
    <row r="23" spans="1:23" hidden="1" x14ac:dyDescent="0.3">
      <c r="A23" s="17" t="s">
        <v>64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23" ht="15" hidden="1" thickBot="1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N24" s="33"/>
      <c r="O24" s="34"/>
      <c r="P24" s="34"/>
    </row>
    <row r="25" spans="1:23" ht="24.75" hidden="1" customHeight="1" thickBot="1" x14ac:dyDescent="0.35">
      <c r="A25" s="868" t="s">
        <v>65</v>
      </c>
      <c r="B25" s="870" t="s">
        <v>66</v>
      </c>
      <c r="C25" s="870"/>
      <c r="D25" s="870"/>
      <c r="E25" s="870"/>
      <c r="F25" s="870" t="s">
        <v>67</v>
      </c>
      <c r="G25" s="870"/>
      <c r="H25" s="871"/>
      <c r="I25" s="872" t="s">
        <v>686</v>
      </c>
      <c r="J25" s="873"/>
      <c r="K25" s="874"/>
      <c r="L25" s="888" t="s">
        <v>68</v>
      </c>
      <c r="M25" s="889"/>
      <c r="N25" s="889"/>
      <c r="O25" s="890"/>
      <c r="P25" s="888" t="s">
        <v>69</v>
      </c>
      <c r="Q25" s="889"/>
      <c r="R25" s="889"/>
      <c r="S25" s="889"/>
      <c r="T25" s="889"/>
      <c r="U25" s="890"/>
      <c r="V25" s="2"/>
      <c r="W25" s="2"/>
    </row>
    <row r="26" spans="1:23" ht="69" hidden="1" x14ac:dyDescent="0.3">
      <c r="A26" s="869"/>
      <c r="B26" s="891" t="s">
        <v>70</v>
      </c>
      <c r="C26" s="892"/>
      <c r="D26" s="893"/>
      <c r="E26" s="649" t="s">
        <v>71</v>
      </c>
      <c r="F26" s="649" t="s">
        <v>72</v>
      </c>
      <c r="G26" s="649" t="s">
        <v>73</v>
      </c>
      <c r="H26" s="650" t="s">
        <v>74</v>
      </c>
      <c r="I26" s="875"/>
      <c r="J26" s="876"/>
      <c r="K26" s="877"/>
      <c r="L26" s="64" t="s">
        <v>75</v>
      </c>
      <c r="M26" s="65" t="s">
        <v>76</v>
      </c>
      <c r="N26" s="65" t="s">
        <v>77</v>
      </c>
      <c r="O26" s="762" t="s">
        <v>78</v>
      </c>
      <c r="P26" s="813" t="s">
        <v>79</v>
      </c>
      <c r="Q26" s="65" t="s">
        <v>80</v>
      </c>
      <c r="R26" s="65" t="s">
        <v>81</v>
      </c>
      <c r="S26" s="65" t="s">
        <v>82</v>
      </c>
      <c r="T26" s="65" t="s">
        <v>83</v>
      </c>
      <c r="U26" s="762" t="s">
        <v>84</v>
      </c>
      <c r="V26" s="8" t="s">
        <v>85</v>
      </c>
      <c r="W26" s="2"/>
    </row>
    <row r="27" spans="1:23" hidden="1" x14ac:dyDescent="0.3">
      <c r="A27" s="651">
        <v>1</v>
      </c>
      <c r="B27" s="894" t="s">
        <v>86</v>
      </c>
      <c r="C27" s="895"/>
      <c r="D27" s="896"/>
      <c r="E27" s="35" t="s">
        <v>71</v>
      </c>
      <c r="F27" s="35" t="s">
        <v>87</v>
      </c>
      <c r="G27" s="36">
        <f>IF($D$4="PLANILHA PARA LICITAÇÃO (PRECIFICAÇÃO)",L27,0)</f>
        <v>3</v>
      </c>
      <c r="H27" s="37">
        <f t="shared" ref="H27:H65" si="0">G27*P27</f>
        <v>28.5</v>
      </c>
      <c r="I27" s="885" t="str">
        <f>IF(G27&lt;L27,"Fornecimento inferior ao estimado mensalmente",IF(G27=L27,"Fornecimento igual ao estimado mensalmente",IF(G27&gt;L27,"Fornecimento superior ao estimado mensalmente",)))</f>
        <v>Fornecimento igual ao estimado mensalmente</v>
      </c>
      <c r="J27" s="897"/>
      <c r="K27" s="898"/>
      <c r="L27" s="774">
        <f t="shared" ref="L27:L65" si="1">M27/O27</f>
        <v>3</v>
      </c>
      <c r="M27" s="814">
        <f>Mat!J9</f>
        <v>6</v>
      </c>
      <c r="N27" s="815" t="str">
        <f>Mat!K9</f>
        <v>Bimestral</v>
      </c>
      <c r="O27" s="260">
        <f>IF(N27="MENSAL",1,IF(N27="BIMESTRAL",2,IF(N27="TRIMESTRAL",3,IF(N27="QUADRIMESTRAL",4,IF(N27="SEMESTRAL",6,IF(N27="ANUAL",12,IF(N27="BIENAL",24,"")))))))</f>
        <v>2</v>
      </c>
      <c r="P27" s="652">
        <v>9.5</v>
      </c>
      <c r="Q27" s="627">
        <f>ROUND(IF(Dados!$J$57="SIM",P27*Dados!$N$57,P27),2)</f>
        <v>9.5</v>
      </c>
      <c r="R27" s="627">
        <f>ROUND(IF(Dados!$J$58="SIM",Q27*Dados!$N$58,Q27),2)</f>
        <v>9.5</v>
      </c>
      <c r="S27" s="627">
        <f>ROUND(IF(Dados!$J$59="SIM",R27*Dados!$N$59,R27),2)</f>
        <v>9.5</v>
      </c>
      <c r="T27" s="627">
        <f>ROUND(IF(Dados!$J$60="SIM",S27*Dados!$N$60,S27),2)</f>
        <v>9.5</v>
      </c>
      <c r="U27" s="764">
        <f>ROUND(IF(Dados!$J$61="SIM",T27*Dados!$N$61,T27),2)</f>
        <v>9.5</v>
      </c>
      <c r="V27" s="3">
        <f>IF(Dados!$D$70="INICIAL",'Ocorrências Mensais - FAT'!P27,IF(Dados!$D$70="1º IPCA",'Ocorrências Mensais - FAT'!Q27,IF(Dados!$D$70="2º IPCA",'Ocorrências Mensais - FAT'!R27,IF(Dados!$D$70="3º IPCA",'Ocorrências Mensais - FAT'!S27,IF(Dados!$D$70="4º IPCA",'Ocorrências Mensais - FAT'!T27,IF(Dados!$D$70="5º IPCA",'Ocorrências Mensais - FAT'!U27,))))))</f>
        <v>9.5</v>
      </c>
      <c r="W27" s="2"/>
    </row>
    <row r="28" spans="1:23" hidden="1" x14ac:dyDescent="0.3">
      <c r="A28" s="653">
        <v>2</v>
      </c>
      <c r="B28" s="884" t="s">
        <v>89</v>
      </c>
      <c r="C28" s="884"/>
      <c r="D28" s="884"/>
      <c r="E28" s="654" t="s">
        <v>90</v>
      </c>
      <c r="F28" s="655" t="s">
        <v>91</v>
      </c>
      <c r="G28" s="36">
        <f t="shared" ref="G28:G65" si="2">IF($D$4="PLANILHA PARA LICITAÇÃO (PRECIFICAÇÃO)",L28,0)</f>
        <v>4</v>
      </c>
      <c r="H28" s="37">
        <f t="shared" si="0"/>
        <v>51.84</v>
      </c>
      <c r="I28" s="885" t="str">
        <f>IF(G28&lt;L28,"Fornecimento inferior ao estimado mensalmente",IF(G28=L28,"Fornecimento igual ao estimado mensalmente",IF(G28&gt;L28,"Fornecimento superior ao estimado mensalmente",)))</f>
        <v>Fornecimento igual ao estimado mensalmente</v>
      </c>
      <c r="J28" s="897"/>
      <c r="K28" s="898"/>
      <c r="L28" s="774">
        <f t="shared" si="1"/>
        <v>4</v>
      </c>
      <c r="M28" s="814">
        <f>Mat!J10</f>
        <v>8</v>
      </c>
      <c r="N28" s="816" t="str">
        <f>Mat!K10</f>
        <v>Bimestral</v>
      </c>
      <c r="O28" s="817">
        <f t="shared" ref="O28:O65" si="3">IF(N28="MENSAL",1,IF(N28="BIMESTRAL",2,IF(N28="TRIMESTRAL",3,IF(N28="QUADRIMESTRAL",4,IF(N28="SEMESTRAL",6,IF(N28="ANUAL",12,IF(N28="BIENAL",24,"")))))))</f>
        <v>2</v>
      </c>
      <c r="P28" s="652">
        <v>12.96</v>
      </c>
      <c r="Q28" s="627">
        <f>ROUND(IF(Dados!$J$57="SIM",P28*Dados!$N$57,P28),2)</f>
        <v>12.96</v>
      </c>
      <c r="R28" s="627">
        <f>ROUND(IF(Dados!$J$58="SIM",Q28*Dados!$N$58,Q28),2)</f>
        <v>12.96</v>
      </c>
      <c r="S28" s="627">
        <f>ROUND(IF(Dados!$J$59="SIM",R28*Dados!$N$59,R28),2)</f>
        <v>12.96</v>
      </c>
      <c r="T28" s="627">
        <f>ROUND(IF(Dados!$J$60="SIM",S28*Dados!$N$60,S28),2)</f>
        <v>12.96</v>
      </c>
      <c r="U28" s="818">
        <f>ROUND(IF(Dados!$J$61="SIM",T28*Dados!$N$61,T28),2)</f>
        <v>12.96</v>
      </c>
      <c r="V28" s="3">
        <f>IF(Dados!$D$70="INICIAL",'Ocorrências Mensais - FAT'!P28,IF(Dados!$D$70="1º IPCA",'Ocorrências Mensais - FAT'!Q28,IF(Dados!$D$70="2º IPCA",'Ocorrências Mensais - FAT'!R28,IF(Dados!$D$70="3º IPCA",'Ocorrências Mensais - FAT'!S28,IF(Dados!$D$70="4º IPCA",'Ocorrências Mensais - FAT'!T28,IF(Dados!$D$70="5º IPCA",'Ocorrências Mensais - FAT'!U28,))))))</f>
        <v>12.96</v>
      </c>
      <c r="W28" s="2"/>
    </row>
    <row r="29" spans="1:23" hidden="1" x14ac:dyDescent="0.3">
      <c r="A29" s="653">
        <v>3</v>
      </c>
      <c r="B29" s="884" t="s">
        <v>92</v>
      </c>
      <c r="C29" s="884"/>
      <c r="D29" s="884"/>
      <c r="E29" s="654" t="s">
        <v>90</v>
      </c>
      <c r="F29" s="655" t="s">
        <v>93</v>
      </c>
      <c r="G29" s="36">
        <f t="shared" si="2"/>
        <v>6</v>
      </c>
      <c r="H29" s="37">
        <f t="shared" si="0"/>
        <v>276.65999999999997</v>
      </c>
      <c r="I29" s="885" t="str">
        <f t="shared" ref="I29:I65" si="4">IF(G29&lt;L29,"Fornecimento inferior ao estimado mensalmente",IF(G29=L29,"Fornecimento igual ao estimado mensalmente",IF(G29&gt;L29,"Fornecimento superior ao estimado mensalmente",)))</f>
        <v>Fornecimento igual ao estimado mensalmente</v>
      </c>
      <c r="J29" s="886"/>
      <c r="K29" s="887"/>
      <c r="L29" s="774">
        <f t="shared" si="1"/>
        <v>6</v>
      </c>
      <c r="M29" s="814">
        <f>Mat!J11</f>
        <v>6</v>
      </c>
      <c r="N29" s="816" t="str">
        <f>Mat!K11</f>
        <v>Mensal</v>
      </c>
      <c r="O29" s="817">
        <f t="shared" si="3"/>
        <v>1</v>
      </c>
      <c r="P29" s="652">
        <v>46.11</v>
      </c>
      <c r="Q29" s="627">
        <f>ROUND(IF(Dados!$J$57="SIM",P29*Dados!$N$57,P29),2)</f>
        <v>46.11</v>
      </c>
      <c r="R29" s="627">
        <f>ROUND(IF(Dados!$J$58="SIM",Q29*Dados!$N$58,Q29),2)</f>
        <v>46.11</v>
      </c>
      <c r="S29" s="627">
        <f>ROUND(IF(Dados!$J$59="SIM",R29*Dados!$N$59,R29),2)</f>
        <v>46.11</v>
      </c>
      <c r="T29" s="627">
        <f>ROUND(IF(Dados!$J$60="SIM",S29*Dados!$N$60,S29),2)</f>
        <v>46.11</v>
      </c>
      <c r="U29" s="818">
        <f>ROUND(IF(Dados!$J$61="SIM",T29*Dados!$N$61,T29),2)</f>
        <v>46.11</v>
      </c>
      <c r="V29" s="3">
        <f>IF(Dados!$D$70="INICIAL",'Ocorrências Mensais - FAT'!P29,IF(Dados!$D$70="1º IPCA",'Ocorrências Mensais - FAT'!Q29,IF(Dados!$D$70="2º IPCA",'Ocorrências Mensais - FAT'!R29,IF(Dados!$D$70="3º IPCA",'Ocorrências Mensais - FAT'!S29,IF(Dados!$D$70="4º IPCA",'Ocorrências Mensais - FAT'!T29,IF(Dados!$D$70="5º IPCA",'Ocorrências Mensais - FAT'!U29,))))))</f>
        <v>46.11</v>
      </c>
      <c r="W29" s="2"/>
    </row>
    <row r="30" spans="1:23" hidden="1" x14ac:dyDescent="0.3">
      <c r="A30" s="653">
        <v>4</v>
      </c>
      <c r="B30" s="884" t="s">
        <v>95</v>
      </c>
      <c r="C30" s="884"/>
      <c r="D30" s="884"/>
      <c r="E30" s="654" t="s">
        <v>71</v>
      </c>
      <c r="F30" s="655" t="s">
        <v>87</v>
      </c>
      <c r="G30" s="36">
        <f t="shared" si="2"/>
        <v>10</v>
      </c>
      <c r="H30" s="37">
        <f t="shared" si="0"/>
        <v>80.5</v>
      </c>
      <c r="I30" s="885" t="str">
        <f t="shared" si="4"/>
        <v>Fornecimento igual ao estimado mensalmente</v>
      </c>
      <c r="J30" s="886"/>
      <c r="K30" s="887"/>
      <c r="L30" s="774">
        <f t="shared" si="1"/>
        <v>10</v>
      </c>
      <c r="M30" s="814">
        <f>Mat!J12</f>
        <v>10</v>
      </c>
      <c r="N30" s="816" t="str">
        <f>Mat!K12</f>
        <v>Mensal</v>
      </c>
      <c r="O30" s="817">
        <f t="shared" si="3"/>
        <v>1</v>
      </c>
      <c r="P30" s="652">
        <v>8.0500000000000007</v>
      </c>
      <c r="Q30" s="627">
        <f>ROUND(IF(Dados!$J$57="SIM",P30*Dados!$N$57,P30),2)</f>
        <v>8.0500000000000007</v>
      </c>
      <c r="R30" s="627">
        <f>ROUND(IF(Dados!$J$58="SIM",Q30*Dados!$N$58,Q30),2)</f>
        <v>8.0500000000000007</v>
      </c>
      <c r="S30" s="627">
        <f>ROUND(IF(Dados!$J$59="SIM",R30*Dados!$N$59,R30),2)</f>
        <v>8.0500000000000007</v>
      </c>
      <c r="T30" s="627">
        <f>ROUND(IF(Dados!$J$60="SIM",S30*Dados!$N$60,S30),2)</f>
        <v>8.0500000000000007</v>
      </c>
      <c r="U30" s="818">
        <f>ROUND(IF(Dados!$J$61="SIM",T30*Dados!$N$61,T30),2)</f>
        <v>8.0500000000000007</v>
      </c>
      <c r="V30" s="3">
        <f>IF(Dados!$D$70="INICIAL",'Ocorrências Mensais - FAT'!P30,IF(Dados!$D$70="1º IPCA",'Ocorrências Mensais - FAT'!Q30,IF(Dados!$D$70="2º IPCA",'Ocorrências Mensais - FAT'!R30,IF(Dados!$D$70="3º IPCA",'Ocorrências Mensais - FAT'!S30,IF(Dados!$D$70="4º IPCA",'Ocorrências Mensais - FAT'!T30,IF(Dados!$D$70="5º IPCA",'Ocorrências Mensais - FAT'!U30,))))))</f>
        <v>8.0500000000000007</v>
      </c>
      <c r="W30" s="2"/>
    </row>
    <row r="31" spans="1:23" hidden="1" x14ac:dyDescent="0.3">
      <c r="A31" s="653">
        <v>5</v>
      </c>
      <c r="B31" s="884" t="s">
        <v>96</v>
      </c>
      <c r="C31" s="884"/>
      <c r="D31" s="884"/>
      <c r="E31" s="654" t="s">
        <v>71</v>
      </c>
      <c r="F31" s="655" t="s">
        <v>97</v>
      </c>
      <c r="G31" s="36">
        <f t="shared" si="2"/>
        <v>0.5</v>
      </c>
      <c r="H31" s="37">
        <f t="shared" si="0"/>
        <v>8.3149999999999995</v>
      </c>
      <c r="I31" s="885" t="str">
        <f t="shared" si="4"/>
        <v>Fornecimento igual ao estimado mensalmente</v>
      </c>
      <c r="J31" s="886"/>
      <c r="K31" s="887"/>
      <c r="L31" s="774">
        <f t="shared" si="1"/>
        <v>0.5</v>
      </c>
      <c r="M31" s="814">
        <f>Mat!J13</f>
        <v>3</v>
      </c>
      <c r="N31" s="816" t="str">
        <f>Mat!K13</f>
        <v>Semestral</v>
      </c>
      <c r="O31" s="817">
        <f t="shared" si="3"/>
        <v>6</v>
      </c>
      <c r="P31" s="652">
        <v>16.63</v>
      </c>
      <c r="Q31" s="627">
        <f>ROUND(IF(Dados!$J$57="SIM",P31*Dados!$N$57,P31),2)</f>
        <v>16.63</v>
      </c>
      <c r="R31" s="627">
        <f>ROUND(IF(Dados!$J$58="SIM",Q31*Dados!$N$58,Q31),2)</f>
        <v>16.63</v>
      </c>
      <c r="S31" s="627">
        <f>ROUND(IF(Dados!$J$59="SIM",R31*Dados!$N$59,R31),2)</f>
        <v>16.63</v>
      </c>
      <c r="T31" s="627">
        <f>ROUND(IF(Dados!$J$60="SIM",S31*Dados!$N$60,S31),2)</f>
        <v>16.63</v>
      </c>
      <c r="U31" s="818">
        <f>ROUND(IF(Dados!$J$61="SIM",T31*Dados!$N$61,T31),2)</f>
        <v>16.63</v>
      </c>
      <c r="V31" s="3">
        <f>IF(Dados!$D$70="INICIAL",'Ocorrências Mensais - FAT'!P31,IF(Dados!$D$70="1º IPCA",'Ocorrências Mensais - FAT'!Q31,IF(Dados!$D$70="2º IPCA",'Ocorrências Mensais - FAT'!R31,IF(Dados!$D$70="3º IPCA",'Ocorrências Mensais - FAT'!S31,IF(Dados!$D$70="4º IPCA",'Ocorrências Mensais - FAT'!T31,IF(Dados!$D$70="5º IPCA",'Ocorrências Mensais - FAT'!U31,))))))</f>
        <v>16.63</v>
      </c>
      <c r="W31" s="2"/>
    </row>
    <row r="32" spans="1:23" hidden="1" x14ac:dyDescent="0.3">
      <c r="A32" s="653">
        <v>6</v>
      </c>
      <c r="B32" s="884" t="s">
        <v>99</v>
      </c>
      <c r="C32" s="884"/>
      <c r="D32" s="884"/>
      <c r="E32" s="654" t="s">
        <v>71</v>
      </c>
      <c r="F32" s="655" t="s">
        <v>100</v>
      </c>
      <c r="G32" s="36">
        <f t="shared" si="2"/>
        <v>0.5</v>
      </c>
      <c r="H32" s="37">
        <f t="shared" si="0"/>
        <v>5.2750000000000004</v>
      </c>
      <c r="I32" s="885" t="str">
        <f t="shared" si="4"/>
        <v>Fornecimento igual ao estimado mensalmente</v>
      </c>
      <c r="J32" s="886"/>
      <c r="K32" s="887"/>
      <c r="L32" s="774">
        <f t="shared" si="1"/>
        <v>0.5</v>
      </c>
      <c r="M32" s="814">
        <f>Mat!J14</f>
        <v>3</v>
      </c>
      <c r="N32" s="816" t="str">
        <f>Mat!K14</f>
        <v>Semestral</v>
      </c>
      <c r="O32" s="817">
        <f t="shared" si="3"/>
        <v>6</v>
      </c>
      <c r="P32" s="652">
        <v>10.55</v>
      </c>
      <c r="Q32" s="627">
        <f>ROUND(IF(Dados!$J$57="SIM",P32*Dados!$N$57,P32),2)</f>
        <v>10.55</v>
      </c>
      <c r="R32" s="627">
        <f>ROUND(IF(Dados!$J$58="SIM",Q32*Dados!$N$58,Q32),2)</f>
        <v>10.55</v>
      </c>
      <c r="S32" s="627">
        <f>ROUND(IF(Dados!$J$59="SIM",R32*Dados!$N$59,R32),2)</f>
        <v>10.55</v>
      </c>
      <c r="T32" s="627">
        <f>ROUND(IF(Dados!$J$60="SIM",S32*Dados!$N$60,S32),2)</f>
        <v>10.55</v>
      </c>
      <c r="U32" s="818">
        <f>ROUND(IF(Dados!$J$61="SIM",T32*Dados!$N$61,T32),2)</f>
        <v>10.55</v>
      </c>
      <c r="V32" s="3">
        <f>IF(Dados!$D$70="INICIAL",'Ocorrências Mensais - FAT'!P32,IF(Dados!$D$70="1º IPCA",'Ocorrências Mensais - FAT'!Q32,IF(Dados!$D$70="2º IPCA",'Ocorrências Mensais - FAT'!R32,IF(Dados!$D$70="3º IPCA",'Ocorrências Mensais - FAT'!S32,IF(Dados!$D$70="4º IPCA",'Ocorrências Mensais - FAT'!T32,IF(Dados!$D$70="5º IPCA",'Ocorrências Mensais - FAT'!U32,))))))</f>
        <v>10.55</v>
      </c>
      <c r="W32" s="2"/>
    </row>
    <row r="33" spans="1:23" hidden="1" x14ac:dyDescent="0.3">
      <c r="A33" s="653">
        <v>7</v>
      </c>
      <c r="B33" s="884" t="s">
        <v>101</v>
      </c>
      <c r="C33" s="884"/>
      <c r="D33" s="884"/>
      <c r="E33" s="654" t="s">
        <v>71</v>
      </c>
      <c r="F33" s="655" t="s">
        <v>102</v>
      </c>
      <c r="G33" s="36">
        <f t="shared" si="2"/>
        <v>10</v>
      </c>
      <c r="H33" s="37">
        <f t="shared" si="0"/>
        <v>119.2</v>
      </c>
      <c r="I33" s="885" t="str">
        <f t="shared" si="4"/>
        <v>Fornecimento igual ao estimado mensalmente</v>
      </c>
      <c r="J33" s="886"/>
      <c r="K33" s="887"/>
      <c r="L33" s="774">
        <f t="shared" si="1"/>
        <v>10</v>
      </c>
      <c r="M33" s="814">
        <f>Mat!J15</f>
        <v>10</v>
      </c>
      <c r="N33" s="816" t="str">
        <f>Mat!K15</f>
        <v>Mensal</v>
      </c>
      <c r="O33" s="817">
        <f t="shared" si="3"/>
        <v>1</v>
      </c>
      <c r="P33" s="652">
        <v>11.92</v>
      </c>
      <c r="Q33" s="627">
        <f>ROUND(IF(Dados!$J$57="SIM",P33*Dados!$N$57,P33),2)</f>
        <v>11.92</v>
      </c>
      <c r="R33" s="627">
        <f>ROUND(IF(Dados!$J$58="SIM",Q33*Dados!$N$58,Q33),2)</f>
        <v>11.92</v>
      </c>
      <c r="S33" s="627">
        <f>ROUND(IF(Dados!$J$59="SIM",R33*Dados!$N$59,R33),2)</f>
        <v>11.92</v>
      </c>
      <c r="T33" s="627">
        <f>ROUND(IF(Dados!$J$60="SIM",S33*Dados!$N$60,S33),2)</f>
        <v>11.92</v>
      </c>
      <c r="U33" s="818">
        <f>ROUND(IF(Dados!$J$61="SIM",T33*Dados!$N$61,T33),2)</f>
        <v>11.92</v>
      </c>
      <c r="V33" s="3">
        <f>IF(Dados!$D$70="INICIAL",'Ocorrências Mensais - FAT'!P33,IF(Dados!$D$70="1º IPCA",'Ocorrências Mensais - FAT'!Q33,IF(Dados!$D$70="2º IPCA",'Ocorrências Mensais - FAT'!R33,IF(Dados!$D$70="3º IPCA",'Ocorrências Mensais - FAT'!S33,IF(Dados!$D$70="4º IPCA",'Ocorrências Mensais - FAT'!T33,IF(Dados!$D$70="5º IPCA",'Ocorrências Mensais - FAT'!U33,))))))</f>
        <v>11.92</v>
      </c>
      <c r="W33" s="2"/>
    </row>
    <row r="34" spans="1:23" hidden="1" x14ac:dyDescent="0.3">
      <c r="A34" s="653">
        <v>8</v>
      </c>
      <c r="B34" s="884" t="s">
        <v>103</v>
      </c>
      <c r="C34" s="884"/>
      <c r="D34" s="884"/>
      <c r="E34" s="654" t="s">
        <v>71</v>
      </c>
      <c r="F34" s="655" t="s">
        <v>104</v>
      </c>
      <c r="G34" s="36">
        <f t="shared" si="2"/>
        <v>0.33333333333333331</v>
      </c>
      <c r="H34" s="37">
        <f t="shared" si="0"/>
        <v>1.4933333333333334</v>
      </c>
      <c r="I34" s="885" t="str">
        <f t="shared" si="4"/>
        <v>Fornecimento igual ao estimado mensalmente</v>
      </c>
      <c r="J34" s="886"/>
      <c r="K34" s="887"/>
      <c r="L34" s="774">
        <f t="shared" si="1"/>
        <v>0.33333333333333331</v>
      </c>
      <c r="M34" s="814">
        <f>Mat!J16</f>
        <v>2</v>
      </c>
      <c r="N34" s="816" t="str">
        <f>Mat!K16</f>
        <v>Semestral</v>
      </c>
      <c r="O34" s="817">
        <f t="shared" si="3"/>
        <v>6</v>
      </c>
      <c r="P34" s="652">
        <v>4.4800000000000004</v>
      </c>
      <c r="Q34" s="627">
        <f>ROUND(IF(Dados!$J$57="SIM",P34*Dados!$N$57,P34),2)</f>
        <v>4.4800000000000004</v>
      </c>
      <c r="R34" s="627">
        <f>ROUND(IF(Dados!$J$58="SIM",Q34*Dados!$N$58,Q34),2)</f>
        <v>4.4800000000000004</v>
      </c>
      <c r="S34" s="627">
        <f>ROUND(IF(Dados!$J$59="SIM",R34*Dados!$N$59,R34),2)</f>
        <v>4.4800000000000004</v>
      </c>
      <c r="T34" s="627">
        <f>ROUND(IF(Dados!$J$60="SIM",S34*Dados!$N$60,S34),2)</f>
        <v>4.4800000000000004</v>
      </c>
      <c r="U34" s="818">
        <f>ROUND(IF(Dados!$J$61="SIM",T34*Dados!$N$61,T34),2)</f>
        <v>4.4800000000000004</v>
      </c>
      <c r="V34" s="3">
        <f>IF(Dados!$D$70="INICIAL",'Ocorrências Mensais - FAT'!P34,IF(Dados!$D$70="1º IPCA",'Ocorrências Mensais - FAT'!Q34,IF(Dados!$D$70="2º IPCA",'Ocorrências Mensais - FAT'!R34,IF(Dados!$D$70="3º IPCA",'Ocorrências Mensais - FAT'!S34,IF(Dados!$D$70="4º IPCA",'Ocorrências Mensais - FAT'!T34,IF(Dados!$D$70="5º IPCA",'Ocorrências Mensais - FAT'!U34,))))))</f>
        <v>4.4800000000000004</v>
      </c>
      <c r="W34" s="2"/>
    </row>
    <row r="35" spans="1:23" hidden="1" x14ac:dyDescent="0.3">
      <c r="A35" s="653">
        <v>9</v>
      </c>
      <c r="B35" s="884" t="s">
        <v>105</v>
      </c>
      <c r="C35" s="884"/>
      <c r="D35" s="884"/>
      <c r="E35" s="654" t="s">
        <v>71</v>
      </c>
      <c r="F35" s="655" t="s">
        <v>106</v>
      </c>
      <c r="G35" s="36">
        <f t="shared" si="2"/>
        <v>0.33333333333333331</v>
      </c>
      <c r="H35" s="37">
        <f t="shared" si="0"/>
        <v>3.36</v>
      </c>
      <c r="I35" s="885" t="str">
        <f t="shared" si="4"/>
        <v>Fornecimento igual ao estimado mensalmente</v>
      </c>
      <c r="J35" s="886"/>
      <c r="K35" s="887"/>
      <c r="L35" s="774">
        <f t="shared" si="1"/>
        <v>0.33333333333333331</v>
      </c>
      <c r="M35" s="814">
        <f>Mat!J17</f>
        <v>2</v>
      </c>
      <c r="N35" s="816" t="str">
        <f>Mat!K17</f>
        <v>Semestral</v>
      </c>
      <c r="O35" s="817">
        <f t="shared" si="3"/>
        <v>6</v>
      </c>
      <c r="P35" s="652">
        <v>10.08</v>
      </c>
      <c r="Q35" s="627">
        <f>ROUND(IF(Dados!$J$57="SIM",P35*Dados!$N$57,P35),2)</f>
        <v>10.08</v>
      </c>
      <c r="R35" s="627">
        <f>ROUND(IF(Dados!$J$58="SIM",Q35*Dados!$N$58,Q35),2)</f>
        <v>10.08</v>
      </c>
      <c r="S35" s="627">
        <f>ROUND(IF(Dados!$J$59="SIM",R35*Dados!$N$59,R35),2)</f>
        <v>10.08</v>
      </c>
      <c r="T35" s="627">
        <f>ROUND(IF(Dados!$J$60="SIM",S35*Dados!$N$60,S35),2)</f>
        <v>10.08</v>
      </c>
      <c r="U35" s="818">
        <f>ROUND(IF(Dados!$J$61="SIM",T35*Dados!$N$61,T35),2)</f>
        <v>10.08</v>
      </c>
      <c r="V35" s="3">
        <f>IF(Dados!$D$70="INICIAL",'Ocorrências Mensais - FAT'!P35,IF(Dados!$D$70="1º IPCA",'Ocorrências Mensais - FAT'!Q35,IF(Dados!$D$70="2º IPCA",'Ocorrências Mensais - FAT'!R35,IF(Dados!$D$70="3º IPCA",'Ocorrências Mensais - FAT'!S35,IF(Dados!$D$70="4º IPCA",'Ocorrências Mensais - FAT'!T35,IF(Dados!$D$70="5º IPCA",'Ocorrências Mensais - FAT'!U35,))))))</f>
        <v>10.08</v>
      </c>
      <c r="W35" s="2"/>
    </row>
    <row r="36" spans="1:23" hidden="1" x14ac:dyDescent="0.3">
      <c r="A36" s="656">
        <v>10</v>
      </c>
      <c r="B36" s="884" t="s">
        <v>107</v>
      </c>
      <c r="C36" s="884"/>
      <c r="D36" s="884"/>
      <c r="E36" s="654" t="s">
        <v>90</v>
      </c>
      <c r="F36" s="657" t="s">
        <v>108</v>
      </c>
      <c r="G36" s="36">
        <f t="shared" si="2"/>
        <v>4</v>
      </c>
      <c r="H36" s="37">
        <f t="shared" si="0"/>
        <v>127.68</v>
      </c>
      <c r="I36" s="885" t="str">
        <f t="shared" si="4"/>
        <v>Fornecimento igual ao estimado mensalmente</v>
      </c>
      <c r="J36" s="886"/>
      <c r="K36" s="887"/>
      <c r="L36" s="774">
        <f t="shared" si="1"/>
        <v>4</v>
      </c>
      <c r="M36" s="814">
        <f>Mat!J18</f>
        <v>4</v>
      </c>
      <c r="N36" s="816" t="str">
        <f>Mat!K18</f>
        <v>Mensal</v>
      </c>
      <c r="O36" s="817">
        <f t="shared" si="3"/>
        <v>1</v>
      </c>
      <c r="P36" s="652">
        <v>31.92</v>
      </c>
      <c r="Q36" s="627">
        <f>ROUND(IF(Dados!$J$57="SIM",P36*Dados!$N$57,P36),2)</f>
        <v>31.92</v>
      </c>
      <c r="R36" s="627">
        <f>ROUND(IF(Dados!$J$58="SIM",Q36*Dados!$N$58,Q36),2)</f>
        <v>31.92</v>
      </c>
      <c r="S36" s="627">
        <f>ROUND(IF(Dados!$J$59="SIM",R36*Dados!$N$59,R36),2)</f>
        <v>31.92</v>
      </c>
      <c r="T36" s="627">
        <f>ROUND(IF(Dados!$J$60="SIM",S36*Dados!$N$60,S36),2)</f>
        <v>31.92</v>
      </c>
      <c r="U36" s="818">
        <f>ROUND(IF(Dados!$J$61="SIM",T36*Dados!$N$61,T36),2)</f>
        <v>31.92</v>
      </c>
      <c r="V36" s="3">
        <f>IF(Dados!$D$70="INICIAL",'Ocorrências Mensais - FAT'!P36,IF(Dados!$D$70="1º IPCA",'Ocorrências Mensais - FAT'!Q36,IF(Dados!$D$70="2º IPCA",'Ocorrências Mensais - FAT'!R36,IF(Dados!$D$70="3º IPCA",'Ocorrências Mensais - FAT'!S36,IF(Dados!$D$70="4º IPCA",'Ocorrências Mensais - FAT'!T36,IF(Dados!$D$70="5º IPCA",'Ocorrências Mensais - FAT'!U36,))))))</f>
        <v>31.92</v>
      </c>
      <c r="W36" s="2"/>
    </row>
    <row r="37" spans="1:23" hidden="1" x14ac:dyDescent="0.3">
      <c r="A37" s="653">
        <v>11</v>
      </c>
      <c r="B37" s="884" t="s">
        <v>109</v>
      </c>
      <c r="C37" s="884"/>
      <c r="D37" s="884"/>
      <c r="E37" s="654" t="s">
        <v>71</v>
      </c>
      <c r="F37" s="655" t="s">
        <v>110</v>
      </c>
      <c r="G37" s="36">
        <f t="shared" si="2"/>
        <v>8</v>
      </c>
      <c r="H37" s="37">
        <f t="shared" si="0"/>
        <v>14.56</v>
      </c>
      <c r="I37" s="885" t="str">
        <f t="shared" si="4"/>
        <v>Fornecimento igual ao estimado mensalmente</v>
      </c>
      <c r="J37" s="886"/>
      <c r="K37" s="887"/>
      <c r="L37" s="774">
        <f t="shared" si="1"/>
        <v>8</v>
      </c>
      <c r="M37" s="814">
        <f>Mat!J19</f>
        <v>8</v>
      </c>
      <c r="N37" s="816" t="str">
        <f>Mat!K19</f>
        <v>Mensal</v>
      </c>
      <c r="O37" s="817">
        <f t="shared" si="3"/>
        <v>1</v>
      </c>
      <c r="P37" s="652">
        <v>1.82</v>
      </c>
      <c r="Q37" s="627">
        <f>ROUND(IF(Dados!$J$57="SIM",P37*Dados!$N$57,P37),2)</f>
        <v>1.82</v>
      </c>
      <c r="R37" s="627">
        <f>ROUND(IF(Dados!$J$58="SIM",Q37*Dados!$N$58,Q37),2)</f>
        <v>1.82</v>
      </c>
      <c r="S37" s="627">
        <f>ROUND(IF(Dados!$J$59="SIM",R37*Dados!$N$59,R37),2)</f>
        <v>1.82</v>
      </c>
      <c r="T37" s="627">
        <f>ROUND(IF(Dados!$J$60="SIM",S37*Dados!$N$60,S37),2)</f>
        <v>1.82</v>
      </c>
      <c r="U37" s="818">
        <f>ROUND(IF(Dados!$J$61="SIM",T37*Dados!$N$61,T37),2)</f>
        <v>1.82</v>
      </c>
      <c r="V37" s="3">
        <f>IF(Dados!$D$70="INICIAL",'Ocorrências Mensais - FAT'!P37,IF(Dados!$D$70="1º IPCA",'Ocorrências Mensais - FAT'!Q37,IF(Dados!$D$70="2º IPCA",'Ocorrências Mensais - FAT'!R37,IF(Dados!$D$70="3º IPCA",'Ocorrências Mensais - FAT'!S37,IF(Dados!$D$70="4º IPCA",'Ocorrências Mensais - FAT'!T37,IF(Dados!$D$70="5º IPCA",'Ocorrências Mensais - FAT'!U37,))))))</f>
        <v>1.82</v>
      </c>
      <c r="W37" s="2"/>
    </row>
    <row r="38" spans="1:23" hidden="1" x14ac:dyDescent="0.3">
      <c r="A38" s="653">
        <v>12</v>
      </c>
      <c r="B38" s="884" t="s">
        <v>111</v>
      </c>
      <c r="C38" s="884"/>
      <c r="D38" s="884"/>
      <c r="E38" s="654" t="s">
        <v>71</v>
      </c>
      <c r="F38" s="655" t="s">
        <v>112</v>
      </c>
      <c r="G38" s="36">
        <f t="shared" si="2"/>
        <v>0.5</v>
      </c>
      <c r="H38" s="37">
        <f t="shared" si="0"/>
        <v>2.3149999999999999</v>
      </c>
      <c r="I38" s="885" t="str">
        <f t="shared" si="4"/>
        <v>Fornecimento igual ao estimado mensalmente</v>
      </c>
      <c r="J38" s="886"/>
      <c r="K38" s="887"/>
      <c r="L38" s="774">
        <f t="shared" si="1"/>
        <v>0.5</v>
      </c>
      <c r="M38" s="814">
        <f>Mat!J20</f>
        <v>3</v>
      </c>
      <c r="N38" s="816" t="str">
        <f>Mat!K20</f>
        <v>Semestral</v>
      </c>
      <c r="O38" s="817">
        <f t="shared" si="3"/>
        <v>6</v>
      </c>
      <c r="P38" s="652">
        <v>4.63</v>
      </c>
      <c r="Q38" s="627">
        <f>ROUND(IF(Dados!$J$57="SIM",P38*Dados!$N$57,P38),2)</f>
        <v>4.63</v>
      </c>
      <c r="R38" s="627">
        <f>ROUND(IF(Dados!$J$58="SIM",Q38*Dados!$N$58,Q38),2)</f>
        <v>4.63</v>
      </c>
      <c r="S38" s="627">
        <f>ROUND(IF(Dados!$J$59="SIM",R38*Dados!$N$59,R38),2)</f>
        <v>4.63</v>
      </c>
      <c r="T38" s="627">
        <f>ROUND(IF(Dados!$J$60="SIM",S38*Dados!$N$60,S38),2)</f>
        <v>4.63</v>
      </c>
      <c r="U38" s="818">
        <f>ROUND(IF(Dados!$J$61="SIM",T38*Dados!$N$61,T38),2)</f>
        <v>4.63</v>
      </c>
      <c r="V38" s="3">
        <f>IF(Dados!$D$70="INICIAL",'Ocorrências Mensais - FAT'!P38,IF(Dados!$D$70="1º IPCA",'Ocorrências Mensais - FAT'!Q38,IF(Dados!$D$70="2º IPCA",'Ocorrências Mensais - FAT'!R38,IF(Dados!$D$70="3º IPCA",'Ocorrências Mensais - FAT'!S38,IF(Dados!$D$70="4º IPCA",'Ocorrências Mensais - FAT'!T38,IF(Dados!$D$70="5º IPCA",'Ocorrências Mensais - FAT'!U38,))))))</f>
        <v>4.63</v>
      </c>
      <c r="W38" s="2"/>
    </row>
    <row r="39" spans="1:23" hidden="1" x14ac:dyDescent="0.3">
      <c r="A39" s="656">
        <v>13</v>
      </c>
      <c r="B39" s="884" t="s">
        <v>113</v>
      </c>
      <c r="C39" s="884"/>
      <c r="D39" s="884"/>
      <c r="E39" s="654" t="s">
        <v>71</v>
      </c>
      <c r="F39" s="655" t="s">
        <v>114</v>
      </c>
      <c r="G39" s="36">
        <f t="shared" si="2"/>
        <v>3</v>
      </c>
      <c r="H39" s="37">
        <f t="shared" si="0"/>
        <v>34.950000000000003</v>
      </c>
      <c r="I39" s="885" t="str">
        <f t="shared" si="4"/>
        <v>Fornecimento igual ao estimado mensalmente</v>
      </c>
      <c r="J39" s="886"/>
      <c r="K39" s="887"/>
      <c r="L39" s="774">
        <f t="shared" si="1"/>
        <v>3</v>
      </c>
      <c r="M39" s="814">
        <f>Mat!J21</f>
        <v>6</v>
      </c>
      <c r="N39" s="816" t="str">
        <f>Mat!K21</f>
        <v>Bimestral</v>
      </c>
      <c r="O39" s="817">
        <f t="shared" si="3"/>
        <v>2</v>
      </c>
      <c r="P39" s="652">
        <v>11.65</v>
      </c>
      <c r="Q39" s="627">
        <f>ROUND(IF(Dados!$J$57="SIM",P39*Dados!$N$57,P39),2)</f>
        <v>11.65</v>
      </c>
      <c r="R39" s="627">
        <f>ROUND(IF(Dados!$J$58="SIM",Q39*Dados!$N$58,Q39),2)</f>
        <v>11.65</v>
      </c>
      <c r="S39" s="627">
        <f>ROUND(IF(Dados!$J$59="SIM",R39*Dados!$N$59,R39),2)</f>
        <v>11.65</v>
      </c>
      <c r="T39" s="627">
        <f>ROUND(IF(Dados!$J$60="SIM",S39*Dados!$N$60,S39),2)</f>
        <v>11.65</v>
      </c>
      <c r="U39" s="818">
        <f>ROUND(IF(Dados!$J$61="SIM",T39*Dados!$N$61,T39),2)</f>
        <v>11.65</v>
      </c>
      <c r="V39" s="3">
        <f>IF(Dados!$D$70="INICIAL",'Ocorrências Mensais - FAT'!P39,IF(Dados!$D$70="1º IPCA",'Ocorrências Mensais - FAT'!Q39,IF(Dados!$D$70="2º IPCA",'Ocorrências Mensais - FAT'!R39,IF(Dados!$D$70="3º IPCA",'Ocorrências Mensais - FAT'!S39,IF(Dados!$D$70="4º IPCA",'Ocorrências Mensais - FAT'!T39,IF(Dados!$D$70="5º IPCA",'Ocorrências Mensais - FAT'!U39,))))))</f>
        <v>11.65</v>
      </c>
      <c r="W39" s="2"/>
    </row>
    <row r="40" spans="1:23" hidden="1" x14ac:dyDescent="0.3">
      <c r="A40" s="653">
        <v>14</v>
      </c>
      <c r="B40" s="884" t="s">
        <v>115</v>
      </c>
      <c r="C40" s="884"/>
      <c r="D40" s="884"/>
      <c r="E40" s="654" t="s">
        <v>71</v>
      </c>
      <c r="F40" s="655" t="s">
        <v>116</v>
      </c>
      <c r="G40" s="36">
        <f t="shared" si="2"/>
        <v>20</v>
      </c>
      <c r="H40" s="37">
        <f t="shared" si="0"/>
        <v>48.6</v>
      </c>
      <c r="I40" s="885" t="str">
        <f t="shared" si="4"/>
        <v>Fornecimento igual ao estimado mensalmente</v>
      </c>
      <c r="J40" s="886"/>
      <c r="K40" s="887"/>
      <c r="L40" s="774">
        <f t="shared" si="1"/>
        <v>20</v>
      </c>
      <c r="M40" s="814">
        <f>Mat!J22</f>
        <v>20</v>
      </c>
      <c r="N40" s="816" t="str">
        <f>Mat!K22</f>
        <v>Mensal</v>
      </c>
      <c r="O40" s="817">
        <f t="shared" si="3"/>
        <v>1</v>
      </c>
      <c r="P40" s="652">
        <v>2.4300000000000002</v>
      </c>
      <c r="Q40" s="627">
        <f>ROUND(IF(Dados!$J$57="SIM",P40*Dados!$N$57,P40),2)</f>
        <v>2.4300000000000002</v>
      </c>
      <c r="R40" s="627">
        <f>ROUND(IF(Dados!$J$58="SIM",Q40*Dados!$N$58,Q40),2)</f>
        <v>2.4300000000000002</v>
      </c>
      <c r="S40" s="627">
        <f>ROUND(IF(Dados!$J$59="SIM",R40*Dados!$N$59,R40),2)</f>
        <v>2.4300000000000002</v>
      </c>
      <c r="T40" s="627">
        <f>ROUND(IF(Dados!$J$60="SIM",S40*Dados!$N$60,S40),2)</f>
        <v>2.4300000000000002</v>
      </c>
      <c r="U40" s="818">
        <f>ROUND(IF(Dados!$J$61="SIM",T40*Dados!$N$61,T40),2)</f>
        <v>2.4300000000000002</v>
      </c>
      <c r="V40" s="3">
        <f>IF(Dados!$D$70="INICIAL",'Ocorrências Mensais - FAT'!P40,IF(Dados!$D$70="1º IPCA",'Ocorrências Mensais - FAT'!Q40,IF(Dados!$D$70="2º IPCA",'Ocorrências Mensais - FAT'!R40,IF(Dados!$D$70="3º IPCA",'Ocorrências Mensais - FAT'!S40,IF(Dados!$D$70="4º IPCA",'Ocorrências Mensais - FAT'!T40,IF(Dados!$D$70="5º IPCA",'Ocorrências Mensais - FAT'!U40,))))))</f>
        <v>2.4300000000000002</v>
      </c>
      <c r="W40" s="2"/>
    </row>
    <row r="41" spans="1:23" hidden="1" x14ac:dyDescent="0.3">
      <c r="A41" s="653">
        <v>15</v>
      </c>
      <c r="B41" s="884" t="s">
        <v>117</v>
      </c>
      <c r="C41" s="884"/>
      <c r="D41" s="884"/>
      <c r="E41" s="654" t="s">
        <v>71</v>
      </c>
      <c r="F41" s="655" t="s">
        <v>118</v>
      </c>
      <c r="G41" s="36">
        <f t="shared" si="2"/>
        <v>4</v>
      </c>
      <c r="H41" s="37">
        <f t="shared" si="0"/>
        <v>9.1199999999999992</v>
      </c>
      <c r="I41" s="885" t="str">
        <f t="shared" si="4"/>
        <v>Fornecimento igual ao estimado mensalmente</v>
      </c>
      <c r="J41" s="886"/>
      <c r="K41" s="887"/>
      <c r="L41" s="774">
        <f t="shared" si="1"/>
        <v>4</v>
      </c>
      <c r="M41" s="814">
        <f>Mat!J23</f>
        <v>4</v>
      </c>
      <c r="N41" s="816" t="str">
        <f>Mat!K23</f>
        <v>Mensal</v>
      </c>
      <c r="O41" s="817">
        <f t="shared" si="3"/>
        <v>1</v>
      </c>
      <c r="P41" s="652">
        <v>2.2799999999999998</v>
      </c>
      <c r="Q41" s="627">
        <f>ROUND(IF(Dados!$J$57="SIM",P41*Dados!$N$57,P41),2)</f>
        <v>2.2799999999999998</v>
      </c>
      <c r="R41" s="627">
        <f>ROUND(IF(Dados!$J$58="SIM",Q41*Dados!$N$58,Q41),2)</f>
        <v>2.2799999999999998</v>
      </c>
      <c r="S41" s="627">
        <f>ROUND(IF(Dados!$J$59="SIM",R41*Dados!$N$59,R41),2)</f>
        <v>2.2799999999999998</v>
      </c>
      <c r="T41" s="627">
        <f>ROUND(IF(Dados!$J$60="SIM",S41*Dados!$N$60,S41),2)</f>
        <v>2.2799999999999998</v>
      </c>
      <c r="U41" s="818">
        <f>ROUND(IF(Dados!$J$61="SIM",T41*Dados!$N$61,T41),2)</f>
        <v>2.2799999999999998</v>
      </c>
      <c r="V41" s="3">
        <f>IF(Dados!$D$70="INICIAL",'Ocorrências Mensais - FAT'!P41,IF(Dados!$D$70="1º IPCA",'Ocorrências Mensais - FAT'!Q41,IF(Dados!$D$70="2º IPCA",'Ocorrências Mensais - FAT'!R41,IF(Dados!$D$70="3º IPCA",'Ocorrências Mensais - FAT'!S41,IF(Dados!$D$70="4º IPCA",'Ocorrências Mensais - FAT'!T41,IF(Dados!$D$70="5º IPCA",'Ocorrências Mensais - FAT'!U41,))))))</f>
        <v>2.2799999999999998</v>
      </c>
      <c r="W41" s="2"/>
    </row>
    <row r="42" spans="1:23" hidden="1" x14ac:dyDescent="0.3">
      <c r="A42" s="653">
        <v>16</v>
      </c>
      <c r="B42" s="884" t="s">
        <v>119</v>
      </c>
      <c r="C42" s="884"/>
      <c r="D42" s="884"/>
      <c r="E42" s="654" t="s">
        <v>71</v>
      </c>
      <c r="F42" s="655" t="s">
        <v>120</v>
      </c>
      <c r="G42" s="36">
        <f t="shared" si="2"/>
        <v>8.3333333333333329E-2</v>
      </c>
      <c r="H42" s="37">
        <f t="shared" si="0"/>
        <v>14.018333333333333</v>
      </c>
      <c r="I42" s="885" t="str">
        <f t="shared" si="4"/>
        <v>Fornecimento igual ao estimado mensalmente</v>
      </c>
      <c r="J42" s="886"/>
      <c r="K42" s="887"/>
      <c r="L42" s="774">
        <f t="shared" si="1"/>
        <v>8.3333333333333329E-2</v>
      </c>
      <c r="M42" s="814">
        <f>Mat!J24</f>
        <v>1</v>
      </c>
      <c r="N42" s="816" t="str">
        <f>Mat!K24</f>
        <v>Anual</v>
      </c>
      <c r="O42" s="817">
        <f t="shared" si="3"/>
        <v>12</v>
      </c>
      <c r="P42" s="652">
        <v>168.22</v>
      </c>
      <c r="Q42" s="627">
        <f>ROUND(IF(Dados!$J$57="SIM",P42*Dados!$N$57,P42),2)</f>
        <v>168.22</v>
      </c>
      <c r="R42" s="627">
        <f>ROUND(IF(Dados!$J$58="SIM",Q42*Dados!$N$58,Q42),2)</f>
        <v>168.22</v>
      </c>
      <c r="S42" s="627">
        <f>ROUND(IF(Dados!$J$59="SIM",R42*Dados!$N$59,R42),2)</f>
        <v>168.22</v>
      </c>
      <c r="T42" s="627">
        <f>ROUND(IF(Dados!$J$60="SIM",S42*Dados!$N$60,S42),2)</f>
        <v>168.22</v>
      </c>
      <c r="U42" s="818">
        <f>ROUND(IF(Dados!$J$61="SIM",T42*Dados!$N$61,T42),2)</f>
        <v>168.22</v>
      </c>
      <c r="V42" s="3">
        <f>IF(Dados!$D$70="INICIAL",'Ocorrências Mensais - FAT'!P42,IF(Dados!$D$70="1º IPCA",'Ocorrências Mensais - FAT'!Q42,IF(Dados!$D$70="2º IPCA",'Ocorrências Mensais - FAT'!R42,IF(Dados!$D$70="3º IPCA",'Ocorrências Mensais - FAT'!S42,IF(Dados!$D$70="4º IPCA",'Ocorrências Mensais - FAT'!T42,IF(Dados!$D$70="5º IPCA",'Ocorrências Mensais - FAT'!U42,))))))</f>
        <v>168.22</v>
      </c>
      <c r="W42" s="2"/>
    </row>
    <row r="43" spans="1:23" hidden="1" x14ac:dyDescent="0.3">
      <c r="A43" s="653">
        <v>17</v>
      </c>
      <c r="B43" s="884" t="s">
        <v>122</v>
      </c>
      <c r="C43" s="884"/>
      <c r="D43" s="884"/>
      <c r="E43" s="654" t="s">
        <v>71</v>
      </c>
      <c r="F43" s="655" t="s">
        <v>123</v>
      </c>
      <c r="G43" s="36">
        <f t="shared" si="2"/>
        <v>20</v>
      </c>
      <c r="H43" s="37">
        <f t="shared" si="0"/>
        <v>59</v>
      </c>
      <c r="I43" s="885" t="str">
        <f t="shared" si="4"/>
        <v>Fornecimento igual ao estimado mensalmente</v>
      </c>
      <c r="J43" s="886"/>
      <c r="K43" s="887"/>
      <c r="L43" s="774">
        <f t="shared" si="1"/>
        <v>20</v>
      </c>
      <c r="M43" s="814">
        <f>Mat!J25</f>
        <v>20</v>
      </c>
      <c r="N43" s="816" t="str">
        <f>Mat!K25</f>
        <v>Mensal</v>
      </c>
      <c r="O43" s="817">
        <f t="shared" si="3"/>
        <v>1</v>
      </c>
      <c r="P43" s="652">
        <v>2.95</v>
      </c>
      <c r="Q43" s="627">
        <f>ROUND(IF(Dados!$J$57="SIM",P43*Dados!$N$57,P43),2)</f>
        <v>2.95</v>
      </c>
      <c r="R43" s="627">
        <f>ROUND(IF(Dados!$J$58="SIM",Q43*Dados!$N$58,Q43),2)</f>
        <v>2.95</v>
      </c>
      <c r="S43" s="627">
        <f>ROUND(IF(Dados!$J$59="SIM",R43*Dados!$N$59,R43),2)</f>
        <v>2.95</v>
      </c>
      <c r="T43" s="627">
        <f>ROUND(IF(Dados!$J$60="SIM",S43*Dados!$N$60,S43),2)</f>
        <v>2.95</v>
      </c>
      <c r="U43" s="818">
        <f>ROUND(IF(Dados!$J$61="SIM",T43*Dados!$N$61,T43),2)</f>
        <v>2.95</v>
      </c>
      <c r="V43" s="3">
        <f>IF(Dados!$D$70="INICIAL",'Ocorrências Mensais - FAT'!P43,IF(Dados!$D$70="1º IPCA",'Ocorrências Mensais - FAT'!Q43,IF(Dados!$D$70="2º IPCA",'Ocorrências Mensais - FAT'!R43,IF(Dados!$D$70="3º IPCA",'Ocorrências Mensais - FAT'!S43,IF(Dados!$D$70="4º IPCA",'Ocorrências Mensais - FAT'!T43,IF(Dados!$D$70="5º IPCA",'Ocorrências Mensais - FAT'!U43,))))))</f>
        <v>2.95</v>
      </c>
      <c r="W43" s="2"/>
    </row>
    <row r="44" spans="1:23" hidden="1" x14ac:dyDescent="0.3">
      <c r="A44" s="653">
        <v>18</v>
      </c>
      <c r="B44" s="884" t="s">
        <v>124</v>
      </c>
      <c r="C44" s="884"/>
      <c r="D44" s="884"/>
      <c r="E44" s="654" t="s">
        <v>71</v>
      </c>
      <c r="F44" s="655" t="s">
        <v>125</v>
      </c>
      <c r="G44" s="36">
        <f t="shared" si="2"/>
        <v>0.16666666666666666</v>
      </c>
      <c r="H44" s="37">
        <f t="shared" si="0"/>
        <v>0.95</v>
      </c>
      <c r="I44" s="885" t="str">
        <f t="shared" si="4"/>
        <v>Fornecimento igual ao estimado mensalmente</v>
      </c>
      <c r="J44" s="886"/>
      <c r="K44" s="887"/>
      <c r="L44" s="774">
        <f t="shared" si="1"/>
        <v>0.16666666666666666</v>
      </c>
      <c r="M44" s="814">
        <f>Mat!J26</f>
        <v>1</v>
      </c>
      <c r="N44" s="816" t="str">
        <f>Mat!K26</f>
        <v>Semestral</v>
      </c>
      <c r="O44" s="817">
        <f t="shared" si="3"/>
        <v>6</v>
      </c>
      <c r="P44" s="652">
        <v>5.7</v>
      </c>
      <c r="Q44" s="627">
        <f>ROUND(IF(Dados!$J$57="SIM",P44*Dados!$N$57,P44),2)</f>
        <v>5.7</v>
      </c>
      <c r="R44" s="627">
        <f>ROUND(IF(Dados!$J$58="SIM",Q44*Dados!$N$58,Q44),2)</f>
        <v>5.7</v>
      </c>
      <c r="S44" s="627">
        <f>ROUND(IF(Dados!$J$59="SIM",R44*Dados!$N$59,R44),2)</f>
        <v>5.7</v>
      </c>
      <c r="T44" s="627">
        <f>ROUND(IF(Dados!$J$60="SIM",S44*Dados!$N$60,S44),2)</f>
        <v>5.7</v>
      </c>
      <c r="U44" s="818">
        <f>ROUND(IF(Dados!$J$61="SIM",T44*Dados!$N$61,T44),2)</f>
        <v>5.7</v>
      </c>
      <c r="V44" s="3">
        <f>IF(Dados!$D$70="INICIAL",'Ocorrências Mensais - FAT'!P44,IF(Dados!$D$70="1º IPCA",'Ocorrências Mensais - FAT'!Q44,IF(Dados!$D$70="2º IPCA",'Ocorrências Mensais - FAT'!R44,IF(Dados!$D$70="3º IPCA",'Ocorrências Mensais - FAT'!S44,IF(Dados!$D$70="4º IPCA",'Ocorrências Mensais - FAT'!T44,IF(Dados!$D$70="5º IPCA",'Ocorrências Mensais - FAT'!U44,))))))</f>
        <v>5.7</v>
      </c>
      <c r="W44" s="2"/>
    </row>
    <row r="45" spans="1:23" hidden="1" x14ac:dyDescent="0.3">
      <c r="A45" s="653">
        <v>19</v>
      </c>
      <c r="B45" s="884" t="s">
        <v>126</v>
      </c>
      <c r="C45" s="884"/>
      <c r="D45" s="884"/>
      <c r="E45" s="654" t="s">
        <v>71</v>
      </c>
      <c r="F45" s="655" t="s">
        <v>127</v>
      </c>
      <c r="G45" s="36">
        <f t="shared" si="2"/>
        <v>8.3333333333333329E-2</v>
      </c>
      <c r="H45" s="37">
        <f t="shared" si="0"/>
        <v>19.4025</v>
      </c>
      <c r="I45" s="885" t="str">
        <f t="shared" si="4"/>
        <v>Fornecimento igual ao estimado mensalmente</v>
      </c>
      <c r="J45" s="886"/>
      <c r="K45" s="887"/>
      <c r="L45" s="774">
        <f t="shared" si="1"/>
        <v>8.3333333333333329E-2</v>
      </c>
      <c r="M45" s="814">
        <f>Mat!J27</f>
        <v>1</v>
      </c>
      <c r="N45" s="816" t="str">
        <f>Mat!K27</f>
        <v>Anual</v>
      </c>
      <c r="O45" s="817">
        <f t="shared" si="3"/>
        <v>12</v>
      </c>
      <c r="P45" s="652">
        <v>232.83</v>
      </c>
      <c r="Q45" s="627">
        <f>ROUND(IF(Dados!$J$57="SIM",P45*Dados!$N$57,P45),2)</f>
        <v>232.83</v>
      </c>
      <c r="R45" s="627">
        <f>ROUND(IF(Dados!$J$58="SIM",Q45*Dados!$N$58,Q45),2)</f>
        <v>232.83</v>
      </c>
      <c r="S45" s="627">
        <f>ROUND(IF(Dados!$J$59="SIM",R45*Dados!$N$59,R45),2)</f>
        <v>232.83</v>
      </c>
      <c r="T45" s="627">
        <f>ROUND(IF(Dados!$J$60="SIM",S45*Dados!$N$60,S45),2)</f>
        <v>232.83</v>
      </c>
      <c r="U45" s="818">
        <f>ROUND(IF(Dados!$J$61="SIM",T45*Dados!$N$61,T45),2)</f>
        <v>232.83</v>
      </c>
      <c r="V45" s="3">
        <f>IF(Dados!$D$70="INICIAL",'Ocorrências Mensais - FAT'!P45,IF(Dados!$D$70="1º IPCA",'Ocorrências Mensais - FAT'!Q45,IF(Dados!$D$70="2º IPCA",'Ocorrências Mensais - FAT'!R45,IF(Dados!$D$70="3º IPCA",'Ocorrências Mensais - FAT'!S45,IF(Dados!$D$70="4º IPCA",'Ocorrências Mensais - FAT'!T45,IF(Dados!$D$70="5º IPCA",'Ocorrências Mensais - FAT'!U45,))))))</f>
        <v>232.83</v>
      </c>
      <c r="W45" s="2"/>
    </row>
    <row r="46" spans="1:23" hidden="1" x14ac:dyDescent="0.3">
      <c r="A46" s="653">
        <v>20</v>
      </c>
      <c r="B46" s="884" t="s">
        <v>128</v>
      </c>
      <c r="C46" s="884"/>
      <c r="D46" s="884"/>
      <c r="E46" s="654" t="s">
        <v>71</v>
      </c>
      <c r="F46" s="655" t="s">
        <v>129</v>
      </c>
      <c r="G46" s="36">
        <f t="shared" si="2"/>
        <v>2</v>
      </c>
      <c r="H46" s="37">
        <f t="shared" si="0"/>
        <v>15</v>
      </c>
      <c r="I46" s="885" t="str">
        <f t="shared" si="4"/>
        <v>Fornecimento igual ao estimado mensalmente</v>
      </c>
      <c r="J46" s="886"/>
      <c r="K46" s="887"/>
      <c r="L46" s="774">
        <f t="shared" si="1"/>
        <v>2</v>
      </c>
      <c r="M46" s="814">
        <f>Mat!J28</f>
        <v>2</v>
      </c>
      <c r="N46" s="816" t="str">
        <f>Mat!K28</f>
        <v>Mensal</v>
      </c>
      <c r="O46" s="817">
        <f t="shared" si="3"/>
        <v>1</v>
      </c>
      <c r="P46" s="652">
        <v>7.5</v>
      </c>
      <c r="Q46" s="627">
        <f>ROUND(IF(Dados!$J$57="SIM",P46*Dados!$N$57,P46),2)</f>
        <v>7.5</v>
      </c>
      <c r="R46" s="627">
        <f>ROUND(IF(Dados!$J$58="SIM",Q46*Dados!$N$58,Q46),2)</f>
        <v>7.5</v>
      </c>
      <c r="S46" s="627">
        <f>ROUND(IF(Dados!$J$59="SIM",R46*Dados!$N$59,R46),2)</f>
        <v>7.5</v>
      </c>
      <c r="T46" s="627">
        <f>ROUND(IF(Dados!$J$60="SIM",S46*Dados!$N$60,S46),2)</f>
        <v>7.5</v>
      </c>
      <c r="U46" s="818">
        <f>ROUND(IF(Dados!$J$61="SIM",T46*Dados!$N$61,T46),2)</f>
        <v>7.5</v>
      </c>
      <c r="V46" s="3">
        <f>IF(Dados!$D$70="INICIAL",'Ocorrências Mensais - FAT'!P46,IF(Dados!$D$70="1º IPCA",'Ocorrências Mensais - FAT'!Q46,IF(Dados!$D$70="2º IPCA",'Ocorrências Mensais - FAT'!R46,IF(Dados!$D$70="3º IPCA",'Ocorrências Mensais - FAT'!S46,IF(Dados!$D$70="4º IPCA",'Ocorrências Mensais - FAT'!T46,IF(Dados!$D$70="5º IPCA",'Ocorrências Mensais - FAT'!U46,))))))</f>
        <v>7.5</v>
      </c>
      <c r="W46" s="2"/>
    </row>
    <row r="47" spans="1:23" hidden="1" x14ac:dyDescent="0.3">
      <c r="A47" s="653">
        <v>21</v>
      </c>
      <c r="B47" s="884" t="s">
        <v>130</v>
      </c>
      <c r="C47" s="884"/>
      <c r="D47" s="884"/>
      <c r="E47" s="654" t="s">
        <v>71</v>
      </c>
      <c r="F47" s="655" t="s">
        <v>129</v>
      </c>
      <c r="G47" s="36">
        <f t="shared" si="2"/>
        <v>12</v>
      </c>
      <c r="H47" s="37">
        <f t="shared" si="0"/>
        <v>39.24</v>
      </c>
      <c r="I47" s="885" t="str">
        <f t="shared" si="4"/>
        <v>Fornecimento igual ao estimado mensalmente</v>
      </c>
      <c r="J47" s="886"/>
      <c r="K47" s="887"/>
      <c r="L47" s="774">
        <f t="shared" si="1"/>
        <v>12</v>
      </c>
      <c r="M47" s="814">
        <f>Mat!J29</f>
        <v>12</v>
      </c>
      <c r="N47" s="816" t="str">
        <f>Mat!K29</f>
        <v>Mensal</v>
      </c>
      <c r="O47" s="817">
        <f t="shared" si="3"/>
        <v>1</v>
      </c>
      <c r="P47" s="652">
        <v>3.27</v>
      </c>
      <c r="Q47" s="627">
        <f>ROUND(IF(Dados!$J$57="SIM",P47*Dados!$N$57,P47),2)</f>
        <v>3.27</v>
      </c>
      <c r="R47" s="627">
        <f>ROUND(IF(Dados!$J$58="SIM",Q47*Dados!$N$58,Q47),2)</f>
        <v>3.27</v>
      </c>
      <c r="S47" s="627">
        <f>ROUND(IF(Dados!$J$59="SIM",R47*Dados!$N$59,R47),2)</f>
        <v>3.27</v>
      </c>
      <c r="T47" s="627">
        <f>ROUND(IF(Dados!$J$60="SIM",S47*Dados!$N$60,S47),2)</f>
        <v>3.27</v>
      </c>
      <c r="U47" s="818">
        <f>ROUND(IF(Dados!$J$61="SIM",T47*Dados!$N$61,T47),2)</f>
        <v>3.27</v>
      </c>
      <c r="V47" s="3">
        <f>IF(Dados!$D$70="INICIAL",'Ocorrências Mensais - FAT'!P47,IF(Dados!$D$70="1º IPCA",'Ocorrências Mensais - FAT'!Q47,IF(Dados!$D$70="2º IPCA",'Ocorrências Mensais - FAT'!R47,IF(Dados!$D$70="3º IPCA",'Ocorrências Mensais - FAT'!S47,IF(Dados!$D$70="4º IPCA",'Ocorrências Mensais - FAT'!T47,IF(Dados!$D$70="5º IPCA",'Ocorrências Mensais - FAT'!U47,))))))</f>
        <v>3.27</v>
      </c>
      <c r="W47" s="2"/>
    </row>
    <row r="48" spans="1:23" hidden="1" x14ac:dyDescent="0.3">
      <c r="A48" s="653">
        <v>22</v>
      </c>
      <c r="B48" s="884" t="s">
        <v>131</v>
      </c>
      <c r="C48" s="884"/>
      <c r="D48" s="884"/>
      <c r="E48" s="654" t="s">
        <v>132</v>
      </c>
      <c r="F48" s="655" t="s">
        <v>133</v>
      </c>
      <c r="G48" s="36">
        <f t="shared" si="2"/>
        <v>2</v>
      </c>
      <c r="H48" s="37">
        <f t="shared" si="0"/>
        <v>15.1</v>
      </c>
      <c r="I48" s="885" t="str">
        <f t="shared" si="4"/>
        <v>Fornecimento igual ao estimado mensalmente</v>
      </c>
      <c r="J48" s="886"/>
      <c r="K48" s="887"/>
      <c r="L48" s="774">
        <f t="shared" si="1"/>
        <v>2</v>
      </c>
      <c r="M48" s="814">
        <f>Mat!J30</f>
        <v>2</v>
      </c>
      <c r="N48" s="816" t="str">
        <f>Mat!K30</f>
        <v>Mensal</v>
      </c>
      <c r="O48" s="817">
        <f t="shared" si="3"/>
        <v>1</v>
      </c>
      <c r="P48" s="652">
        <v>7.55</v>
      </c>
      <c r="Q48" s="627">
        <f>ROUND(IF(Dados!$J$57="SIM",P48*Dados!$N$57,P48),2)</f>
        <v>7.55</v>
      </c>
      <c r="R48" s="627">
        <f>ROUND(IF(Dados!$J$58="SIM",Q48*Dados!$N$58,Q48),2)</f>
        <v>7.55</v>
      </c>
      <c r="S48" s="627">
        <f>ROUND(IF(Dados!$J$59="SIM",R48*Dados!$N$59,R48),2)</f>
        <v>7.55</v>
      </c>
      <c r="T48" s="627">
        <f>ROUND(IF(Dados!$J$60="SIM",S48*Dados!$N$60,S48),2)</f>
        <v>7.55</v>
      </c>
      <c r="U48" s="818">
        <f>ROUND(IF(Dados!$J$61="SIM",T48*Dados!$N$61,T48),2)</f>
        <v>7.55</v>
      </c>
      <c r="V48" s="3">
        <f>IF(Dados!$D$70="INICIAL",'Ocorrências Mensais - FAT'!P48,IF(Dados!$D$70="1º IPCA",'Ocorrências Mensais - FAT'!Q48,IF(Dados!$D$70="2º IPCA",'Ocorrências Mensais - FAT'!R48,IF(Dados!$D$70="3º IPCA",'Ocorrências Mensais - FAT'!S48,IF(Dados!$D$70="4º IPCA",'Ocorrências Mensais - FAT'!T48,IF(Dados!$D$70="5º IPCA",'Ocorrências Mensais - FAT'!U48,))))))</f>
        <v>7.55</v>
      </c>
      <c r="W48" s="2"/>
    </row>
    <row r="49" spans="1:23" hidden="1" x14ac:dyDescent="0.3">
      <c r="A49" s="653">
        <v>23</v>
      </c>
      <c r="B49" s="884" t="s">
        <v>134</v>
      </c>
      <c r="C49" s="884"/>
      <c r="D49" s="884"/>
      <c r="E49" s="654" t="s">
        <v>71</v>
      </c>
      <c r="F49" s="655" t="s">
        <v>135</v>
      </c>
      <c r="G49" s="36">
        <f t="shared" si="2"/>
        <v>8.3333333333333329E-2</v>
      </c>
      <c r="H49" s="37">
        <f t="shared" si="0"/>
        <v>19.61</v>
      </c>
      <c r="I49" s="885" t="str">
        <f t="shared" si="4"/>
        <v>Fornecimento igual ao estimado mensalmente</v>
      </c>
      <c r="J49" s="886"/>
      <c r="K49" s="887"/>
      <c r="L49" s="774">
        <f t="shared" si="1"/>
        <v>8.3333333333333329E-2</v>
      </c>
      <c r="M49" s="814">
        <f>Mat!J31</f>
        <v>1</v>
      </c>
      <c r="N49" s="816" t="str">
        <f>Mat!K31</f>
        <v>Anual</v>
      </c>
      <c r="O49" s="817">
        <f t="shared" si="3"/>
        <v>12</v>
      </c>
      <c r="P49" s="652">
        <v>235.32</v>
      </c>
      <c r="Q49" s="627">
        <f>ROUND(IF(Dados!$J$57="SIM",P49*Dados!$N$57,P49),2)</f>
        <v>235.32</v>
      </c>
      <c r="R49" s="627">
        <f>ROUND(IF(Dados!$J$58="SIM",Q49*Dados!$N$58,Q49),2)</f>
        <v>235.32</v>
      </c>
      <c r="S49" s="627">
        <f>ROUND(IF(Dados!$J$59="SIM",R49*Dados!$N$59,R49),2)</f>
        <v>235.32</v>
      </c>
      <c r="T49" s="627">
        <f>ROUND(IF(Dados!$J$60="SIM",S49*Dados!$N$60,S49),2)</f>
        <v>235.32</v>
      </c>
      <c r="U49" s="818">
        <f>ROUND(IF(Dados!$J$61="SIM",T49*Dados!$N$61,T49),2)</f>
        <v>235.32</v>
      </c>
      <c r="V49" s="3">
        <f>IF(Dados!$D$70="INICIAL",'Ocorrências Mensais - FAT'!P49,IF(Dados!$D$70="1º IPCA",'Ocorrências Mensais - FAT'!Q49,IF(Dados!$D$70="2º IPCA",'Ocorrências Mensais - FAT'!R49,IF(Dados!$D$70="3º IPCA",'Ocorrências Mensais - FAT'!S49,IF(Dados!$D$70="4º IPCA",'Ocorrências Mensais - FAT'!T49,IF(Dados!$D$70="5º IPCA",'Ocorrências Mensais - FAT'!U49,))))))</f>
        <v>235.32</v>
      </c>
      <c r="W49" s="2"/>
    </row>
    <row r="50" spans="1:23" hidden="1" x14ac:dyDescent="0.3">
      <c r="A50" s="653">
        <v>24</v>
      </c>
      <c r="B50" s="884" t="s">
        <v>136</v>
      </c>
      <c r="C50" s="884"/>
      <c r="D50" s="884"/>
      <c r="E50" s="654" t="s">
        <v>71</v>
      </c>
      <c r="F50" s="655" t="s">
        <v>133</v>
      </c>
      <c r="G50" s="36">
        <f t="shared" si="2"/>
        <v>0.33333333333333331</v>
      </c>
      <c r="H50" s="37">
        <f t="shared" si="0"/>
        <v>3.0366666666666662</v>
      </c>
      <c r="I50" s="885" t="str">
        <f t="shared" si="4"/>
        <v>Fornecimento igual ao estimado mensalmente</v>
      </c>
      <c r="J50" s="886"/>
      <c r="K50" s="887"/>
      <c r="L50" s="774">
        <f t="shared" si="1"/>
        <v>0.33333333333333331</v>
      </c>
      <c r="M50" s="814">
        <f>Mat!J32</f>
        <v>2</v>
      </c>
      <c r="N50" s="816" t="str">
        <f>Mat!K32</f>
        <v>Semestral</v>
      </c>
      <c r="O50" s="817">
        <f t="shared" si="3"/>
        <v>6</v>
      </c>
      <c r="P50" s="652">
        <v>9.11</v>
      </c>
      <c r="Q50" s="627">
        <f>ROUND(IF(Dados!$J$57="SIM",P50*Dados!$N$57,P50),2)</f>
        <v>9.11</v>
      </c>
      <c r="R50" s="627">
        <f>ROUND(IF(Dados!$J$58="SIM",Q50*Dados!$N$58,Q50),2)</f>
        <v>9.11</v>
      </c>
      <c r="S50" s="627">
        <f>ROUND(IF(Dados!$J$59="SIM",R50*Dados!$N$59,R50),2)</f>
        <v>9.11</v>
      </c>
      <c r="T50" s="627">
        <f>ROUND(IF(Dados!$J$60="SIM",S50*Dados!$N$60,S50),2)</f>
        <v>9.11</v>
      </c>
      <c r="U50" s="818">
        <f>ROUND(IF(Dados!$J$61="SIM",T50*Dados!$N$61,T50),2)</f>
        <v>9.11</v>
      </c>
      <c r="V50" s="3">
        <f>IF(Dados!$D$70="INICIAL",'Ocorrências Mensais - FAT'!P50,IF(Dados!$D$70="1º IPCA",'Ocorrências Mensais - FAT'!Q50,IF(Dados!$D$70="2º IPCA",'Ocorrências Mensais - FAT'!R50,IF(Dados!$D$70="3º IPCA",'Ocorrências Mensais - FAT'!S50,IF(Dados!$D$70="4º IPCA",'Ocorrências Mensais - FAT'!T50,IF(Dados!$D$70="5º IPCA",'Ocorrências Mensais - FAT'!U50,))))))</f>
        <v>9.11</v>
      </c>
      <c r="W50" s="2"/>
    </row>
    <row r="51" spans="1:23" hidden="1" x14ac:dyDescent="0.3">
      <c r="A51" s="653">
        <v>25</v>
      </c>
      <c r="B51" s="884" t="s">
        <v>137</v>
      </c>
      <c r="C51" s="884"/>
      <c r="D51" s="884"/>
      <c r="E51" s="658" t="s">
        <v>138</v>
      </c>
      <c r="F51" s="655" t="s">
        <v>139</v>
      </c>
      <c r="G51" s="36">
        <f t="shared" si="2"/>
        <v>3</v>
      </c>
      <c r="H51" s="37">
        <f t="shared" si="0"/>
        <v>269.94</v>
      </c>
      <c r="I51" s="885" t="str">
        <f t="shared" si="4"/>
        <v>Fornecimento igual ao estimado mensalmente</v>
      </c>
      <c r="J51" s="886"/>
      <c r="K51" s="887"/>
      <c r="L51" s="774">
        <f t="shared" si="1"/>
        <v>3</v>
      </c>
      <c r="M51" s="814">
        <f>Mat!J33</f>
        <v>3</v>
      </c>
      <c r="N51" s="816" t="str">
        <f>Mat!K33</f>
        <v>Mensal</v>
      </c>
      <c r="O51" s="817">
        <f t="shared" si="3"/>
        <v>1</v>
      </c>
      <c r="P51" s="652">
        <v>89.98</v>
      </c>
      <c r="Q51" s="627">
        <f>ROUND(IF(Dados!$J$57="SIM",P51*Dados!$N$57,P51),2)</f>
        <v>89.98</v>
      </c>
      <c r="R51" s="627">
        <f>ROUND(IF(Dados!$J$58="SIM",Q51*Dados!$N$58,Q51),2)</f>
        <v>89.98</v>
      </c>
      <c r="S51" s="627">
        <f>ROUND(IF(Dados!$J$59="SIM",R51*Dados!$N$59,R51),2)</f>
        <v>89.98</v>
      </c>
      <c r="T51" s="627">
        <f>ROUND(IF(Dados!$J$60="SIM",S51*Dados!$N$60,S51),2)</f>
        <v>89.98</v>
      </c>
      <c r="U51" s="818">
        <f>ROUND(IF(Dados!$J$61="SIM",T51*Dados!$N$61,T51),2)</f>
        <v>89.98</v>
      </c>
      <c r="V51" s="3">
        <f>IF(Dados!$D$70="INICIAL",'Ocorrências Mensais - FAT'!P51,IF(Dados!$D$70="1º IPCA",'Ocorrências Mensais - FAT'!Q51,IF(Dados!$D$70="2º IPCA",'Ocorrências Mensais - FAT'!R51,IF(Dados!$D$70="3º IPCA",'Ocorrências Mensais - FAT'!S51,IF(Dados!$D$70="4º IPCA",'Ocorrências Mensais - FAT'!T51,IF(Dados!$D$70="5º IPCA",'Ocorrências Mensais - FAT'!U51,))))))</f>
        <v>89.98</v>
      </c>
      <c r="W51" s="2"/>
    </row>
    <row r="52" spans="1:23" hidden="1" x14ac:dyDescent="0.3">
      <c r="A52" s="653">
        <v>26</v>
      </c>
      <c r="B52" s="884" t="s">
        <v>140</v>
      </c>
      <c r="C52" s="884"/>
      <c r="D52" s="884"/>
      <c r="E52" s="654" t="s">
        <v>141</v>
      </c>
      <c r="F52" s="655" t="s">
        <v>142</v>
      </c>
      <c r="G52" s="36">
        <f t="shared" si="2"/>
        <v>25</v>
      </c>
      <c r="H52" s="37">
        <f t="shared" si="0"/>
        <v>425.5</v>
      </c>
      <c r="I52" s="885" t="str">
        <f t="shared" si="4"/>
        <v>Fornecimento igual ao estimado mensalmente</v>
      </c>
      <c r="J52" s="886"/>
      <c r="K52" s="887"/>
      <c r="L52" s="774">
        <f t="shared" si="1"/>
        <v>25</v>
      </c>
      <c r="M52" s="814">
        <f>Mat!J34</f>
        <v>25</v>
      </c>
      <c r="N52" s="816" t="str">
        <f>Mat!K34</f>
        <v>Mensal</v>
      </c>
      <c r="O52" s="817">
        <f t="shared" si="3"/>
        <v>1</v>
      </c>
      <c r="P52" s="652">
        <v>17.02</v>
      </c>
      <c r="Q52" s="627">
        <f>ROUND(IF(Dados!$J$57="SIM",P52*Dados!$N$57,P52),2)</f>
        <v>17.02</v>
      </c>
      <c r="R52" s="627">
        <f>ROUND(IF(Dados!$J$58="SIM",Q52*Dados!$N$58,Q52),2)</f>
        <v>17.02</v>
      </c>
      <c r="S52" s="627">
        <f>ROUND(IF(Dados!$J$59="SIM",R52*Dados!$N$59,R52),2)</f>
        <v>17.02</v>
      </c>
      <c r="T52" s="627">
        <f>ROUND(IF(Dados!$J$60="SIM",S52*Dados!$N$60,S52),2)</f>
        <v>17.02</v>
      </c>
      <c r="U52" s="818">
        <f>ROUND(IF(Dados!$J$61="SIM",T52*Dados!$N$61,T52),2)</f>
        <v>17.02</v>
      </c>
      <c r="V52" s="3">
        <f>IF(Dados!$D$70="INICIAL",'Ocorrências Mensais - FAT'!P52,IF(Dados!$D$70="1º IPCA",'Ocorrências Mensais - FAT'!Q52,IF(Dados!$D$70="2º IPCA",'Ocorrências Mensais - FAT'!R52,IF(Dados!$D$70="3º IPCA",'Ocorrências Mensais - FAT'!S52,IF(Dados!$D$70="4º IPCA",'Ocorrências Mensais - FAT'!T52,IF(Dados!$D$70="5º IPCA",'Ocorrências Mensais - FAT'!U52,))))))</f>
        <v>17.02</v>
      </c>
      <c r="W52" s="2"/>
    </row>
    <row r="53" spans="1:23" hidden="1" x14ac:dyDescent="0.3">
      <c r="A53" s="653">
        <v>27</v>
      </c>
      <c r="B53" s="884" t="s">
        <v>143</v>
      </c>
      <c r="C53" s="884"/>
      <c r="D53" s="884"/>
      <c r="E53" s="654" t="s">
        <v>71</v>
      </c>
      <c r="F53" s="655" t="s">
        <v>144</v>
      </c>
      <c r="G53" s="36">
        <f t="shared" si="2"/>
        <v>25</v>
      </c>
      <c r="H53" s="37">
        <f t="shared" si="0"/>
        <v>61.5</v>
      </c>
      <c r="I53" s="885" t="str">
        <f t="shared" si="4"/>
        <v>Fornecimento igual ao estimado mensalmente</v>
      </c>
      <c r="J53" s="886"/>
      <c r="K53" s="887"/>
      <c r="L53" s="774">
        <f t="shared" si="1"/>
        <v>25</v>
      </c>
      <c r="M53" s="814">
        <f>Mat!J35</f>
        <v>25</v>
      </c>
      <c r="N53" s="816" t="str">
        <f>Mat!K35</f>
        <v>Mensal</v>
      </c>
      <c r="O53" s="817">
        <f t="shared" si="3"/>
        <v>1</v>
      </c>
      <c r="P53" s="652">
        <v>2.46</v>
      </c>
      <c r="Q53" s="627">
        <f>ROUND(IF(Dados!$J$57="SIM",P53*Dados!$N$57,P53),2)</f>
        <v>2.46</v>
      </c>
      <c r="R53" s="627">
        <f>ROUND(IF(Dados!$J$58="SIM",Q53*Dados!$N$58,Q53),2)</f>
        <v>2.46</v>
      </c>
      <c r="S53" s="627">
        <f>ROUND(IF(Dados!$J$59="SIM",R53*Dados!$N$59,R53),2)</f>
        <v>2.46</v>
      </c>
      <c r="T53" s="627">
        <f>ROUND(IF(Dados!$J$60="SIM",S53*Dados!$N$60,S53),2)</f>
        <v>2.46</v>
      </c>
      <c r="U53" s="818">
        <f>ROUND(IF(Dados!$J$61="SIM",T53*Dados!$N$61,T53),2)</f>
        <v>2.46</v>
      </c>
      <c r="V53" s="3">
        <f>IF(Dados!$D$70="INICIAL",'Ocorrências Mensais - FAT'!P53,IF(Dados!$D$70="1º IPCA",'Ocorrências Mensais - FAT'!Q53,IF(Dados!$D$70="2º IPCA",'Ocorrências Mensais - FAT'!R53,IF(Dados!$D$70="3º IPCA",'Ocorrências Mensais - FAT'!S53,IF(Dados!$D$70="4º IPCA",'Ocorrências Mensais - FAT'!T53,IF(Dados!$D$70="5º IPCA",'Ocorrências Mensais - FAT'!U53,))))))</f>
        <v>2.46</v>
      </c>
      <c r="W53" s="2"/>
    </row>
    <row r="54" spans="1:23" hidden="1" x14ac:dyDescent="0.3">
      <c r="A54" s="653">
        <v>28</v>
      </c>
      <c r="B54" s="884" t="s">
        <v>145</v>
      </c>
      <c r="C54" s="884"/>
      <c r="D54" s="884"/>
      <c r="E54" s="654" t="s">
        <v>71</v>
      </c>
      <c r="F54" s="655" t="s">
        <v>146</v>
      </c>
      <c r="G54" s="36">
        <f t="shared" si="2"/>
        <v>0.33333333333333331</v>
      </c>
      <c r="H54" s="37">
        <f t="shared" si="0"/>
        <v>2.9566666666666661</v>
      </c>
      <c r="I54" s="885" t="str">
        <f t="shared" si="4"/>
        <v>Fornecimento igual ao estimado mensalmente</v>
      </c>
      <c r="J54" s="886"/>
      <c r="K54" s="887"/>
      <c r="L54" s="774">
        <f t="shared" si="1"/>
        <v>0.33333333333333331</v>
      </c>
      <c r="M54" s="814">
        <f>Mat!J36</f>
        <v>2</v>
      </c>
      <c r="N54" s="816" t="str">
        <f>Mat!K36</f>
        <v>Semestral</v>
      </c>
      <c r="O54" s="817">
        <f t="shared" si="3"/>
        <v>6</v>
      </c>
      <c r="P54" s="652">
        <v>8.8699999999999992</v>
      </c>
      <c r="Q54" s="627">
        <f>ROUND(IF(Dados!$J$57="SIM",P54*Dados!$N$57,P54),2)</f>
        <v>8.8699999999999992</v>
      </c>
      <c r="R54" s="627">
        <f>ROUND(IF(Dados!$J$58="SIM",Q54*Dados!$N$58,Q54),2)</f>
        <v>8.8699999999999992</v>
      </c>
      <c r="S54" s="627">
        <f>ROUND(IF(Dados!$J$59="SIM",R54*Dados!$N$59,R54),2)</f>
        <v>8.8699999999999992</v>
      </c>
      <c r="T54" s="627">
        <f>ROUND(IF(Dados!$J$60="SIM",S54*Dados!$N$60,S54),2)</f>
        <v>8.8699999999999992</v>
      </c>
      <c r="U54" s="818">
        <f>ROUND(IF(Dados!$J$61="SIM",T54*Dados!$N$61,T54),2)</f>
        <v>8.8699999999999992</v>
      </c>
      <c r="V54" s="3">
        <f>IF(Dados!$D$70="INICIAL",'Ocorrências Mensais - FAT'!P54,IF(Dados!$D$70="1º IPCA",'Ocorrências Mensais - FAT'!Q54,IF(Dados!$D$70="2º IPCA",'Ocorrências Mensais - FAT'!R54,IF(Dados!$D$70="3º IPCA",'Ocorrências Mensais - FAT'!S54,IF(Dados!$D$70="4º IPCA",'Ocorrências Mensais - FAT'!T54,IF(Dados!$D$70="5º IPCA",'Ocorrências Mensais - FAT'!U54,))))))</f>
        <v>8.8699999999999992</v>
      </c>
      <c r="W54" s="2"/>
    </row>
    <row r="55" spans="1:23" hidden="1" x14ac:dyDescent="0.3">
      <c r="A55" s="653">
        <v>29</v>
      </c>
      <c r="B55" s="884" t="s">
        <v>147</v>
      </c>
      <c r="C55" s="884"/>
      <c r="D55" s="884"/>
      <c r="E55" s="654" t="s">
        <v>71</v>
      </c>
      <c r="F55" s="655" t="s">
        <v>146</v>
      </c>
      <c r="G55" s="36">
        <f t="shared" si="2"/>
        <v>0.33333333333333331</v>
      </c>
      <c r="H55" s="37">
        <f t="shared" si="0"/>
        <v>5.8233333333333324</v>
      </c>
      <c r="I55" s="885" t="str">
        <f t="shared" si="4"/>
        <v>Fornecimento igual ao estimado mensalmente</v>
      </c>
      <c r="J55" s="886"/>
      <c r="K55" s="887"/>
      <c r="L55" s="774">
        <f t="shared" si="1"/>
        <v>0.33333333333333331</v>
      </c>
      <c r="M55" s="814">
        <f>Mat!J37</f>
        <v>2</v>
      </c>
      <c r="N55" s="816" t="str">
        <f>Mat!K37</f>
        <v>Semestral</v>
      </c>
      <c r="O55" s="817">
        <f t="shared" si="3"/>
        <v>6</v>
      </c>
      <c r="P55" s="652">
        <v>17.47</v>
      </c>
      <c r="Q55" s="627">
        <f>ROUND(IF(Dados!$J$57="SIM",P55*Dados!$N$57,P55),2)</f>
        <v>17.47</v>
      </c>
      <c r="R55" s="627">
        <f>ROUND(IF(Dados!$J$58="SIM",Q55*Dados!$N$58,Q55),2)</f>
        <v>17.47</v>
      </c>
      <c r="S55" s="627">
        <f>ROUND(IF(Dados!$J$59="SIM",R55*Dados!$N$59,R55),2)</f>
        <v>17.47</v>
      </c>
      <c r="T55" s="627">
        <f>ROUND(IF(Dados!$J$60="SIM",S55*Dados!$N$60,S55),2)</f>
        <v>17.47</v>
      </c>
      <c r="U55" s="818">
        <f>ROUND(IF(Dados!$J$61="SIM",T55*Dados!$N$61,T55),2)</f>
        <v>17.47</v>
      </c>
      <c r="V55" s="3">
        <f>IF(Dados!$D$70="INICIAL",'Ocorrências Mensais - FAT'!P55,IF(Dados!$D$70="1º IPCA",'Ocorrências Mensais - FAT'!Q55,IF(Dados!$D$70="2º IPCA",'Ocorrências Mensais - FAT'!R55,IF(Dados!$D$70="3º IPCA",'Ocorrências Mensais - FAT'!S55,IF(Dados!$D$70="4º IPCA",'Ocorrências Mensais - FAT'!T55,IF(Dados!$D$70="5º IPCA",'Ocorrências Mensais - FAT'!U55,))))))</f>
        <v>17.47</v>
      </c>
      <c r="W55" s="2"/>
    </row>
    <row r="56" spans="1:23" hidden="1" x14ac:dyDescent="0.3">
      <c r="A56" s="653">
        <v>30</v>
      </c>
      <c r="B56" s="884" t="s">
        <v>148</v>
      </c>
      <c r="C56" s="884"/>
      <c r="D56" s="884"/>
      <c r="E56" s="654" t="s">
        <v>71</v>
      </c>
      <c r="F56" s="655" t="s">
        <v>149</v>
      </c>
      <c r="G56" s="36">
        <f t="shared" si="2"/>
        <v>2</v>
      </c>
      <c r="H56" s="37">
        <f t="shared" si="0"/>
        <v>5.56</v>
      </c>
      <c r="I56" s="885" t="str">
        <f t="shared" si="4"/>
        <v>Fornecimento igual ao estimado mensalmente</v>
      </c>
      <c r="J56" s="886"/>
      <c r="K56" s="887"/>
      <c r="L56" s="774">
        <f t="shared" si="1"/>
        <v>2</v>
      </c>
      <c r="M56" s="814">
        <f>Mat!J38</f>
        <v>2</v>
      </c>
      <c r="N56" s="816" t="str">
        <f>Mat!K38</f>
        <v>Mensal</v>
      </c>
      <c r="O56" s="817">
        <f t="shared" si="3"/>
        <v>1</v>
      </c>
      <c r="P56" s="652">
        <v>2.78</v>
      </c>
      <c r="Q56" s="627">
        <f>ROUND(IF(Dados!$J$57="SIM",P56*Dados!$N$57,P56),2)</f>
        <v>2.78</v>
      </c>
      <c r="R56" s="627">
        <f>ROUND(IF(Dados!$J$58="SIM",Q56*Dados!$N$58,Q56),2)</f>
        <v>2.78</v>
      </c>
      <c r="S56" s="627">
        <f>ROUND(IF(Dados!$J$59="SIM",R56*Dados!$N$59,R56),2)</f>
        <v>2.78</v>
      </c>
      <c r="T56" s="627">
        <f>ROUND(IF(Dados!$J$60="SIM",S56*Dados!$N$60,S56),2)</f>
        <v>2.78</v>
      </c>
      <c r="U56" s="818">
        <f>ROUND(IF(Dados!$J$61="SIM",T56*Dados!$N$61,T56),2)</f>
        <v>2.78</v>
      </c>
      <c r="V56" s="3">
        <f>IF(Dados!$D$70="INICIAL",'Ocorrências Mensais - FAT'!P56,IF(Dados!$D$70="1º IPCA",'Ocorrências Mensais - FAT'!Q56,IF(Dados!$D$70="2º IPCA",'Ocorrências Mensais - FAT'!R56,IF(Dados!$D$70="3º IPCA",'Ocorrências Mensais - FAT'!S56,IF(Dados!$D$70="4º IPCA",'Ocorrências Mensais - FAT'!T56,IF(Dados!$D$70="5º IPCA",'Ocorrências Mensais - FAT'!U56,))))))</f>
        <v>2.78</v>
      </c>
      <c r="W56" s="2"/>
    </row>
    <row r="57" spans="1:23" hidden="1" x14ac:dyDescent="0.3">
      <c r="A57" s="653">
        <v>31</v>
      </c>
      <c r="B57" s="884" t="s">
        <v>150</v>
      </c>
      <c r="C57" s="884"/>
      <c r="D57" s="884"/>
      <c r="E57" s="654" t="s">
        <v>71</v>
      </c>
      <c r="F57" s="655" t="s">
        <v>151</v>
      </c>
      <c r="G57" s="36">
        <f t="shared" si="2"/>
        <v>4</v>
      </c>
      <c r="H57" s="37">
        <f t="shared" si="0"/>
        <v>59.4</v>
      </c>
      <c r="I57" s="885" t="str">
        <f t="shared" si="4"/>
        <v>Fornecimento igual ao estimado mensalmente</v>
      </c>
      <c r="J57" s="886"/>
      <c r="K57" s="887"/>
      <c r="L57" s="774">
        <f t="shared" si="1"/>
        <v>4</v>
      </c>
      <c r="M57" s="814">
        <f>Mat!J39</f>
        <v>4</v>
      </c>
      <c r="N57" s="816" t="str">
        <f>Mat!K39</f>
        <v>Mensal</v>
      </c>
      <c r="O57" s="817">
        <f t="shared" si="3"/>
        <v>1</v>
      </c>
      <c r="P57" s="652">
        <v>14.85</v>
      </c>
      <c r="Q57" s="627">
        <f>ROUND(IF(Dados!$J$57="SIM",P57*Dados!$N$57,P57),2)</f>
        <v>14.85</v>
      </c>
      <c r="R57" s="627">
        <f>ROUND(IF(Dados!$J$58="SIM",Q57*Dados!$N$58,Q57),2)</f>
        <v>14.85</v>
      </c>
      <c r="S57" s="627">
        <f>ROUND(IF(Dados!$J$59="SIM",R57*Dados!$N$59,R57),2)</f>
        <v>14.85</v>
      </c>
      <c r="T57" s="627">
        <f>ROUND(IF(Dados!$J$60="SIM",S57*Dados!$N$60,S57),2)</f>
        <v>14.85</v>
      </c>
      <c r="U57" s="818">
        <f>ROUND(IF(Dados!$J$61="SIM",T57*Dados!$N$61,T57),2)</f>
        <v>14.85</v>
      </c>
      <c r="V57" s="3">
        <f>IF(Dados!$D$70="INICIAL",'Ocorrências Mensais - FAT'!P57,IF(Dados!$D$70="1º IPCA",'Ocorrências Mensais - FAT'!Q57,IF(Dados!$D$70="2º IPCA",'Ocorrências Mensais - FAT'!R57,IF(Dados!$D$70="3º IPCA",'Ocorrências Mensais - FAT'!S57,IF(Dados!$D$70="4º IPCA",'Ocorrências Mensais - FAT'!T57,IF(Dados!$D$70="5º IPCA",'Ocorrências Mensais - FAT'!U57,))))))</f>
        <v>14.85</v>
      </c>
      <c r="W57" s="2"/>
    </row>
    <row r="58" spans="1:23" hidden="1" x14ac:dyDescent="0.3">
      <c r="A58" s="653">
        <v>32</v>
      </c>
      <c r="B58" s="884" t="s">
        <v>152</v>
      </c>
      <c r="C58" s="884"/>
      <c r="D58" s="884"/>
      <c r="E58" s="654" t="s">
        <v>90</v>
      </c>
      <c r="F58" s="655" t="s">
        <v>153</v>
      </c>
      <c r="G58" s="36">
        <f t="shared" si="2"/>
        <v>1.5</v>
      </c>
      <c r="H58" s="37">
        <f t="shared" si="0"/>
        <v>31.92</v>
      </c>
      <c r="I58" s="885" t="str">
        <f t="shared" si="4"/>
        <v>Fornecimento igual ao estimado mensalmente</v>
      </c>
      <c r="J58" s="886"/>
      <c r="K58" s="887"/>
      <c r="L58" s="774">
        <f t="shared" si="1"/>
        <v>1.5</v>
      </c>
      <c r="M58" s="814">
        <f>Mat!J40</f>
        <v>3</v>
      </c>
      <c r="N58" s="816" t="str">
        <f>Mat!K40</f>
        <v>Bimestral</v>
      </c>
      <c r="O58" s="817">
        <f t="shared" si="3"/>
        <v>2</v>
      </c>
      <c r="P58" s="652">
        <v>21.28</v>
      </c>
      <c r="Q58" s="627">
        <f>ROUND(IF(Dados!$J$57="SIM",P58*Dados!$N$57,P58),2)</f>
        <v>21.28</v>
      </c>
      <c r="R58" s="627">
        <f>ROUND(IF(Dados!$J$58="SIM",Q58*Dados!$N$58,Q58),2)</f>
        <v>21.28</v>
      </c>
      <c r="S58" s="627">
        <f>ROUND(IF(Dados!$J$59="SIM",R58*Dados!$N$59,R58),2)</f>
        <v>21.28</v>
      </c>
      <c r="T58" s="627">
        <f>ROUND(IF(Dados!$J$60="SIM",S58*Dados!$N$60,S58),2)</f>
        <v>21.28</v>
      </c>
      <c r="U58" s="818">
        <f>ROUND(IF(Dados!$J$61="SIM",T58*Dados!$N$61,T58),2)</f>
        <v>21.28</v>
      </c>
      <c r="V58" s="3">
        <f>IF(Dados!$D$70="INICIAL",'Ocorrências Mensais - FAT'!P58,IF(Dados!$D$70="1º IPCA",'Ocorrências Mensais - FAT'!Q58,IF(Dados!$D$70="2º IPCA",'Ocorrências Mensais - FAT'!R58,IF(Dados!$D$70="3º IPCA",'Ocorrências Mensais - FAT'!S58,IF(Dados!$D$70="4º IPCA",'Ocorrências Mensais - FAT'!T58,IF(Dados!$D$70="5º IPCA",'Ocorrências Mensais - FAT'!U58,))))))</f>
        <v>21.28</v>
      </c>
      <c r="W58" s="2"/>
    </row>
    <row r="59" spans="1:23" hidden="1" x14ac:dyDescent="0.3">
      <c r="A59" s="653">
        <v>33</v>
      </c>
      <c r="B59" s="884" t="s">
        <v>154</v>
      </c>
      <c r="C59" s="884"/>
      <c r="D59" s="884"/>
      <c r="E59" s="654" t="s">
        <v>71</v>
      </c>
      <c r="F59" s="655" t="s">
        <v>155</v>
      </c>
      <c r="G59" s="36">
        <f t="shared" si="2"/>
        <v>15</v>
      </c>
      <c r="H59" s="37">
        <f t="shared" si="0"/>
        <v>115.05</v>
      </c>
      <c r="I59" s="885" t="str">
        <f t="shared" si="4"/>
        <v>Fornecimento igual ao estimado mensalmente</v>
      </c>
      <c r="J59" s="886"/>
      <c r="K59" s="887"/>
      <c r="L59" s="774">
        <f t="shared" si="1"/>
        <v>15</v>
      </c>
      <c r="M59" s="814">
        <f>Mat!J41</f>
        <v>15</v>
      </c>
      <c r="N59" s="816" t="str">
        <f>Mat!K41</f>
        <v>Mensal</v>
      </c>
      <c r="O59" s="817">
        <f t="shared" si="3"/>
        <v>1</v>
      </c>
      <c r="P59" s="652">
        <v>7.67</v>
      </c>
      <c r="Q59" s="627">
        <f>ROUND(IF(Dados!$J$57="SIM",P59*Dados!$N$57,P59),2)</f>
        <v>7.67</v>
      </c>
      <c r="R59" s="627">
        <f>ROUND(IF(Dados!$J$58="SIM",Q59*Dados!$N$58,Q59),2)</f>
        <v>7.67</v>
      </c>
      <c r="S59" s="627">
        <f>ROUND(IF(Dados!$J$59="SIM",R59*Dados!$N$59,R59),2)</f>
        <v>7.67</v>
      </c>
      <c r="T59" s="627">
        <f>ROUND(IF(Dados!$J$60="SIM",S59*Dados!$N$60,S59),2)</f>
        <v>7.67</v>
      </c>
      <c r="U59" s="818">
        <f>ROUND(IF(Dados!$J$61="SIM",T59*Dados!$N$61,T59),2)</f>
        <v>7.67</v>
      </c>
      <c r="V59" s="3">
        <f>IF(Dados!$D$70="INICIAL",'Ocorrências Mensais - FAT'!P59,IF(Dados!$D$70="1º IPCA",'Ocorrências Mensais - FAT'!Q59,IF(Dados!$D$70="2º IPCA",'Ocorrências Mensais - FAT'!R59,IF(Dados!$D$70="3º IPCA",'Ocorrências Mensais - FAT'!S59,IF(Dados!$D$70="4º IPCA",'Ocorrências Mensais - FAT'!T59,IF(Dados!$D$70="5º IPCA",'Ocorrências Mensais - FAT'!U59,))))))</f>
        <v>7.67</v>
      </c>
      <c r="W59" s="2"/>
    </row>
    <row r="60" spans="1:23" hidden="1" x14ac:dyDescent="0.3">
      <c r="A60" s="653">
        <v>34</v>
      </c>
      <c r="B60" s="884" t="s">
        <v>156</v>
      </c>
      <c r="C60" s="884"/>
      <c r="D60" s="884"/>
      <c r="E60" s="654" t="s">
        <v>157</v>
      </c>
      <c r="F60" s="655" t="s">
        <v>158</v>
      </c>
      <c r="G60" s="36">
        <f t="shared" si="2"/>
        <v>3</v>
      </c>
      <c r="H60" s="37">
        <f t="shared" si="0"/>
        <v>198.89999999999998</v>
      </c>
      <c r="I60" s="885" t="str">
        <f t="shared" si="4"/>
        <v>Fornecimento igual ao estimado mensalmente</v>
      </c>
      <c r="J60" s="886"/>
      <c r="K60" s="887"/>
      <c r="L60" s="774">
        <f t="shared" si="1"/>
        <v>3</v>
      </c>
      <c r="M60" s="814">
        <f>Mat!J42</f>
        <v>3</v>
      </c>
      <c r="N60" s="816" t="str">
        <f>Mat!K42</f>
        <v>Mensal</v>
      </c>
      <c r="O60" s="817">
        <f t="shared" si="3"/>
        <v>1</v>
      </c>
      <c r="P60" s="652">
        <v>66.3</v>
      </c>
      <c r="Q60" s="627">
        <f>ROUND(IF(Dados!$J$57="SIM",P60*Dados!$N$57,P60),2)</f>
        <v>66.3</v>
      </c>
      <c r="R60" s="627">
        <f>ROUND(IF(Dados!$J$58="SIM",Q60*Dados!$N$58,Q60),2)</f>
        <v>66.3</v>
      </c>
      <c r="S60" s="627">
        <f>ROUND(IF(Dados!$J$59="SIM",R60*Dados!$N$59,R60),2)</f>
        <v>66.3</v>
      </c>
      <c r="T60" s="627">
        <f>ROUND(IF(Dados!$J$60="SIM",S60*Dados!$N$60,S60),2)</f>
        <v>66.3</v>
      </c>
      <c r="U60" s="818">
        <f>ROUND(IF(Dados!$J$61="SIM",T60*Dados!$N$61,T60),2)</f>
        <v>66.3</v>
      </c>
      <c r="V60" s="3">
        <f>IF(Dados!$D$70="INICIAL",'Ocorrências Mensais - FAT'!P60,IF(Dados!$D$70="1º IPCA",'Ocorrências Mensais - FAT'!Q60,IF(Dados!$D$70="2º IPCA",'Ocorrências Mensais - FAT'!R60,IF(Dados!$D$70="3º IPCA",'Ocorrências Mensais - FAT'!S60,IF(Dados!$D$70="4º IPCA",'Ocorrências Mensais - FAT'!T60,IF(Dados!$D$70="5º IPCA",'Ocorrências Mensais - FAT'!U60,))))))</f>
        <v>66.3</v>
      </c>
      <c r="W60" s="2"/>
    </row>
    <row r="61" spans="1:23" hidden="1" x14ac:dyDescent="0.3">
      <c r="A61" s="653">
        <v>35</v>
      </c>
      <c r="B61" s="884" t="s">
        <v>159</v>
      </c>
      <c r="C61" s="884"/>
      <c r="D61" s="884"/>
      <c r="E61" s="654" t="s">
        <v>157</v>
      </c>
      <c r="F61" s="655" t="s">
        <v>160</v>
      </c>
      <c r="G61" s="36">
        <f t="shared" si="2"/>
        <v>3</v>
      </c>
      <c r="H61" s="37">
        <f t="shared" si="0"/>
        <v>42.150000000000006</v>
      </c>
      <c r="I61" s="885" t="str">
        <f t="shared" si="4"/>
        <v>Fornecimento igual ao estimado mensalmente</v>
      </c>
      <c r="J61" s="886"/>
      <c r="K61" s="887"/>
      <c r="L61" s="774">
        <f t="shared" si="1"/>
        <v>3</v>
      </c>
      <c r="M61" s="814">
        <f>Mat!J43</f>
        <v>3</v>
      </c>
      <c r="N61" s="816" t="str">
        <f>Mat!K43</f>
        <v>Mensal</v>
      </c>
      <c r="O61" s="817">
        <f t="shared" si="3"/>
        <v>1</v>
      </c>
      <c r="P61" s="652">
        <v>14.05</v>
      </c>
      <c r="Q61" s="627">
        <f>ROUND(IF(Dados!$J$57="SIM",P61*Dados!$N$57,P61),2)</f>
        <v>14.05</v>
      </c>
      <c r="R61" s="627">
        <f>ROUND(IF(Dados!$J$58="SIM",Q61*Dados!$N$58,Q61),2)</f>
        <v>14.05</v>
      </c>
      <c r="S61" s="627">
        <f>ROUND(IF(Dados!$J$59="SIM",R61*Dados!$N$59,R61),2)</f>
        <v>14.05</v>
      </c>
      <c r="T61" s="627">
        <f>ROUND(IF(Dados!$J$60="SIM",S61*Dados!$N$60,S61),2)</f>
        <v>14.05</v>
      </c>
      <c r="U61" s="818">
        <f>ROUND(IF(Dados!$J$61="SIM",T61*Dados!$N$61,T61),2)</f>
        <v>14.05</v>
      </c>
      <c r="V61" s="3">
        <f>IF(Dados!$D$70="INICIAL",'Ocorrências Mensais - FAT'!P61,IF(Dados!$D$70="1º IPCA",'Ocorrências Mensais - FAT'!Q61,IF(Dados!$D$70="2º IPCA",'Ocorrências Mensais - FAT'!R61,IF(Dados!$D$70="3º IPCA",'Ocorrências Mensais - FAT'!S61,IF(Dados!$D$70="4º IPCA",'Ocorrências Mensais - FAT'!T61,IF(Dados!$D$70="5º IPCA",'Ocorrências Mensais - FAT'!U61,))))))</f>
        <v>14.05</v>
      </c>
      <c r="W61" s="2"/>
    </row>
    <row r="62" spans="1:23" hidden="1" x14ac:dyDescent="0.3">
      <c r="A62" s="653">
        <v>36</v>
      </c>
      <c r="B62" s="884" t="s">
        <v>161</v>
      </c>
      <c r="C62" s="884"/>
      <c r="D62" s="884"/>
      <c r="E62" s="654" t="s">
        <v>71</v>
      </c>
      <c r="F62" s="655" t="s">
        <v>162</v>
      </c>
      <c r="G62" s="36">
        <f t="shared" si="2"/>
        <v>0.16666666666666666</v>
      </c>
      <c r="H62" s="37">
        <f t="shared" si="0"/>
        <v>3.1833333333333336</v>
      </c>
      <c r="I62" s="885" t="str">
        <f t="shared" si="4"/>
        <v>Fornecimento igual ao estimado mensalmente</v>
      </c>
      <c r="J62" s="886"/>
      <c r="K62" s="887"/>
      <c r="L62" s="774">
        <f t="shared" si="1"/>
        <v>0.16666666666666666</v>
      </c>
      <c r="M62" s="814">
        <f>Mat!J44</f>
        <v>1</v>
      </c>
      <c r="N62" s="816" t="str">
        <f>Mat!K44</f>
        <v>Semestral</v>
      </c>
      <c r="O62" s="817">
        <f t="shared" si="3"/>
        <v>6</v>
      </c>
      <c r="P62" s="652">
        <v>19.100000000000001</v>
      </c>
      <c r="Q62" s="627">
        <f>ROUND(IF(Dados!$J$57="SIM",P62*Dados!$N$57,P62),2)</f>
        <v>19.100000000000001</v>
      </c>
      <c r="R62" s="627">
        <f>ROUND(IF(Dados!$J$58="SIM",Q62*Dados!$N$58,Q62),2)</f>
        <v>19.100000000000001</v>
      </c>
      <c r="S62" s="627">
        <f>ROUND(IF(Dados!$J$59="SIM",R62*Dados!$N$59,R62),2)</f>
        <v>19.100000000000001</v>
      </c>
      <c r="T62" s="627">
        <f>ROUND(IF(Dados!$J$60="SIM",S62*Dados!$N$60,S62),2)</f>
        <v>19.100000000000001</v>
      </c>
      <c r="U62" s="818">
        <f>ROUND(IF(Dados!$J$61="SIM",T62*Dados!$N$61,T62),2)</f>
        <v>19.100000000000001</v>
      </c>
      <c r="V62" s="3">
        <f>IF(Dados!$D$70="INICIAL",'Ocorrências Mensais - FAT'!P62,IF(Dados!$D$70="1º IPCA",'Ocorrências Mensais - FAT'!Q62,IF(Dados!$D$70="2º IPCA",'Ocorrências Mensais - FAT'!R62,IF(Dados!$D$70="3º IPCA",'Ocorrências Mensais - FAT'!S62,IF(Dados!$D$70="4º IPCA",'Ocorrências Mensais - FAT'!T62,IF(Dados!$D$70="5º IPCA",'Ocorrências Mensais - FAT'!U62,))))))</f>
        <v>19.100000000000001</v>
      </c>
      <c r="W62" s="2"/>
    </row>
    <row r="63" spans="1:23" hidden="1" x14ac:dyDescent="0.3">
      <c r="A63" s="653">
        <v>37</v>
      </c>
      <c r="B63" s="884" t="s">
        <v>163</v>
      </c>
      <c r="C63" s="884"/>
      <c r="D63" s="884"/>
      <c r="E63" s="654" t="s">
        <v>71</v>
      </c>
      <c r="F63" s="655" t="s">
        <v>146</v>
      </c>
      <c r="G63" s="36">
        <f t="shared" si="2"/>
        <v>0.33333333333333331</v>
      </c>
      <c r="H63" s="37">
        <f t="shared" si="0"/>
        <v>3.9666666666666668</v>
      </c>
      <c r="I63" s="885" t="str">
        <f t="shared" si="4"/>
        <v>Fornecimento igual ao estimado mensalmente</v>
      </c>
      <c r="J63" s="886"/>
      <c r="K63" s="887"/>
      <c r="L63" s="774">
        <f t="shared" si="1"/>
        <v>0.33333333333333331</v>
      </c>
      <c r="M63" s="814">
        <f>Mat!J45</f>
        <v>2</v>
      </c>
      <c r="N63" s="816" t="str">
        <f>Mat!K45</f>
        <v>Semestral</v>
      </c>
      <c r="O63" s="817">
        <f t="shared" si="3"/>
        <v>6</v>
      </c>
      <c r="P63" s="652">
        <v>11.9</v>
      </c>
      <c r="Q63" s="627">
        <f>ROUND(IF(Dados!$J$57="SIM",P63*Dados!$N$57,P63),2)</f>
        <v>11.9</v>
      </c>
      <c r="R63" s="627">
        <f>ROUND(IF(Dados!$J$58="SIM",Q63*Dados!$N$58,Q63),2)</f>
        <v>11.9</v>
      </c>
      <c r="S63" s="627">
        <f>ROUND(IF(Dados!$J$59="SIM",R63*Dados!$N$59,R63),2)</f>
        <v>11.9</v>
      </c>
      <c r="T63" s="627">
        <f>ROUND(IF(Dados!$J$60="SIM",S63*Dados!$N$60,S63),2)</f>
        <v>11.9</v>
      </c>
      <c r="U63" s="818">
        <f>ROUND(IF(Dados!$J$61="SIM",T63*Dados!$N$61,T63),2)</f>
        <v>11.9</v>
      </c>
      <c r="V63" s="3">
        <f>IF(Dados!$D$70="INICIAL",'Ocorrências Mensais - FAT'!P63,IF(Dados!$D$70="1º IPCA",'Ocorrências Mensais - FAT'!Q63,IF(Dados!$D$70="2º IPCA",'Ocorrências Mensais - FAT'!R63,IF(Dados!$D$70="3º IPCA",'Ocorrências Mensais - FAT'!S63,IF(Dados!$D$70="4º IPCA",'Ocorrências Mensais - FAT'!T63,IF(Dados!$D$70="5º IPCA",'Ocorrências Mensais - FAT'!U63,))))))</f>
        <v>11.9</v>
      </c>
      <c r="W63" s="2"/>
    </row>
    <row r="64" spans="1:23" hidden="1" x14ac:dyDescent="0.3">
      <c r="A64" s="653">
        <v>38</v>
      </c>
      <c r="B64" s="884" t="s">
        <v>164</v>
      </c>
      <c r="C64" s="884"/>
      <c r="D64" s="884"/>
      <c r="E64" s="654" t="s">
        <v>71</v>
      </c>
      <c r="F64" s="655" t="s">
        <v>165</v>
      </c>
      <c r="G64" s="36">
        <f t="shared" si="2"/>
        <v>0.33333333333333331</v>
      </c>
      <c r="H64" s="37">
        <f t="shared" si="0"/>
        <v>2.2766666666666664</v>
      </c>
      <c r="I64" s="885" t="str">
        <f t="shared" si="4"/>
        <v>Fornecimento igual ao estimado mensalmente</v>
      </c>
      <c r="J64" s="886"/>
      <c r="K64" s="887"/>
      <c r="L64" s="774">
        <f t="shared" si="1"/>
        <v>0.33333333333333331</v>
      </c>
      <c r="M64" s="814">
        <f>Mat!J46</f>
        <v>2</v>
      </c>
      <c r="N64" s="816" t="str">
        <f>Mat!K46</f>
        <v>Semestral</v>
      </c>
      <c r="O64" s="817">
        <f t="shared" si="3"/>
        <v>6</v>
      </c>
      <c r="P64" s="652">
        <v>6.83</v>
      </c>
      <c r="Q64" s="627">
        <f>ROUND(IF(Dados!$J$57="SIM",P64*Dados!$N$57,P64),2)</f>
        <v>6.83</v>
      </c>
      <c r="R64" s="627">
        <f>ROUND(IF(Dados!$J$58="SIM",Q64*Dados!$N$58,Q64),2)</f>
        <v>6.83</v>
      </c>
      <c r="S64" s="627">
        <f>ROUND(IF(Dados!$J$59="SIM",R64*Dados!$N$59,R64),2)</f>
        <v>6.83</v>
      </c>
      <c r="T64" s="627">
        <f>ROUND(IF(Dados!$J$60="SIM",S64*Dados!$N$60,S64),2)</f>
        <v>6.83</v>
      </c>
      <c r="U64" s="818">
        <f>ROUND(IF(Dados!$J$61="SIM",T64*Dados!$N$61,T64),2)</f>
        <v>6.83</v>
      </c>
      <c r="V64" s="3">
        <f>IF(Dados!$D$70="INICIAL",'Ocorrências Mensais - FAT'!P64,IF(Dados!$D$70="1º IPCA",'Ocorrências Mensais - FAT'!Q64,IF(Dados!$D$70="2º IPCA",'Ocorrências Mensais - FAT'!R64,IF(Dados!$D$70="3º IPCA",'Ocorrências Mensais - FAT'!S64,IF(Dados!$D$70="4º IPCA",'Ocorrências Mensais - FAT'!T64,IF(Dados!$D$70="5º IPCA",'Ocorrências Mensais - FAT'!U64,))))))</f>
        <v>6.83</v>
      </c>
      <c r="W64" s="2"/>
    </row>
    <row r="65" spans="1:23" ht="15" hidden="1" thickBot="1" x14ac:dyDescent="0.35">
      <c r="A65" s="659">
        <v>39</v>
      </c>
      <c r="B65" s="899" t="s">
        <v>166</v>
      </c>
      <c r="C65" s="899"/>
      <c r="D65" s="899"/>
      <c r="E65" s="660" t="s">
        <v>71</v>
      </c>
      <c r="F65" s="661" t="s">
        <v>167</v>
      </c>
      <c r="G65" s="39">
        <f t="shared" si="2"/>
        <v>0.33333333333333331</v>
      </c>
      <c r="H65" s="40">
        <f t="shared" si="0"/>
        <v>5.77</v>
      </c>
      <c r="I65" s="900" t="str">
        <f t="shared" si="4"/>
        <v>Fornecimento igual ao estimado mensalmente</v>
      </c>
      <c r="J65" s="901"/>
      <c r="K65" s="902"/>
      <c r="L65" s="259">
        <f t="shared" si="1"/>
        <v>0.33333333333333331</v>
      </c>
      <c r="M65" s="819">
        <f>Mat!J47</f>
        <v>2</v>
      </c>
      <c r="N65" s="820" t="str">
        <f>Mat!K47</f>
        <v>Semestral</v>
      </c>
      <c r="O65" s="41">
        <f t="shared" si="3"/>
        <v>6</v>
      </c>
      <c r="P65" s="42">
        <v>17.309999999999999</v>
      </c>
      <c r="Q65" s="821">
        <f>ROUND(IF(Dados!$J$57="SIM",P65*Dados!$N$57,P65),2)</f>
        <v>17.309999999999999</v>
      </c>
      <c r="R65" s="821">
        <f>ROUND(IF(Dados!$J$58="SIM",Q65*Dados!$N$58,Q65),2)</f>
        <v>17.309999999999999</v>
      </c>
      <c r="S65" s="821">
        <f>ROUND(IF(Dados!$J$59="SIM",R65*Dados!$N$59,R65),2)</f>
        <v>17.309999999999999</v>
      </c>
      <c r="T65" s="821">
        <f>ROUND(IF(Dados!$J$60="SIM",S65*Dados!$N$60,S65),2)</f>
        <v>17.309999999999999</v>
      </c>
      <c r="U65" s="43">
        <f>ROUND(IF(Dados!$J$61="SIM",T65*Dados!$N$61,T65),2)</f>
        <v>17.309999999999999</v>
      </c>
      <c r="V65" s="3">
        <f>IF(Dados!$D$70="INICIAL",'Ocorrências Mensais - FAT'!P65,IF(Dados!$D$70="1º IPCA",'Ocorrências Mensais - FAT'!Q65,IF(Dados!$D$70="2º IPCA",'Ocorrências Mensais - FAT'!R65,IF(Dados!$D$70="3º IPCA",'Ocorrências Mensais - FAT'!S65,IF(Dados!$D$70="4º IPCA",'Ocorrências Mensais - FAT'!T65,IF(Dados!$D$70="5º IPCA",'Ocorrências Mensais - FAT'!U65,))))))</f>
        <v>17.309999999999999</v>
      </c>
      <c r="W65" s="2"/>
    </row>
    <row r="66" spans="1:23" hidden="1" x14ac:dyDescent="0.3">
      <c r="A66" s="903" t="s">
        <v>168</v>
      </c>
      <c r="B66" s="904"/>
      <c r="C66" s="904"/>
      <c r="D66" s="904"/>
      <c r="E66" s="904"/>
      <c r="F66" s="904"/>
      <c r="G66" s="865"/>
      <c r="H66" s="630">
        <f>ROUND(SUM(H27:H65),2)</f>
        <v>2231.62</v>
      </c>
      <c r="I66" s="44"/>
      <c r="J66" s="44"/>
      <c r="K66" s="2"/>
      <c r="L66" s="2"/>
      <c r="M66" s="2"/>
      <c r="N66" s="24"/>
      <c r="O66" s="34"/>
      <c r="P66" s="24"/>
    </row>
    <row r="67" spans="1:23" hidden="1" x14ac:dyDescent="0.3">
      <c r="A67" s="905" t="s">
        <v>169</v>
      </c>
      <c r="B67" s="906"/>
      <c r="C67" s="906"/>
      <c r="D67" s="906"/>
      <c r="E67" s="906"/>
      <c r="F67" s="906"/>
      <c r="G67" s="239">
        <f>Dados!G44</f>
        <v>0.03</v>
      </c>
      <c r="H67" s="240">
        <f>ROUND((H66*G67),2)</f>
        <v>66.95</v>
      </c>
      <c r="I67" s="44"/>
      <c r="J67" s="44"/>
      <c r="K67" s="2"/>
      <c r="L67" s="2"/>
      <c r="M67" s="2"/>
      <c r="N67" s="24"/>
      <c r="O67" s="34"/>
      <c r="P67" s="24"/>
    </row>
    <row r="68" spans="1:23" hidden="1" x14ac:dyDescent="0.3">
      <c r="A68" s="905" t="s">
        <v>170</v>
      </c>
      <c r="B68" s="906"/>
      <c r="C68" s="906"/>
      <c r="D68" s="906"/>
      <c r="E68" s="906"/>
      <c r="F68" s="906"/>
      <c r="G68" s="239">
        <f>Dados!G45</f>
        <v>6.7900000000000002E-2</v>
      </c>
      <c r="H68" s="240">
        <f>ROUND((SUM(H66:H67)*G68),2)</f>
        <v>156.07</v>
      </c>
      <c r="I68" s="44"/>
      <c r="J68" s="44"/>
      <c r="K68" s="2"/>
      <c r="L68" s="2"/>
      <c r="M68" s="2"/>
      <c r="N68" s="24"/>
      <c r="O68" s="34"/>
      <c r="P68" s="24"/>
    </row>
    <row r="69" spans="1:23" hidden="1" x14ac:dyDescent="0.3">
      <c r="A69" s="905" t="s">
        <v>171</v>
      </c>
      <c r="B69" s="906"/>
      <c r="C69" s="906"/>
      <c r="D69" s="906"/>
      <c r="E69" s="906"/>
      <c r="F69" s="906"/>
      <c r="G69" s="239">
        <f>Dados!G56</f>
        <v>0.1225</v>
      </c>
      <c r="H69" s="240">
        <f>ROUND((H70*G69),2)</f>
        <v>342.67</v>
      </c>
      <c r="I69" s="44"/>
      <c r="J69" s="44"/>
      <c r="K69" s="2"/>
      <c r="L69" s="2"/>
      <c r="M69" s="2"/>
      <c r="N69" s="24"/>
      <c r="O69" s="34"/>
      <c r="P69" s="24"/>
    </row>
    <row r="70" spans="1:23" ht="15" hidden="1" thickBot="1" x14ac:dyDescent="0.35">
      <c r="A70" s="917" t="s">
        <v>172</v>
      </c>
      <c r="B70" s="918"/>
      <c r="C70" s="918"/>
      <c r="D70" s="918"/>
      <c r="E70" s="918"/>
      <c r="F70" s="918"/>
      <c r="G70" s="919"/>
      <c r="H70" s="241">
        <f>ROUND((SUM(H66:H68)/(1-G69)),2)</f>
        <v>2797.31</v>
      </c>
      <c r="I70" s="44"/>
      <c r="J70" s="44"/>
      <c r="K70" s="2"/>
      <c r="L70" s="2"/>
      <c r="M70" s="2"/>
      <c r="N70" s="24"/>
      <c r="O70" s="34"/>
      <c r="P70" s="24"/>
    </row>
    <row r="71" spans="1:23" ht="15" hidden="1" thickBot="1" x14ac:dyDescent="0.35">
      <c r="A71" s="46"/>
      <c r="B71" s="34"/>
      <c r="C71" s="34"/>
      <c r="D71" s="34"/>
      <c r="E71" s="34"/>
      <c r="F71" s="34"/>
      <c r="G71" s="46"/>
      <c r="H71" s="34"/>
      <c r="I71" s="24"/>
      <c r="J71" s="24"/>
      <c r="K71" s="2"/>
      <c r="L71" s="2"/>
      <c r="M71" s="2"/>
      <c r="N71" s="34"/>
      <c r="O71" s="34"/>
      <c r="P71" s="34"/>
    </row>
    <row r="72" spans="1:23" ht="30" hidden="1" customHeight="1" thickBot="1" x14ac:dyDescent="0.35">
      <c r="A72" s="920" t="s">
        <v>65</v>
      </c>
      <c r="B72" s="921" t="s">
        <v>173</v>
      </c>
      <c r="C72" s="922"/>
      <c r="D72" s="922"/>
      <c r="E72" s="923"/>
      <c r="F72" s="921" t="s">
        <v>67</v>
      </c>
      <c r="G72" s="922"/>
      <c r="H72" s="924"/>
      <c r="I72" s="925" t="s">
        <v>686</v>
      </c>
      <c r="J72" s="926"/>
      <c r="K72" s="874"/>
      <c r="L72" s="907" t="s">
        <v>68</v>
      </c>
      <c r="M72" s="908"/>
      <c r="N72" s="908"/>
      <c r="O72" s="908"/>
      <c r="P72" s="907" t="s">
        <v>69</v>
      </c>
      <c r="Q72" s="908"/>
      <c r="R72" s="908"/>
      <c r="S72" s="908"/>
      <c r="T72" s="908"/>
      <c r="U72" s="909"/>
      <c r="V72" s="2"/>
      <c r="W72" s="2"/>
    </row>
    <row r="73" spans="1:23" ht="69" hidden="1" x14ac:dyDescent="0.3">
      <c r="A73" s="869"/>
      <c r="B73" s="910" t="s">
        <v>70</v>
      </c>
      <c r="C73" s="911"/>
      <c r="D73" s="912"/>
      <c r="E73" s="25" t="s">
        <v>71</v>
      </c>
      <c r="F73" s="25" t="s">
        <v>72</v>
      </c>
      <c r="G73" s="25" t="s">
        <v>73</v>
      </c>
      <c r="H73" s="26" t="s">
        <v>74</v>
      </c>
      <c r="I73" s="927"/>
      <c r="J73" s="928"/>
      <c r="K73" s="929"/>
      <c r="L73" s="64" t="s">
        <v>75</v>
      </c>
      <c r="M73" s="65" t="s">
        <v>76</v>
      </c>
      <c r="N73" s="65" t="s">
        <v>77</v>
      </c>
      <c r="O73" s="776" t="s">
        <v>78</v>
      </c>
      <c r="P73" s="773" t="s">
        <v>79</v>
      </c>
      <c r="Q73" s="649" t="s">
        <v>80</v>
      </c>
      <c r="R73" s="649" t="s">
        <v>81</v>
      </c>
      <c r="S73" s="649" t="s">
        <v>82</v>
      </c>
      <c r="T73" s="649" t="s">
        <v>83</v>
      </c>
      <c r="U73" s="772" t="s">
        <v>84</v>
      </c>
      <c r="V73" s="2"/>
      <c r="W73" s="2"/>
    </row>
    <row r="74" spans="1:23" hidden="1" x14ac:dyDescent="0.3">
      <c r="A74" s="47">
        <v>1</v>
      </c>
      <c r="B74" s="913" t="s">
        <v>174</v>
      </c>
      <c r="C74" s="913"/>
      <c r="D74" s="913"/>
      <c r="E74" s="48" t="s">
        <v>175</v>
      </c>
      <c r="F74" s="48" t="s">
        <v>100</v>
      </c>
      <c r="G74" s="36">
        <f t="shared" ref="G74:G91" si="5">IF($D$4="PLANILHA PARA LICITAÇÃO (PRECIFICAÇÃO)",L74,0)</f>
        <v>0.16666666666666666</v>
      </c>
      <c r="H74" s="37">
        <f t="shared" ref="H74:H91" si="6">G74*P74</f>
        <v>1.7583333333333333</v>
      </c>
      <c r="I74" s="914" t="str">
        <f t="shared" ref="I74:I91" si="7">IF(G74&lt;L74,"Fornecimento inferior ao estimado mensalmente",IF(G74=L74,"Fornecimento igual ao estimado mensalmente",IF(G74&gt;L74,"Fornecimento superior ao estimado mensalmente",)))</f>
        <v>Fornecimento igual ao estimado mensalmente</v>
      </c>
      <c r="J74" s="886"/>
      <c r="K74" s="898"/>
      <c r="L74" s="774">
        <f t="shared" ref="L74:L91" si="8">M74/O74</f>
        <v>0.16666666666666666</v>
      </c>
      <c r="M74" s="777">
        <f>Mat!J54</f>
        <v>1</v>
      </c>
      <c r="N74" s="777" t="str">
        <f>Mat!K54</f>
        <v>Semestral</v>
      </c>
      <c r="O74" s="778">
        <f t="shared" ref="O74:O91" si="9">IF(N74="MENSAL",1,IF(N74="BIMESTRAL",2,IF(N74="TRIMESTRAL",3,IF(N74="QUADRIMESTRAL",4,IF(N74="SEMESTRAL",6,IF(N74="ANUAL",12,IF(N74="BIENAL",24,"")))))))</f>
        <v>6</v>
      </c>
      <c r="P74" s="775">
        <v>10.55</v>
      </c>
      <c r="Q74" s="627">
        <f>ROUND(IF(Dados!$J$57="SIM",P74*Dados!$N$57,P74),2)</f>
        <v>10.55</v>
      </c>
      <c r="R74" s="627">
        <f>ROUND(IF(Dados!$J$58="SIM",Q74*Dados!$N$58,Q74),2)</f>
        <v>10.55</v>
      </c>
      <c r="S74" s="627">
        <f>ROUND(IF(Dados!$J$59="SIM",R74*Dados!$N$59,R74),2)</f>
        <v>10.55</v>
      </c>
      <c r="T74" s="627">
        <f>ROUND(IF(Dados!$J$60="SIM",S74*Dados!$N$60,S74),2)</f>
        <v>10.55</v>
      </c>
      <c r="U74" s="764">
        <f>ROUND(IF(Dados!$J$61="SIM",T74*Dados!$N$61,T74),2)</f>
        <v>10.55</v>
      </c>
      <c r="V74" s="3">
        <f>IF(Dados!$D$70="INICIAL",'Ocorrências Mensais - FAT'!P74,IF(Dados!$D$70="1º IPCA",'Ocorrências Mensais - FAT'!Q74,IF(Dados!$D$70="2º IPCA",'Ocorrências Mensais - FAT'!R74,IF(Dados!$D$70="3º IPCA",'Ocorrências Mensais - FAT'!S74,IF(Dados!$D$70="4º IPCA",'Ocorrências Mensais - FAT'!T74,IF(Dados!$D$70="5º IPCA",'Ocorrências Mensais - FAT'!U74,))))))</f>
        <v>10.55</v>
      </c>
      <c r="W74" s="2"/>
    </row>
    <row r="75" spans="1:23" hidden="1" x14ac:dyDescent="0.3">
      <c r="A75" s="47">
        <v>2</v>
      </c>
      <c r="B75" s="913" t="s">
        <v>176</v>
      </c>
      <c r="C75" s="913"/>
      <c r="D75" s="913"/>
      <c r="E75" s="48" t="s">
        <v>175</v>
      </c>
      <c r="F75" s="48" t="s">
        <v>177</v>
      </c>
      <c r="G75" s="36">
        <f t="shared" si="5"/>
        <v>0.66666666666666663</v>
      </c>
      <c r="H75" s="37">
        <f t="shared" si="6"/>
        <v>7.5466666666666669</v>
      </c>
      <c r="I75" s="914" t="str">
        <f t="shared" si="7"/>
        <v>Fornecimento igual ao estimado mensalmente</v>
      </c>
      <c r="J75" s="915"/>
      <c r="K75" s="916"/>
      <c r="L75" s="774">
        <f t="shared" si="8"/>
        <v>0.66666666666666663</v>
      </c>
      <c r="M75" s="779">
        <f>Mat!J55</f>
        <v>2</v>
      </c>
      <c r="N75" s="779" t="str">
        <f>Mat!K55</f>
        <v>Trimestral</v>
      </c>
      <c r="O75" s="780">
        <f t="shared" si="9"/>
        <v>3</v>
      </c>
      <c r="P75" s="775">
        <v>11.32</v>
      </c>
      <c r="Q75" s="627">
        <f>ROUND(IF(Dados!$J$57="SIM",P75*Dados!$N$57,P75),2)</f>
        <v>11.32</v>
      </c>
      <c r="R75" s="627">
        <f>ROUND(IF(Dados!$J$58="SIM",Q75*Dados!$N$58,Q75),2)</f>
        <v>11.32</v>
      </c>
      <c r="S75" s="627">
        <f>ROUND(IF(Dados!$J$59="SIM",R75*Dados!$N$59,R75),2)</f>
        <v>11.32</v>
      </c>
      <c r="T75" s="627">
        <f>ROUND(IF(Dados!$J$60="SIM",S75*Dados!$N$60,S75),2)</f>
        <v>11.32</v>
      </c>
      <c r="U75" s="764">
        <f>ROUND(IF(Dados!$J$61="SIM",T75*Dados!$N$61,T75),2)</f>
        <v>11.32</v>
      </c>
      <c r="V75" s="3">
        <f>IF(Dados!$D$70="INICIAL",'Ocorrências Mensais - FAT'!P75,IF(Dados!$D$70="1º IPCA",'Ocorrências Mensais - FAT'!Q75,IF(Dados!$D$70="2º IPCA",'Ocorrências Mensais - FAT'!R75,IF(Dados!$D$70="3º IPCA",'Ocorrências Mensais - FAT'!S75,IF(Dados!$D$70="4º IPCA",'Ocorrências Mensais - FAT'!T75,IF(Dados!$D$70="5º IPCA",'Ocorrências Mensais - FAT'!U75,))))))</f>
        <v>11.32</v>
      </c>
      <c r="W75" s="2"/>
    </row>
    <row r="76" spans="1:23" hidden="1" x14ac:dyDescent="0.3">
      <c r="A76" s="47">
        <v>3</v>
      </c>
      <c r="B76" s="913" t="s">
        <v>179</v>
      </c>
      <c r="C76" s="913"/>
      <c r="D76" s="913"/>
      <c r="E76" s="48" t="s">
        <v>175</v>
      </c>
      <c r="F76" s="48" t="s">
        <v>104</v>
      </c>
      <c r="G76" s="36">
        <f t="shared" si="5"/>
        <v>8.3333333333333329E-2</v>
      </c>
      <c r="H76" s="37">
        <f t="shared" si="6"/>
        <v>0.37333333333333335</v>
      </c>
      <c r="I76" s="914" t="str">
        <f t="shared" si="7"/>
        <v>Fornecimento igual ao estimado mensalmente</v>
      </c>
      <c r="J76" s="936"/>
      <c r="K76" s="937"/>
      <c r="L76" s="774">
        <f t="shared" si="8"/>
        <v>8.3333333333333329E-2</v>
      </c>
      <c r="M76" s="781">
        <f>Mat!J56</f>
        <v>1</v>
      </c>
      <c r="N76" s="781" t="str">
        <f>Mat!K56</f>
        <v>Anual</v>
      </c>
      <c r="O76" s="782">
        <f t="shared" si="9"/>
        <v>12</v>
      </c>
      <c r="P76" s="775">
        <v>4.4800000000000004</v>
      </c>
      <c r="Q76" s="627">
        <f>ROUND(IF(Dados!$J$57="SIM",P76*Dados!$N$57,P76),2)</f>
        <v>4.4800000000000004</v>
      </c>
      <c r="R76" s="627">
        <f>ROUND(IF(Dados!$J$58="SIM",Q76*Dados!$N$58,Q76),2)</f>
        <v>4.4800000000000004</v>
      </c>
      <c r="S76" s="627">
        <f>ROUND(IF(Dados!$J$59="SIM",R76*Dados!$N$59,R76),2)</f>
        <v>4.4800000000000004</v>
      </c>
      <c r="T76" s="627">
        <f>ROUND(IF(Dados!$J$60="SIM",S76*Dados!$N$60,S76),2)</f>
        <v>4.4800000000000004</v>
      </c>
      <c r="U76" s="764">
        <f>ROUND(IF(Dados!$J$61="SIM",T76*Dados!$N$61,T76),2)</f>
        <v>4.4800000000000004</v>
      </c>
      <c r="V76" s="3">
        <f>IF(Dados!$D$70="INICIAL",'Ocorrências Mensais - FAT'!P76,IF(Dados!$D$70="1º IPCA",'Ocorrências Mensais - FAT'!Q76,IF(Dados!$D$70="2º IPCA",'Ocorrências Mensais - FAT'!R76,IF(Dados!$D$70="3º IPCA",'Ocorrências Mensais - FAT'!S76,IF(Dados!$D$70="4º IPCA",'Ocorrências Mensais - FAT'!T76,IF(Dados!$D$70="5º IPCA",'Ocorrências Mensais - FAT'!U76,))))))</f>
        <v>4.4800000000000004</v>
      </c>
      <c r="W76" s="2"/>
    </row>
    <row r="77" spans="1:23" hidden="1" x14ac:dyDescent="0.3">
      <c r="A77" s="47">
        <v>4</v>
      </c>
      <c r="B77" s="913" t="s">
        <v>180</v>
      </c>
      <c r="C77" s="913"/>
      <c r="D77" s="913"/>
      <c r="E77" s="48" t="s">
        <v>175</v>
      </c>
      <c r="F77" s="48" t="s">
        <v>181</v>
      </c>
      <c r="G77" s="36">
        <f t="shared" si="5"/>
        <v>6</v>
      </c>
      <c r="H77" s="37">
        <f t="shared" si="6"/>
        <v>10.92</v>
      </c>
      <c r="I77" s="914" t="str">
        <f t="shared" si="7"/>
        <v>Fornecimento igual ao estimado mensalmente</v>
      </c>
      <c r="J77" s="938"/>
      <c r="K77" s="939"/>
      <c r="L77" s="774">
        <f t="shared" si="8"/>
        <v>6</v>
      </c>
      <c r="M77" s="783">
        <f>Mat!J57</f>
        <v>6</v>
      </c>
      <c r="N77" s="783" t="str">
        <f>Mat!K57</f>
        <v>Mensal</v>
      </c>
      <c r="O77" s="784">
        <f t="shared" si="9"/>
        <v>1</v>
      </c>
      <c r="P77" s="775">
        <v>1.82</v>
      </c>
      <c r="Q77" s="627">
        <f>ROUND(IF(Dados!$J$57="SIM",P77*Dados!$N$57,P77),2)</f>
        <v>1.82</v>
      </c>
      <c r="R77" s="627">
        <f>ROUND(IF(Dados!$J$58="SIM",Q77*Dados!$N$58,Q77),2)</f>
        <v>1.82</v>
      </c>
      <c r="S77" s="627">
        <f>ROUND(IF(Dados!$J$59="SIM",R77*Dados!$N$59,R77),2)</f>
        <v>1.82</v>
      </c>
      <c r="T77" s="627">
        <f>ROUND(IF(Dados!$J$60="SIM",S77*Dados!$N$60,S77),2)</f>
        <v>1.82</v>
      </c>
      <c r="U77" s="764">
        <f>ROUND(IF(Dados!$J$61="SIM",T77*Dados!$N$61,T77),2)</f>
        <v>1.82</v>
      </c>
      <c r="V77" s="3">
        <f>IF(Dados!$D$70="INICIAL",'Ocorrências Mensais - FAT'!P77,IF(Dados!$D$70="1º IPCA",'Ocorrências Mensais - FAT'!Q77,IF(Dados!$D$70="2º IPCA",'Ocorrências Mensais - FAT'!R77,IF(Dados!$D$70="3º IPCA",'Ocorrências Mensais - FAT'!S77,IF(Dados!$D$70="4º IPCA",'Ocorrências Mensais - FAT'!T77,IF(Dados!$D$70="5º IPCA",'Ocorrências Mensais - FAT'!U77,))))))</f>
        <v>1.82</v>
      </c>
      <c r="W77" s="2"/>
    </row>
    <row r="78" spans="1:23" hidden="1" x14ac:dyDescent="0.3">
      <c r="A78" s="47">
        <v>5</v>
      </c>
      <c r="B78" s="913" t="s">
        <v>182</v>
      </c>
      <c r="C78" s="913"/>
      <c r="D78" s="913"/>
      <c r="E78" s="48" t="s">
        <v>175</v>
      </c>
      <c r="F78" s="48" t="s">
        <v>183</v>
      </c>
      <c r="G78" s="36">
        <f t="shared" si="5"/>
        <v>0.16666666666666666</v>
      </c>
      <c r="H78" s="37">
        <f t="shared" si="6"/>
        <v>1.1516666666666666</v>
      </c>
      <c r="I78" s="914" t="str">
        <f t="shared" si="7"/>
        <v>Fornecimento igual ao estimado mensalmente</v>
      </c>
      <c r="J78" s="940"/>
      <c r="K78" s="941"/>
      <c r="L78" s="774">
        <f t="shared" si="8"/>
        <v>0.16666666666666666</v>
      </c>
      <c r="M78" s="785">
        <f>Mat!J58</f>
        <v>1</v>
      </c>
      <c r="N78" s="785" t="str">
        <f>Mat!K58</f>
        <v>Semestral</v>
      </c>
      <c r="O78" s="786">
        <f t="shared" si="9"/>
        <v>6</v>
      </c>
      <c r="P78" s="775">
        <v>6.91</v>
      </c>
      <c r="Q78" s="627">
        <f>ROUND(IF(Dados!$J$57="SIM",P78*Dados!$N$57,P78),2)</f>
        <v>6.91</v>
      </c>
      <c r="R78" s="627">
        <f>ROUND(IF(Dados!$J$58="SIM",Q78*Dados!$N$58,Q78),2)</f>
        <v>6.91</v>
      </c>
      <c r="S78" s="627">
        <f>ROUND(IF(Dados!$J$59="SIM",R78*Dados!$N$59,R78),2)</f>
        <v>6.91</v>
      </c>
      <c r="T78" s="627">
        <f>ROUND(IF(Dados!$J$60="SIM",S78*Dados!$N$60,S78),2)</f>
        <v>6.91</v>
      </c>
      <c r="U78" s="764">
        <f>ROUND(IF(Dados!$J$61="SIM",T78*Dados!$N$61,T78),2)</f>
        <v>6.91</v>
      </c>
      <c r="V78" s="3">
        <f>IF(Dados!$D$70="INICIAL",'Ocorrências Mensais - FAT'!P78,IF(Dados!$D$70="1º IPCA",'Ocorrências Mensais - FAT'!Q78,IF(Dados!$D$70="2º IPCA",'Ocorrências Mensais - FAT'!R78,IF(Dados!$D$70="3º IPCA",'Ocorrências Mensais - FAT'!S78,IF(Dados!$D$70="4º IPCA",'Ocorrências Mensais - FAT'!T78,IF(Dados!$D$70="5º IPCA",'Ocorrências Mensais - FAT'!U78,))))))</f>
        <v>6.91</v>
      </c>
      <c r="W78" s="2"/>
    </row>
    <row r="79" spans="1:23" hidden="1" x14ac:dyDescent="0.3">
      <c r="A79" s="47">
        <v>6</v>
      </c>
      <c r="B79" s="913" t="s">
        <v>184</v>
      </c>
      <c r="C79" s="913"/>
      <c r="D79" s="913"/>
      <c r="E79" s="48" t="s">
        <v>185</v>
      </c>
      <c r="F79" s="48" t="s">
        <v>112</v>
      </c>
      <c r="G79" s="36">
        <f t="shared" si="5"/>
        <v>0.16666666666666666</v>
      </c>
      <c r="H79" s="37">
        <f t="shared" si="6"/>
        <v>0.77166666666666661</v>
      </c>
      <c r="I79" s="914" t="str">
        <f t="shared" si="7"/>
        <v>Fornecimento igual ao estimado mensalmente</v>
      </c>
      <c r="J79" s="930"/>
      <c r="K79" s="931"/>
      <c r="L79" s="774">
        <f t="shared" si="8"/>
        <v>0.16666666666666666</v>
      </c>
      <c r="M79" s="787">
        <f>Mat!J59</f>
        <v>1</v>
      </c>
      <c r="N79" s="787" t="str">
        <f>Mat!K59</f>
        <v>Semestral</v>
      </c>
      <c r="O79" s="788">
        <f t="shared" si="9"/>
        <v>6</v>
      </c>
      <c r="P79" s="775">
        <v>4.63</v>
      </c>
      <c r="Q79" s="627">
        <f>ROUND(IF(Dados!$J$57="SIM",P79*Dados!$N$57,P79),2)</f>
        <v>4.63</v>
      </c>
      <c r="R79" s="627">
        <f>ROUND(IF(Dados!$J$58="SIM",Q79*Dados!$N$58,Q79),2)</f>
        <v>4.63</v>
      </c>
      <c r="S79" s="627">
        <f>ROUND(IF(Dados!$J$59="SIM",R79*Dados!$N$59,R79),2)</f>
        <v>4.63</v>
      </c>
      <c r="T79" s="627">
        <f>ROUND(IF(Dados!$J$60="SIM",S79*Dados!$N$60,S79),2)</f>
        <v>4.63</v>
      </c>
      <c r="U79" s="764">
        <f>ROUND(IF(Dados!$J$61="SIM",T79*Dados!$N$61,T79),2)</f>
        <v>4.63</v>
      </c>
      <c r="V79" s="3">
        <f>IF(Dados!$D$70="INICIAL",'Ocorrências Mensais - FAT'!P79,IF(Dados!$D$70="1º IPCA",'Ocorrências Mensais - FAT'!Q79,IF(Dados!$D$70="2º IPCA",'Ocorrências Mensais - FAT'!R79,IF(Dados!$D$70="3º IPCA",'Ocorrências Mensais - FAT'!S79,IF(Dados!$D$70="4º IPCA",'Ocorrências Mensais - FAT'!T79,IF(Dados!$D$70="5º IPCA",'Ocorrências Mensais - FAT'!U79,))))))</f>
        <v>4.63</v>
      </c>
      <c r="W79" s="2"/>
    </row>
    <row r="80" spans="1:23" hidden="1" x14ac:dyDescent="0.3">
      <c r="A80" s="47">
        <v>7</v>
      </c>
      <c r="B80" s="913" t="s">
        <v>186</v>
      </c>
      <c r="C80" s="913"/>
      <c r="D80" s="913"/>
      <c r="E80" s="48" t="s">
        <v>175</v>
      </c>
      <c r="F80" s="48" t="s">
        <v>116</v>
      </c>
      <c r="G80" s="36">
        <f t="shared" si="5"/>
        <v>5</v>
      </c>
      <c r="H80" s="37">
        <f t="shared" si="6"/>
        <v>12.15</v>
      </c>
      <c r="I80" s="914" t="str">
        <f t="shared" si="7"/>
        <v>Fornecimento igual ao estimado mensalmente</v>
      </c>
      <c r="J80" s="932"/>
      <c r="K80" s="933"/>
      <c r="L80" s="774">
        <f t="shared" si="8"/>
        <v>5</v>
      </c>
      <c r="M80" s="789">
        <f>Mat!J60</f>
        <v>5</v>
      </c>
      <c r="N80" s="789" t="str">
        <f>Mat!K60</f>
        <v>Mensal</v>
      </c>
      <c r="O80" s="790">
        <f t="shared" si="9"/>
        <v>1</v>
      </c>
      <c r="P80" s="775">
        <v>2.4300000000000002</v>
      </c>
      <c r="Q80" s="627">
        <f>ROUND(IF(Dados!$J$57="SIM",P80*Dados!$N$57,P80),2)</f>
        <v>2.4300000000000002</v>
      </c>
      <c r="R80" s="627">
        <f>ROUND(IF(Dados!$J$58="SIM",Q80*Dados!$N$58,Q80),2)</f>
        <v>2.4300000000000002</v>
      </c>
      <c r="S80" s="627">
        <f>ROUND(IF(Dados!$J$59="SIM",R80*Dados!$N$59,R80),2)</f>
        <v>2.4300000000000002</v>
      </c>
      <c r="T80" s="627">
        <f>ROUND(IF(Dados!$J$60="SIM",S80*Dados!$N$60,S80),2)</f>
        <v>2.4300000000000002</v>
      </c>
      <c r="U80" s="764">
        <f>ROUND(IF(Dados!$J$61="SIM",T80*Dados!$N$61,T80),2)</f>
        <v>2.4300000000000002</v>
      </c>
      <c r="V80" s="3">
        <f>IF(Dados!$D$70="INICIAL",'Ocorrências Mensais - FAT'!P80,IF(Dados!$D$70="1º IPCA",'Ocorrências Mensais - FAT'!Q80,IF(Dados!$D$70="2º IPCA",'Ocorrências Mensais - FAT'!R80,IF(Dados!$D$70="3º IPCA",'Ocorrências Mensais - FAT'!S80,IF(Dados!$D$70="4º IPCA",'Ocorrências Mensais - FAT'!T80,IF(Dados!$D$70="5º IPCA",'Ocorrências Mensais - FAT'!U80,))))))</f>
        <v>2.4300000000000002</v>
      </c>
      <c r="W80" s="2"/>
    </row>
    <row r="81" spans="1:23" hidden="1" x14ac:dyDescent="0.3">
      <c r="A81" s="47">
        <v>8</v>
      </c>
      <c r="B81" s="913" t="s">
        <v>187</v>
      </c>
      <c r="C81" s="913"/>
      <c r="D81" s="913"/>
      <c r="E81" s="48" t="s">
        <v>188</v>
      </c>
      <c r="F81" s="48" t="s">
        <v>118</v>
      </c>
      <c r="G81" s="36">
        <f t="shared" si="5"/>
        <v>1</v>
      </c>
      <c r="H81" s="37">
        <f t="shared" si="6"/>
        <v>2.2799999999999998</v>
      </c>
      <c r="I81" s="914" t="str">
        <f t="shared" si="7"/>
        <v>Fornecimento igual ao estimado mensalmente</v>
      </c>
      <c r="J81" s="934"/>
      <c r="K81" s="935"/>
      <c r="L81" s="774">
        <f t="shared" si="8"/>
        <v>1</v>
      </c>
      <c r="M81" s="791">
        <f>Mat!J61</f>
        <v>1</v>
      </c>
      <c r="N81" s="791" t="str">
        <f>Mat!K61</f>
        <v>Mensal</v>
      </c>
      <c r="O81" s="792">
        <f t="shared" si="9"/>
        <v>1</v>
      </c>
      <c r="P81" s="775">
        <v>2.2799999999999998</v>
      </c>
      <c r="Q81" s="627">
        <f>ROUND(IF(Dados!$J$57="SIM",P81*Dados!$N$57,P81),2)</f>
        <v>2.2799999999999998</v>
      </c>
      <c r="R81" s="627">
        <f>ROUND(IF(Dados!$J$58="SIM",Q81*Dados!$N$58,Q81),2)</f>
        <v>2.2799999999999998</v>
      </c>
      <c r="S81" s="627">
        <f>ROUND(IF(Dados!$J$59="SIM",R81*Dados!$N$59,R81),2)</f>
        <v>2.2799999999999998</v>
      </c>
      <c r="T81" s="627">
        <f>ROUND(IF(Dados!$J$60="SIM",S81*Dados!$N$60,S81),2)</f>
        <v>2.2799999999999998</v>
      </c>
      <c r="U81" s="764">
        <f>ROUND(IF(Dados!$J$61="SIM",T81*Dados!$N$61,T81),2)</f>
        <v>2.2799999999999998</v>
      </c>
      <c r="V81" s="3">
        <f>IF(Dados!$D$70="INICIAL",'Ocorrências Mensais - FAT'!P81,IF(Dados!$D$70="1º IPCA",'Ocorrências Mensais - FAT'!Q81,IF(Dados!$D$70="2º IPCA",'Ocorrências Mensais - FAT'!R81,IF(Dados!$D$70="3º IPCA",'Ocorrências Mensais - FAT'!S81,IF(Dados!$D$70="4º IPCA",'Ocorrências Mensais - FAT'!T81,IF(Dados!$D$70="5º IPCA",'Ocorrências Mensais - FAT'!U81,))))))</f>
        <v>2.2799999999999998</v>
      </c>
      <c r="W81" s="2"/>
    </row>
    <row r="82" spans="1:23" hidden="1" x14ac:dyDescent="0.3">
      <c r="A82" s="47">
        <v>9</v>
      </c>
      <c r="B82" s="913" t="s">
        <v>189</v>
      </c>
      <c r="C82" s="913"/>
      <c r="D82" s="913"/>
      <c r="E82" s="48" t="s">
        <v>175</v>
      </c>
      <c r="F82" s="48" t="s">
        <v>155</v>
      </c>
      <c r="G82" s="36">
        <f t="shared" si="5"/>
        <v>5</v>
      </c>
      <c r="H82" s="37">
        <f t="shared" si="6"/>
        <v>14.75</v>
      </c>
      <c r="I82" s="914" t="str">
        <f t="shared" si="7"/>
        <v>Fornecimento igual ao estimado mensalmente</v>
      </c>
      <c r="J82" s="948"/>
      <c r="K82" s="949"/>
      <c r="L82" s="774">
        <f t="shared" si="8"/>
        <v>5</v>
      </c>
      <c r="M82" s="793">
        <f>Mat!J62</f>
        <v>5</v>
      </c>
      <c r="N82" s="793" t="str">
        <f>Mat!K62</f>
        <v>Mensal</v>
      </c>
      <c r="O82" s="794">
        <f t="shared" si="9"/>
        <v>1</v>
      </c>
      <c r="P82" s="775">
        <v>2.95</v>
      </c>
      <c r="Q82" s="627">
        <f>ROUND(IF(Dados!$J$57="SIM",P82*Dados!$N$57,P82),2)</f>
        <v>2.95</v>
      </c>
      <c r="R82" s="627">
        <f>ROUND(IF(Dados!$J$58="SIM",Q82*Dados!$N$58,Q82),2)</f>
        <v>2.95</v>
      </c>
      <c r="S82" s="627">
        <f>ROUND(IF(Dados!$J$59="SIM",R82*Dados!$N$59,R82),2)</f>
        <v>2.95</v>
      </c>
      <c r="T82" s="627">
        <f>ROUND(IF(Dados!$J$60="SIM",S82*Dados!$N$60,S82),2)</f>
        <v>2.95</v>
      </c>
      <c r="U82" s="764">
        <f>ROUND(IF(Dados!$J$61="SIM",T82*Dados!$N$61,T82),2)</f>
        <v>2.95</v>
      </c>
      <c r="V82" s="3">
        <f>IF(Dados!$D$70="INICIAL",'Ocorrências Mensais - FAT'!P82,IF(Dados!$D$70="1º IPCA",'Ocorrências Mensais - FAT'!Q82,IF(Dados!$D$70="2º IPCA",'Ocorrências Mensais - FAT'!R82,IF(Dados!$D$70="3º IPCA",'Ocorrências Mensais - FAT'!S82,IF(Dados!$D$70="4º IPCA",'Ocorrências Mensais - FAT'!T82,IF(Dados!$D$70="5º IPCA",'Ocorrências Mensais - FAT'!U82,))))))</f>
        <v>2.95</v>
      </c>
      <c r="W82" s="2"/>
    </row>
    <row r="83" spans="1:23" hidden="1" x14ac:dyDescent="0.3">
      <c r="A83" s="47">
        <v>10</v>
      </c>
      <c r="B83" s="913" t="s">
        <v>190</v>
      </c>
      <c r="C83" s="913"/>
      <c r="D83" s="913"/>
      <c r="E83" s="48" t="s">
        <v>188</v>
      </c>
      <c r="F83" s="48" t="s">
        <v>191</v>
      </c>
      <c r="G83" s="36">
        <f t="shared" si="5"/>
        <v>4</v>
      </c>
      <c r="H83" s="37">
        <f t="shared" si="6"/>
        <v>8.6</v>
      </c>
      <c r="I83" s="914" t="str">
        <f t="shared" si="7"/>
        <v>Fornecimento igual ao estimado mensalmente</v>
      </c>
      <c r="J83" s="950"/>
      <c r="K83" s="951"/>
      <c r="L83" s="774">
        <f t="shared" si="8"/>
        <v>4</v>
      </c>
      <c r="M83" s="795">
        <f>Mat!J63</f>
        <v>8</v>
      </c>
      <c r="N83" s="795" t="str">
        <f>Mat!K63</f>
        <v>Bimestral</v>
      </c>
      <c r="O83" s="796">
        <f t="shared" si="9"/>
        <v>2</v>
      </c>
      <c r="P83" s="775">
        <v>2.15</v>
      </c>
      <c r="Q83" s="627">
        <f>ROUND(IF(Dados!$J$57="SIM",P83*Dados!$N$57,P83),2)</f>
        <v>2.15</v>
      </c>
      <c r="R83" s="627">
        <f>ROUND(IF(Dados!$J$58="SIM",Q83*Dados!$N$58,Q83),2)</f>
        <v>2.15</v>
      </c>
      <c r="S83" s="627">
        <f>ROUND(IF(Dados!$J$59="SIM",R83*Dados!$N$59,R83),2)</f>
        <v>2.15</v>
      </c>
      <c r="T83" s="627">
        <f>ROUND(IF(Dados!$J$60="SIM",S83*Dados!$N$60,S83),2)</f>
        <v>2.15</v>
      </c>
      <c r="U83" s="764">
        <f>ROUND(IF(Dados!$J$61="SIM",T83*Dados!$N$61,T83),2)</f>
        <v>2.15</v>
      </c>
      <c r="V83" s="3">
        <f>IF(Dados!$D$70="INICIAL",'Ocorrências Mensais - FAT'!P83,IF(Dados!$D$70="1º IPCA",'Ocorrências Mensais - FAT'!Q83,IF(Dados!$D$70="2º IPCA",'Ocorrências Mensais - FAT'!R83,IF(Dados!$D$70="3º IPCA",'Ocorrências Mensais - FAT'!S83,IF(Dados!$D$70="4º IPCA",'Ocorrências Mensais - FAT'!T83,IF(Dados!$D$70="5º IPCA",'Ocorrências Mensais - FAT'!U83,))))))</f>
        <v>2.15</v>
      </c>
      <c r="W83" s="2"/>
    </row>
    <row r="84" spans="1:23" hidden="1" x14ac:dyDescent="0.3">
      <c r="A84" s="47">
        <v>11</v>
      </c>
      <c r="B84" s="913" t="s">
        <v>192</v>
      </c>
      <c r="C84" s="913"/>
      <c r="D84" s="913"/>
      <c r="E84" s="48" t="s">
        <v>185</v>
      </c>
      <c r="F84" s="48" t="s">
        <v>87</v>
      </c>
      <c r="G84" s="36">
        <f t="shared" si="5"/>
        <v>3</v>
      </c>
      <c r="H84" s="37">
        <f t="shared" si="6"/>
        <v>7.77</v>
      </c>
      <c r="I84" s="914" t="str">
        <f t="shared" si="7"/>
        <v>Fornecimento igual ao estimado mensalmente</v>
      </c>
      <c r="J84" s="952"/>
      <c r="K84" s="953"/>
      <c r="L84" s="774">
        <f t="shared" si="8"/>
        <v>3</v>
      </c>
      <c r="M84" s="797">
        <f>Mat!J64</f>
        <v>3</v>
      </c>
      <c r="N84" s="797" t="str">
        <f>Mat!K64</f>
        <v>Mensal</v>
      </c>
      <c r="O84" s="798">
        <f t="shared" si="9"/>
        <v>1</v>
      </c>
      <c r="P84" s="775">
        <v>2.59</v>
      </c>
      <c r="Q84" s="627">
        <f>ROUND(IF(Dados!$J$57="SIM",P84*Dados!$N$57,P84),2)</f>
        <v>2.59</v>
      </c>
      <c r="R84" s="627">
        <f>ROUND(IF(Dados!$J$58="SIM",Q84*Dados!$N$58,Q84),2)</f>
        <v>2.59</v>
      </c>
      <c r="S84" s="627">
        <f>ROUND(IF(Dados!$J$59="SIM",R84*Dados!$N$59,R84),2)</f>
        <v>2.59</v>
      </c>
      <c r="T84" s="627">
        <f>ROUND(IF(Dados!$J$60="SIM",S84*Dados!$N$60,S84),2)</f>
        <v>2.59</v>
      </c>
      <c r="U84" s="764">
        <f>ROUND(IF(Dados!$J$61="SIM",T84*Dados!$N$61,T84),2)</f>
        <v>2.59</v>
      </c>
      <c r="V84" s="3">
        <f>IF(Dados!$D$70="INICIAL",'Ocorrências Mensais - FAT'!P84,IF(Dados!$D$70="1º IPCA",'Ocorrências Mensais - FAT'!Q84,IF(Dados!$D$70="2º IPCA",'Ocorrências Mensais - FAT'!R84,IF(Dados!$D$70="3º IPCA",'Ocorrências Mensais - FAT'!S84,IF(Dados!$D$70="4º IPCA",'Ocorrências Mensais - FAT'!T84,IF(Dados!$D$70="5º IPCA",'Ocorrências Mensais - FAT'!U84,))))))</f>
        <v>2.59</v>
      </c>
      <c r="W84" s="2"/>
    </row>
    <row r="85" spans="1:23" hidden="1" x14ac:dyDescent="0.3">
      <c r="A85" s="47">
        <v>12</v>
      </c>
      <c r="B85" s="913" t="s">
        <v>131</v>
      </c>
      <c r="C85" s="913"/>
      <c r="D85" s="913"/>
      <c r="E85" s="48" t="s">
        <v>193</v>
      </c>
      <c r="F85" s="48" t="s">
        <v>133</v>
      </c>
      <c r="G85" s="36">
        <f t="shared" si="5"/>
        <v>0.16666666666666666</v>
      </c>
      <c r="H85" s="37">
        <f t="shared" si="6"/>
        <v>1.2583333333333333</v>
      </c>
      <c r="I85" s="914" t="str">
        <f t="shared" si="7"/>
        <v>Fornecimento igual ao estimado mensalmente</v>
      </c>
      <c r="J85" s="942"/>
      <c r="K85" s="943"/>
      <c r="L85" s="774">
        <f t="shared" si="8"/>
        <v>0.16666666666666666</v>
      </c>
      <c r="M85" s="799">
        <f>Mat!J65</f>
        <v>1</v>
      </c>
      <c r="N85" s="799" t="str">
        <f>Mat!K65</f>
        <v>Semestral</v>
      </c>
      <c r="O85" s="800">
        <f t="shared" si="9"/>
        <v>6</v>
      </c>
      <c r="P85" s="775">
        <v>7.55</v>
      </c>
      <c r="Q85" s="627">
        <f>ROUND(IF(Dados!$J$57="SIM",P85*Dados!$N$57,P85),2)</f>
        <v>7.55</v>
      </c>
      <c r="R85" s="627">
        <f>ROUND(IF(Dados!$J$58="SIM",Q85*Dados!$N$58,Q85),2)</f>
        <v>7.55</v>
      </c>
      <c r="S85" s="627">
        <f>ROUND(IF(Dados!$J$59="SIM",R85*Dados!$N$59,R85),2)</f>
        <v>7.55</v>
      </c>
      <c r="T85" s="627">
        <f>ROUND(IF(Dados!$J$60="SIM",S85*Dados!$N$60,S85),2)</f>
        <v>7.55</v>
      </c>
      <c r="U85" s="764">
        <f>ROUND(IF(Dados!$J$61="SIM",T85*Dados!$N$61,T85),2)</f>
        <v>7.55</v>
      </c>
      <c r="V85" s="3">
        <f>IF(Dados!$D$70="INICIAL",'Ocorrências Mensais - FAT'!P85,IF(Dados!$D$70="1º IPCA",'Ocorrências Mensais - FAT'!Q85,IF(Dados!$D$70="2º IPCA",'Ocorrências Mensais - FAT'!R85,IF(Dados!$D$70="3º IPCA",'Ocorrências Mensais - FAT'!S85,IF(Dados!$D$70="4º IPCA",'Ocorrências Mensais - FAT'!T85,IF(Dados!$D$70="5º IPCA",'Ocorrências Mensais - FAT'!U85,))))))</f>
        <v>7.55</v>
      </c>
      <c r="W85" s="2"/>
    </row>
    <row r="86" spans="1:23" hidden="1" x14ac:dyDescent="0.3">
      <c r="A86" s="47">
        <v>13</v>
      </c>
      <c r="B86" s="913" t="s">
        <v>194</v>
      </c>
      <c r="C86" s="913"/>
      <c r="D86" s="913"/>
      <c r="E86" s="48" t="s">
        <v>175</v>
      </c>
      <c r="F86" s="48" t="s">
        <v>195</v>
      </c>
      <c r="G86" s="36">
        <f t="shared" si="5"/>
        <v>3</v>
      </c>
      <c r="H86" s="37">
        <f t="shared" si="6"/>
        <v>8.94</v>
      </c>
      <c r="I86" s="914" t="str">
        <f t="shared" si="7"/>
        <v>Fornecimento igual ao estimado mensalmente</v>
      </c>
      <c r="J86" s="944"/>
      <c r="K86" s="945"/>
      <c r="L86" s="774">
        <f t="shared" si="8"/>
        <v>3</v>
      </c>
      <c r="M86" s="801">
        <f>Mat!J66</f>
        <v>3</v>
      </c>
      <c r="N86" s="801" t="str">
        <f>Mat!K66</f>
        <v>Mensal</v>
      </c>
      <c r="O86" s="802">
        <f t="shared" si="9"/>
        <v>1</v>
      </c>
      <c r="P86" s="775">
        <v>2.98</v>
      </c>
      <c r="Q86" s="627">
        <f>ROUND(IF(Dados!$J$57="SIM",P86*Dados!$N$57,P86),2)</f>
        <v>2.98</v>
      </c>
      <c r="R86" s="627">
        <f>ROUND(IF(Dados!$J$58="SIM",Q86*Dados!$N$58,Q86),2)</f>
        <v>2.98</v>
      </c>
      <c r="S86" s="627">
        <f>ROUND(IF(Dados!$J$59="SIM",R86*Dados!$N$59,R86),2)</f>
        <v>2.98</v>
      </c>
      <c r="T86" s="627">
        <f>ROUND(IF(Dados!$J$60="SIM",S86*Dados!$N$60,S86),2)</f>
        <v>2.98</v>
      </c>
      <c r="U86" s="764">
        <f>ROUND(IF(Dados!$J$61="SIM",T86*Dados!$N$61,T86),2)</f>
        <v>2.98</v>
      </c>
      <c r="V86" s="3">
        <f>IF(Dados!$D$70="INICIAL",'Ocorrências Mensais - FAT'!P86,IF(Dados!$D$70="1º IPCA",'Ocorrências Mensais - FAT'!Q86,IF(Dados!$D$70="2º IPCA",'Ocorrências Mensais - FAT'!R86,IF(Dados!$D$70="3º IPCA",'Ocorrências Mensais - FAT'!S86,IF(Dados!$D$70="4º IPCA",'Ocorrências Mensais - FAT'!T86,IF(Dados!$D$70="5º IPCA",'Ocorrências Mensais - FAT'!U86,))))))</f>
        <v>2.98</v>
      </c>
      <c r="W86" s="2"/>
    </row>
    <row r="87" spans="1:23" hidden="1" x14ac:dyDescent="0.3">
      <c r="A87" s="47">
        <v>14</v>
      </c>
      <c r="B87" s="913" t="s">
        <v>136</v>
      </c>
      <c r="C87" s="913"/>
      <c r="D87" s="913"/>
      <c r="E87" s="48" t="s">
        <v>175</v>
      </c>
      <c r="F87" s="48" t="s">
        <v>133</v>
      </c>
      <c r="G87" s="36">
        <f t="shared" si="5"/>
        <v>8.3333333333333329E-2</v>
      </c>
      <c r="H87" s="37">
        <f t="shared" si="6"/>
        <v>0.75916666666666655</v>
      </c>
      <c r="I87" s="914" t="str">
        <f t="shared" si="7"/>
        <v>Fornecimento igual ao estimado mensalmente</v>
      </c>
      <c r="J87" s="946"/>
      <c r="K87" s="947"/>
      <c r="L87" s="774">
        <f t="shared" si="8"/>
        <v>8.3333333333333329E-2</v>
      </c>
      <c r="M87" s="803">
        <f>Mat!J67</f>
        <v>1</v>
      </c>
      <c r="N87" s="803" t="str">
        <f>Mat!K67</f>
        <v>Anual</v>
      </c>
      <c r="O87" s="804">
        <f t="shared" si="9"/>
        <v>12</v>
      </c>
      <c r="P87" s="775">
        <v>9.11</v>
      </c>
      <c r="Q87" s="627">
        <f>ROUND(IF(Dados!$J$57="SIM",P87*Dados!$N$57,P87),2)</f>
        <v>9.11</v>
      </c>
      <c r="R87" s="627">
        <f>ROUND(IF(Dados!$J$58="SIM",Q87*Dados!$N$58,Q87),2)</f>
        <v>9.11</v>
      </c>
      <c r="S87" s="627">
        <f>ROUND(IF(Dados!$J$59="SIM",R87*Dados!$N$59,R87),2)</f>
        <v>9.11</v>
      </c>
      <c r="T87" s="627">
        <f>ROUND(IF(Dados!$J$60="SIM",S87*Dados!$N$60,S87),2)</f>
        <v>9.11</v>
      </c>
      <c r="U87" s="764">
        <f>ROUND(IF(Dados!$J$61="SIM",T87*Dados!$N$61,T87),2)</f>
        <v>9.11</v>
      </c>
      <c r="V87" s="3">
        <f>IF(Dados!$D$70="INICIAL",'Ocorrências Mensais - FAT'!P87,IF(Dados!$D$70="1º IPCA",'Ocorrências Mensais - FAT'!Q87,IF(Dados!$D$70="2º IPCA",'Ocorrências Mensais - FAT'!R87,IF(Dados!$D$70="3º IPCA",'Ocorrências Mensais - FAT'!S87,IF(Dados!$D$70="4º IPCA",'Ocorrências Mensais - FAT'!T87,IF(Dados!$D$70="5º IPCA",'Ocorrências Mensais - FAT'!U87,))))))</f>
        <v>9.11</v>
      </c>
      <c r="W87" s="2"/>
    </row>
    <row r="88" spans="1:23" hidden="1" x14ac:dyDescent="0.3">
      <c r="A88" s="47">
        <v>15</v>
      </c>
      <c r="B88" s="913" t="s">
        <v>196</v>
      </c>
      <c r="C88" s="913"/>
      <c r="D88" s="913"/>
      <c r="E88" s="48" t="s">
        <v>175</v>
      </c>
      <c r="F88" s="48" t="s">
        <v>197</v>
      </c>
      <c r="G88" s="36">
        <f t="shared" si="5"/>
        <v>0.66666666666666663</v>
      </c>
      <c r="H88" s="37">
        <f t="shared" si="6"/>
        <v>3.26</v>
      </c>
      <c r="I88" s="914" t="str">
        <f t="shared" si="7"/>
        <v>Fornecimento igual ao estimado mensalmente</v>
      </c>
      <c r="J88" s="959"/>
      <c r="K88" s="960"/>
      <c r="L88" s="774">
        <f t="shared" si="8"/>
        <v>0.66666666666666663</v>
      </c>
      <c r="M88" s="805">
        <f>Mat!J68</f>
        <v>2</v>
      </c>
      <c r="N88" s="805" t="str">
        <f>Mat!K68</f>
        <v>Trimestral</v>
      </c>
      <c r="O88" s="806">
        <f t="shared" si="9"/>
        <v>3</v>
      </c>
      <c r="P88" s="775">
        <v>4.8899999999999997</v>
      </c>
      <c r="Q88" s="627">
        <f>ROUND(IF(Dados!$J$57="SIM",P88*Dados!$N$57,P88),2)</f>
        <v>4.8899999999999997</v>
      </c>
      <c r="R88" s="627">
        <f>ROUND(IF(Dados!$J$58="SIM",Q88*Dados!$N$58,Q88),2)</f>
        <v>4.8899999999999997</v>
      </c>
      <c r="S88" s="627">
        <f>ROUND(IF(Dados!$J$59="SIM",R88*Dados!$N$59,R88),2)</f>
        <v>4.8899999999999997</v>
      </c>
      <c r="T88" s="627">
        <f>ROUND(IF(Dados!$J$60="SIM",S88*Dados!$N$60,S88),2)</f>
        <v>4.8899999999999997</v>
      </c>
      <c r="U88" s="764">
        <f>ROUND(IF(Dados!$J$61="SIM",T88*Dados!$N$61,T88),2)</f>
        <v>4.8899999999999997</v>
      </c>
      <c r="V88" s="3">
        <f>IF(Dados!$D$70="INICIAL",'Ocorrências Mensais - FAT'!P88,IF(Dados!$D$70="1º IPCA",'Ocorrências Mensais - FAT'!Q88,IF(Dados!$D$70="2º IPCA",'Ocorrências Mensais - FAT'!R88,IF(Dados!$D$70="3º IPCA",'Ocorrências Mensais - FAT'!S88,IF(Dados!$D$70="4º IPCA",'Ocorrências Mensais - FAT'!T88,IF(Dados!$D$70="5º IPCA",'Ocorrências Mensais - FAT'!U88,))))))</f>
        <v>4.8899999999999997</v>
      </c>
      <c r="W88" s="2"/>
    </row>
    <row r="89" spans="1:23" hidden="1" x14ac:dyDescent="0.3">
      <c r="A89" s="47">
        <v>16</v>
      </c>
      <c r="B89" s="913" t="s">
        <v>147</v>
      </c>
      <c r="C89" s="913"/>
      <c r="D89" s="913"/>
      <c r="E89" s="48" t="s">
        <v>175</v>
      </c>
      <c r="F89" s="38" t="s">
        <v>146</v>
      </c>
      <c r="G89" s="36">
        <f t="shared" si="5"/>
        <v>0.16666666666666666</v>
      </c>
      <c r="H89" s="37">
        <f t="shared" si="6"/>
        <v>2.9116666666666662</v>
      </c>
      <c r="I89" s="914" t="str">
        <f t="shared" si="7"/>
        <v>Fornecimento igual ao estimado mensalmente</v>
      </c>
      <c r="J89" s="961"/>
      <c r="K89" s="962"/>
      <c r="L89" s="774">
        <f t="shared" si="8"/>
        <v>0.16666666666666666</v>
      </c>
      <c r="M89" s="807">
        <f>Mat!J69</f>
        <v>1</v>
      </c>
      <c r="N89" s="807" t="str">
        <f>Mat!K69</f>
        <v>Semestral</v>
      </c>
      <c r="O89" s="808">
        <f t="shared" si="9"/>
        <v>6</v>
      </c>
      <c r="P89" s="775">
        <v>17.47</v>
      </c>
      <c r="Q89" s="627">
        <f>ROUND(IF(Dados!$J$57="SIM",P89*Dados!$N$57,P89),2)</f>
        <v>17.47</v>
      </c>
      <c r="R89" s="627">
        <f>ROUND(IF(Dados!$J$58="SIM",Q89*Dados!$N$58,Q89),2)</f>
        <v>17.47</v>
      </c>
      <c r="S89" s="627">
        <f>ROUND(IF(Dados!$J$59="SIM",R89*Dados!$N$59,R89),2)</f>
        <v>17.47</v>
      </c>
      <c r="T89" s="627">
        <f>ROUND(IF(Dados!$J$60="SIM",S89*Dados!$N$60,S89),2)</f>
        <v>17.47</v>
      </c>
      <c r="U89" s="764">
        <f>ROUND(IF(Dados!$J$61="SIM",T89*Dados!$N$61,T89),2)</f>
        <v>17.47</v>
      </c>
      <c r="V89" s="3">
        <f>IF(Dados!$D$70="INICIAL",'Ocorrências Mensais - FAT'!P89,IF(Dados!$D$70="1º IPCA",'Ocorrências Mensais - FAT'!Q89,IF(Dados!$D$70="2º IPCA",'Ocorrências Mensais - FAT'!R89,IF(Dados!$D$70="3º IPCA",'Ocorrências Mensais - FAT'!S89,IF(Dados!$D$70="4º IPCA",'Ocorrências Mensais - FAT'!T89,IF(Dados!$D$70="5º IPCA",'Ocorrências Mensais - FAT'!U89,))))))</f>
        <v>17.47</v>
      </c>
      <c r="W89" s="2"/>
    </row>
    <row r="90" spans="1:23" hidden="1" x14ac:dyDescent="0.3">
      <c r="A90" s="47">
        <v>17</v>
      </c>
      <c r="B90" s="913" t="s">
        <v>148</v>
      </c>
      <c r="C90" s="913"/>
      <c r="D90" s="913"/>
      <c r="E90" s="48" t="s">
        <v>175</v>
      </c>
      <c r="F90" s="38" t="s">
        <v>181</v>
      </c>
      <c r="G90" s="36">
        <f t="shared" si="5"/>
        <v>1</v>
      </c>
      <c r="H90" s="37">
        <f t="shared" si="6"/>
        <v>2.78</v>
      </c>
      <c r="I90" s="914" t="str">
        <f t="shared" si="7"/>
        <v>Fornecimento igual ao estimado mensalmente</v>
      </c>
      <c r="J90" s="963"/>
      <c r="K90" s="964"/>
      <c r="L90" s="774">
        <f t="shared" si="8"/>
        <v>1</v>
      </c>
      <c r="M90" s="809">
        <f>Mat!J70</f>
        <v>1</v>
      </c>
      <c r="N90" s="809" t="str">
        <f>Mat!K70</f>
        <v>Mensal</v>
      </c>
      <c r="O90" s="810">
        <f t="shared" si="9"/>
        <v>1</v>
      </c>
      <c r="P90" s="775">
        <v>2.78</v>
      </c>
      <c r="Q90" s="627">
        <f>ROUND(IF(Dados!$J$57="SIM",P90*Dados!$N$57,P90),2)</f>
        <v>2.78</v>
      </c>
      <c r="R90" s="627">
        <f>ROUND(IF(Dados!$J$58="SIM",Q90*Dados!$N$58,Q90),2)</f>
        <v>2.78</v>
      </c>
      <c r="S90" s="627">
        <f>ROUND(IF(Dados!$J$59="SIM",R90*Dados!$N$59,R90),2)</f>
        <v>2.78</v>
      </c>
      <c r="T90" s="627">
        <f>ROUND(IF(Dados!$J$60="SIM",S90*Dados!$N$60,S90),2)</f>
        <v>2.78</v>
      </c>
      <c r="U90" s="764">
        <f>ROUND(IF(Dados!$J$61="SIM",T90*Dados!$N$61,T90),2)</f>
        <v>2.78</v>
      </c>
      <c r="V90" s="3">
        <f>IF(Dados!$D$70="INICIAL",'Ocorrências Mensais - FAT'!P90,IF(Dados!$D$70="1º IPCA",'Ocorrências Mensais - FAT'!Q90,IF(Dados!$D$70="2º IPCA",'Ocorrências Mensais - FAT'!R90,IF(Dados!$D$70="3º IPCA",'Ocorrências Mensais - FAT'!S90,IF(Dados!$D$70="4º IPCA",'Ocorrências Mensais - FAT'!T90,IF(Dados!$D$70="5º IPCA",'Ocorrências Mensais - FAT'!U90,))))))</f>
        <v>2.78</v>
      </c>
      <c r="W90" s="2"/>
    </row>
    <row r="91" spans="1:23" ht="15" hidden="1" thickBot="1" x14ac:dyDescent="0.35">
      <c r="A91" s="49">
        <v>19</v>
      </c>
      <c r="B91" s="1010" t="s">
        <v>198</v>
      </c>
      <c r="C91" s="1010"/>
      <c r="D91" s="1010"/>
      <c r="E91" s="50" t="s">
        <v>175</v>
      </c>
      <c r="F91" s="50" t="s">
        <v>199</v>
      </c>
      <c r="G91" s="36">
        <f t="shared" si="5"/>
        <v>1</v>
      </c>
      <c r="H91" s="37">
        <f t="shared" si="6"/>
        <v>7.67</v>
      </c>
      <c r="I91" s="900" t="str">
        <f t="shared" si="7"/>
        <v>Fornecimento igual ao estimado mensalmente</v>
      </c>
      <c r="J91" s="901"/>
      <c r="K91" s="902"/>
      <c r="L91" s="259">
        <f t="shared" si="8"/>
        <v>1</v>
      </c>
      <c r="M91" s="811">
        <f>Mat!J71</f>
        <v>1</v>
      </c>
      <c r="N91" s="811" t="str">
        <f>Mat!K71</f>
        <v>Mensal</v>
      </c>
      <c r="O91" s="812">
        <f t="shared" si="9"/>
        <v>1</v>
      </c>
      <c r="P91" s="53">
        <v>7.67</v>
      </c>
      <c r="Q91" s="770">
        <f>ROUND(IF(Dados!$J$57="SIM",P91*Dados!$N$57,P91),2)</f>
        <v>7.67</v>
      </c>
      <c r="R91" s="770">
        <f>ROUND(IF(Dados!$J$58="SIM",Q91*Dados!$N$58,Q91),2)</f>
        <v>7.67</v>
      </c>
      <c r="S91" s="770">
        <f>ROUND(IF(Dados!$J$59="SIM",R91*Dados!$N$59,R91),2)</f>
        <v>7.67</v>
      </c>
      <c r="T91" s="770">
        <f>ROUND(IF(Dados!$J$60="SIM",S91*Dados!$N$60,S91),2)</f>
        <v>7.67</v>
      </c>
      <c r="U91" s="43">
        <f>ROUND(IF(Dados!$J$61="SIM",T91*Dados!$N$61,T91),2)</f>
        <v>7.67</v>
      </c>
      <c r="V91" s="3">
        <f>IF(Dados!$D$70="INICIAL",'Ocorrências Mensais - FAT'!P91,IF(Dados!$D$70="1º IPCA",'Ocorrências Mensais - FAT'!Q91,IF(Dados!$D$70="2º IPCA",'Ocorrências Mensais - FAT'!R91,IF(Dados!$D$70="3º IPCA",'Ocorrências Mensais - FAT'!S91,IF(Dados!$D$70="4º IPCA",'Ocorrências Mensais - FAT'!T91,IF(Dados!$D$70="5º IPCA",'Ocorrências Mensais - FAT'!U91,))))))</f>
        <v>7.67</v>
      </c>
      <c r="W91" s="2"/>
    </row>
    <row r="92" spans="1:23" hidden="1" x14ac:dyDescent="0.3">
      <c r="A92" s="954" t="s">
        <v>168</v>
      </c>
      <c r="B92" s="955"/>
      <c r="C92" s="955"/>
      <c r="D92" s="955"/>
      <c r="E92" s="955"/>
      <c r="F92" s="955"/>
      <c r="G92" s="956"/>
      <c r="H92" s="238">
        <f>SUM(H74:H91)</f>
        <v>95.650833333333352</v>
      </c>
      <c r="I92" s="44"/>
      <c r="J92" s="44"/>
      <c r="K92" s="2"/>
      <c r="L92" s="24"/>
      <c r="M92" s="34"/>
      <c r="N92" s="24"/>
      <c r="P92" s="3"/>
      <c r="Q92" s="3"/>
      <c r="V92" s="2"/>
      <c r="W92" s="2"/>
    </row>
    <row r="93" spans="1:23" hidden="1" x14ac:dyDescent="0.3">
      <c r="A93" s="957" t="s">
        <v>169</v>
      </c>
      <c r="B93" s="958"/>
      <c r="C93" s="958"/>
      <c r="D93" s="958"/>
      <c r="E93" s="958"/>
      <c r="F93" s="958"/>
      <c r="G93" s="45">
        <f>Dados!$G$44</f>
        <v>0.03</v>
      </c>
      <c r="H93" s="240">
        <f>ROUND((H92*G93),2)</f>
        <v>2.87</v>
      </c>
      <c r="I93" s="24"/>
      <c r="J93" s="24"/>
      <c r="K93" s="2"/>
      <c r="L93" s="24"/>
      <c r="M93" s="24"/>
      <c r="N93" s="24"/>
      <c r="P93" s="3"/>
      <c r="Q93" s="3"/>
      <c r="V93" s="2"/>
      <c r="W93" s="2"/>
    </row>
    <row r="94" spans="1:23" hidden="1" x14ac:dyDescent="0.3">
      <c r="A94" s="957" t="s">
        <v>170</v>
      </c>
      <c r="B94" s="958"/>
      <c r="C94" s="958"/>
      <c r="D94" s="958"/>
      <c r="E94" s="958"/>
      <c r="F94" s="958"/>
      <c r="G94" s="45">
        <f>Dados!$G$45</f>
        <v>6.7900000000000002E-2</v>
      </c>
      <c r="H94" s="240">
        <f>ROUND((SUM(H92:H93)*G94),2)</f>
        <v>6.69</v>
      </c>
      <c r="I94" s="24"/>
      <c r="J94" s="24"/>
      <c r="K94" s="2"/>
      <c r="L94" s="24"/>
      <c r="M94" s="24"/>
      <c r="N94" s="24"/>
      <c r="P94" s="3"/>
      <c r="Q94" s="3"/>
      <c r="V94" s="2"/>
      <c r="W94" s="2"/>
    </row>
    <row r="95" spans="1:23" hidden="1" x14ac:dyDescent="0.3">
      <c r="A95" s="957" t="s">
        <v>171</v>
      </c>
      <c r="B95" s="958"/>
      <c r="C95" s="958"/>
      <c r="D95" s="958"/>
      <c r="E95" s="958"/>
      <c r="F95" s="958"/>
      <c r="G95" s="45">
        <f>Dados!$G$56</f>
        <v>0.1225</v>
      </c>
      <c r="H95" s="240">
        <f>ROUND((H96*G95),2)</f>
        <v>14.69</v>
      </c>
      <c r="I95" s="24"/>
      <c r="J95" s="24"/>
      <c r="K95" s="2"/>
      <c r="L95" s="24"/>
      <c r="M95" s="24"/>
      <c r="N95" s="24"/>
      <c r="P95" s="3"/>
      <c r="Q95" s="3"/>
      <c r="V95" s="2"/>
      <c r="W95" s="2"/>
    </row>
    <row r="96" spans="1:23" ht="15" hidden="1" thickBot="1" x14ac:dyDescent="0.35">
      <c r="A96" s="917" t="s">
        <v>200</v>
      </c>
      <c r="B96" s="918"/>
      <c r="C96" s="918"/>
      <c r="D96" s="918"/>
      <c r="E96" s="918"/>
      <c r="F96" s="918"/>
      <c r="G96" s="919"/>
      <c r="H96" s="241">
        <f>ROUND((SUM(H92:H94)/(1-G95)),2)</f>
        <v>119.9</v>
      </c>
      <c r="I96" s="24"/>
      <c r="J96" s="24"/>
      <c r="K96" s="2"/>
      <c r="L96" s="24"/>
      <c r="M96" s="24"/>
      <c r="N96" s="24"/>
      <c r="P96" s="3"/>
      <c r="Q96" s="3"/>
      <c r="V96" s="2"/>
      <c r="W96" s="2"/>
    </row>
    <row r="97" spans="1:23" ht="15" hidden="1" thickBot="1" x14ac:dyDescent="0.35">
      <c r="A97" s="46"/>
      <c r="B97" s="34"/>
      <c r="C97" s="34"/>
      <c r="D97" s="34"/>
      <c r="E97" s="34"/>
      <c r="F97" s="34"/>
      <c r="G97" s="46"/>
      <c r="H97" s="34"/>
      <c r="I97" s="24"/>
      <c r="J97" s="24"/>
      <c r="K97" s="2"/>
      <c r="L97" s="24"/>
      <c r="M97" s="24"/>
      <c r="N97" s="24"/>
      <c r="P97" s="3"/>
      <c r="Q97" s="3"/>
      <c r="V97" s="2"/>
      <c r="W97" s="2"/>
    </row>
    <row r="98" spans="1:23" ht="26.25" hidden="1" customHeight="1" x14ac:dyDescent="0.3">
      <c r="A98" s="965" t="s">
        <v>65</v>
      </c>
      <c r="B98" s="967" t="s">
        <v>201</v>
      </c>
      <c r="C98" s="955"/>
      <c r="D98" s="955"/>
      <c r="E98" s="956"/>
      <c r="F98" s="968" t="s">
        <v>67</v>
      </c>
      <c r="G98" s="968"/>
      <c r="H98" s="969"/>
      <c r="I98" s="925" t="s">
        <v>686</v>
      </c>
      <c r="J98" s="926"/>
      <c r="K98" s="874"/>
      <c r="L98" s="907" t="s">
        <v>68</v>
      </c>
      <c r="M98" s="908"/>
      <c r="N98" s="908"/>
      <c r="O98" s="909"/>
      <c r="P98" s="907" t="s">
        <v>69</v>
      </c>
      <c r="Q98" s="908"/>
      <c r="R98" s="908"/>
      <c r="S98" s="908"/>
      <c r="T98" s="908"/>
      <c r="U98" s="909"/>
      <c r="V98" s="2"/>
      <c r="W98" s="2"/>
    </row>
    <row r="99" spans="1:23" ht="69" hidden="1" x14ac:dyDescent="0.3">
      <c r="A99" s="966"/>
      <c r="B99" s="910" t="s">
        <v>70</v>
      </c>
      <c r="C99" s="911"/>
      <c r="D99" s="912"/>
      <c r="E99" s="25" t="s">
        <v>71</v>
      </c>
      <c r="F99" s="25" t="s">
        <v>72</v>
      </c>
      <c r="G99" s="25" t="s">
        <v>73</v>
      </c>
      <c r="H99" s="26" t="s">
        <v>74</v>
      </c>
      <c r="I99" s="927"/>
      <c r="J99" s="928"/>
      <c r="K99" s="929"/>
      <c r="L99" s="771" t="s">
        <v>75</v>
      </c>
      <c r="M99" s="649" t="s">
        <v>76</v>
      </c>
      <c r="N99" s="649" t="s">
        <v>77</v>
      </c>
      <c r="O99" s="772" t="s">
        <v>78</v>
      </c>
      <c r="P99" s="773" t="s">
        <v>79</v>
      </c>
      <c r="Q99" s="649" t="s">
        <v>80</v>
      </c>
      <c r="R99" s="649" t="s">
        <v>81</v>
      </c>
      <c r="S99" s="649" t="s">
        <v>82</v>
      </c>
      <c r="T99" s="649" t="s">
        <v>83</v>
      </c>
      <c r="U99" s="772" t="s">
        <v>84</v>
      </c>
      <c r="V99" s="2"/>
      <c r="W99" s="2"/>
    </row>
    <row r="100" spans="1:23" hidden="1" x14ac:dyDescent="0.3">
      <c r="A100" s="47">
        <v>1</v>
      </c>
      <c r="B100" s="913" t="s">
        <v>202</v>
      </c>
      <c r="C100" s="913"/>
      <c r="D100" s="913"/>
      <c r="E100" s="48" t="s">
        <v>188</v>
      </c>
      <c r="F100" s="48" t="s">
        <v>203</v>
      </c>
      <c r="G100" s="36">
        <f t="shared" ref="G100:G106" si="10">IF($D$4="PLANILHA PARA LICITAÇÃO (PRECIFICAÇÃO)",L100,0)</f>
        <v>2</v>
      </c>
      <c r="H100" s="37">
        <f t="shared" ref="H100:H106" si="11">G100*P100</f>
        <v>16.940000000000001</v>
      </c>
      <c r="I100" s="914" t="str">
        <f t="shared" ref="I100:I106" si="12">IF(G100&lt;L100,"Fornecimento inferior ao estimado mensalmente",IF(G100=L100,"Fornecimento igual ao estimado mensalmente",IF(G100&gt;L100,"Fornecimento superior ao estimado mensalmente",)))</f>
        <v>Fornecimento igual ao estimado mensalmente</v>
      </c>
      <c r="J100" s="886"/>
      <c r="K100" s="898"/>
      <c r="L100" s="774">
        <f t="shared" ref="L100:L106" si="13">M100/O100</f>
        <v>2</v>
      </c>
      <c r="M100" s="261">
        <f>Mat!J78</f>
        <v>2</v>
      </c>
      <c r="N100" s="261" t="str">
        <f>Mat!K78</f>
        <v>Mensal</v>
      </c>
      <c r="O100" s="260">
        <f t="shared" ref="O100:O106" si="14">IF(N100="MENSAL",1,IF(N100="BIMESTRAL",2,IF(N100="TRIMESTRAL",3,IF(N100="QUADRIMESTRAL",4,IF(N100="SEMESTRAL",6,IF(N100="ANUAL",12,IF(N100="BIENAL",24,"")))))))</f>
        <v>1</v>
      </c>
      <c r="P100" s="775">
        <v>8.4700000000000006</v>
      </c>
      <c r="Q100" s="627">
        <f>ROUND(IF(Dados!$J$57="SIM",P100*Dados!$N$57,P100),2)</f>
        <v>8.4700000000000006</v>
      </c>
      <c r="R100" s="627">
        <f>ROUND(IF(Dados!$J$58="SIM",Q100*Dados!$N$58,Q100),2)</f>
        <v>8.4700000000000006</v>
      </c>
      <c r="S100" s="627">
        <f>ROUND(IF(Dados!$J$59="SIM",R100*Dados!$N$59,R100),2)</f>
        <v>8.4700000000000006</v>
      </c>
      <c r="T100" s="627">
        <f>ROUND(IF(Dados!$J$60="SIM",S100*Dados!$N$60,S100),2)</f>
        <v>8.4700000000000006</v>
      </c>
      <c r="U100" s="764">
        <f>ROUND(IF(Dados!$J$61="SIM",T100*Dados!$N$61,T100),2)</f>
        <v>8.4700000000000006</v>
      </c>
      <c r="V100" s="3">
        <f>IF(Dados!$D$70="INICIAL",'Ocorrências Mensais - FAT'!P100,IF(Dados!$D$70="1º IPCA",'Ocorrências Mensais - FAT'!Q100,IF(Dados!$D$70="2º IPCA",'Ocorrências Mensais - FAT'!R100,IF(Dados!$D$70="3º IPCA",'Ocorrências Mensais - FAT'!S100,IF(Dados!$D$70="4º IPCA",'Ocorrências Mensais - FAT'!T100,IF(Dados!$D$70="5º IPCA",'Ocorrências Mensais - FAT'!U100,))))))</f>
        <v>8.4700000000000006</v>
      </c>
      <c r="W100" s="2"/>
    </row>
    <row r="101" spans="1:23" hidden="1" x14ac:dyDescent="0.3">
      <c r="A101" s="47">
        <v>2</v>
      </c>
      <c r="B101" s="913" t="s">
        <v>204</v>
      </c>
      <c r="C101" s="913"/>
      <c r="D101" s="913"/>
      <c r="E101" s="48" t="s">
        <v>175</v>
      </c>
      <c r="F101" s="48" t="s">
        <v>203</v>
      </c>
      <c r="G101" s="36">
        <f t="shared" si="10"/>
        <v>1</v>
      </c>
      <c r="H101" s="37">
        <f t="shared" si="11"/>
        <v>21.09</v>
      </c>
      <c r="I101" s="914" t="str">
        <f t="shared" si="12"/>
        <v>Fornecimento igual ao estimado mensalmente</v>
      </c>
      <c r="J101" s="886"/>
      <c r="K101" s="898"/>
      <c r="L101" s="774">
        <f t="shared" si="13"/>
        <v>1</v>
      </c>
      <c r="M101" s="261">
        <f>Mat!J79</f>
        <v>2</v>
      </c>
      <c r="N101" s="261" t="str">
        <f>Mat!K79</f>
        <v>Bimestral</v>
      </c>
      <c r="O101" s="260">
        <f t="shared" si="14"/>
        <v>2</v>
      </c>
      <c r="P101" s="775">
        <v>21.09</v>
      </c>
      <c r="Q101" s="627">
        <f>ROUND(IF(Dados!$J$57="SIM",P101*Dados!$N$57,P101),2)</f>
        <v>21.09</v>
      </c>
      <c r="R101" s="627">
        <f>ROUND(IF(Dados!$J$58="SIM",Q101*Dados!$N$58,Q101),2)</f>
        <v>21.09</v>
      </c>
      <c r="S101" s="627">
        <f>ROUND(IF(Dados!$J$59="SIM",R101*Dados!$N$59,R101),2)</f>
        <v>21.09</v>
      </c>
      <c r="T101" s="627">
        <f>ROUND(IF(Dados!$J$60="SIM",S101*Dados!$N$60,S101),2)</f>
        <v>21.09</v>
      </c>
      <c r="U101" s="764">
        <f>ROUND(IF(Dados!$J$61="SIM",T101*Dados!$N$61,T101),2)</f>
        <v>21.09</v>
      </c>
      <c r="V101" s="3">
        <f>IF(Dados!$D$70="INICIAL",'Ocorrências Mensais - FAT'!P101,IF(Dados!$D$70="1º IPCA",'Ocorrências Mensais - FAT'!Q101,IF(Dados!$D$70="2º IPCA",'Ocorrências Mensais - FAT'!R101,IF(Dados!$D$70="3º IPCA",'Ocorrências Mensais - FAT'!S101,IF(Dados!$D$70="4º IPCA",'Ocorrências Mensais - FAT'!T101,IF(Dados!$D$70="5º IPCA",'Ocorrências Mensais - FAT'!U101,))))))</f>
        <v>21.09</v>
      </c>
      <c r="W101" s="2"/>
    </row>
    <row r="102" spans="1:23" hidden="1" x14ac:dyDescent="0.3">
      <c r="A102" s="47">
        <v>3</v>
      </c>
      <c r="B102" s="913" t="s">
        <v>205</v>
      </c>
      <c r="C102" s="913"/>
      <c r="D102" s="913"/>
      <c r="E102" s="48" t="s">
        <v>175</v>
      </c>
      <c r="F102" s="48" t="s">
        <v>206</v>
      </c>
      <c r="G102" s="36">
        <f t="shared" si="10"/>
        <v>1</v>
      </c>
      <c r="H102" s="37">
        <f t="shared" si="11"/>
        <v>13.98</v>
      </c>
      <c r="I102" s="914" t="str">
        <f t="shared" si="12"/>
        <v>Fornecimento igual ao estimado mensalmente</v>
      </c>
      <c r="J102" s="886"/>
      <c r="K102" s="898"/>
      <c r="L102" s="774">
        <f t="shared" si="13"/>
        <v>1</v>
      </c>
      <c r="M102" s="261">
        <f>Mat!J80</f>
        <v>1</v>
      </c>
      <c r="N102" s="261" t="str">
        <f>Mat!K80</f>
        <v>Mensal</v>
      </c>
      <c r="O102" s="260">
        <f t="shared" si="14"/>
        <v>1</v>
      </c>
      <c r="P102" s="775">
        <v>13.98</v>
      </c>
      <c r="Q102" s="627">
        <f>ROUND(IF(Dados!$J$57="SIM",P102*Dados!$N$57,P102),2)</f>
        <v>13.98</v>
      </c>
      <c r="R102" s="627">
        <f>ROUND(IF(Dados!$J$58="SIM",Q102*Dados!$N$58,Q102),2)</f>
        <v>13.98</v>
      </c>
      <c r="S102" s="627">
        <f>ROUND(IF(Dados!$J$59="SIM",R102*Dados!$N$59,R102),2)</f>
        <v>13.98</v>
      </c>
      <c r="T102" s="627">
        <f>ROUND(IF(Dados!$J$60="SIM",S102*Dados!$N$60,S102),2)</f>
        <v>13.98</v>
      </c>
      <c r="U102" s="764">
        <f>ROUND(IF(Dados!$J$61="SIM",T102*Dados!$N$61,T102),2)</f>
        <v>13.98</v>
      </c>
      <c r="V102" s="3">
        <f>IF(Dados!$D$70="INICIAL",'Ocorrências Mensais - FAT'!P102,IF(Dados!$D$70="1º IPCA",'Ocorrências Mensais - FAT'!Q102,IF(Dados!$D$70="2º IPCA",'Ocorrências Mensais - FAT'!R102,IF(Dados!$D$70="3º IPCA",'Ocorrências Mensais - FAT'!S102,IF(Dados!$D$70="4º IPCA",'Ocorrências Mensais - FAT'!T102,IF(Dados!$D$70="5º IPCA",'Ocorrências Mensais - FAT'!U102,))))))</f>
        <v>13.98</v>
      </c>
      <c r="W102" s="2"/>
    </row>
    <row r="103" spans="1:23" hidden="1" x14ac:dyDescent="0.3">
      <c r="A103" s="47">
        <v>4</v>
      </c>
      <c r="B103" s="913" t="s">
        <v>207</v>
      </c>
      <c r="C103" s="913"/>
      <c r="D103" s="913"/>
      <c r="E103" s="48" t="s">
        <v>175</v>
      </c>
      <c r="F103" s="48" t="s">
        <v>208</v>
      </c>
      <c r="G103" s="36">
        <f t="shared" si="10"/>
        <v>1</v>
      </c>
      <c r="H103" s="37">
        <f t="shared" si="11"/>
        <v>2.2200000000000002</v>
      </c>
      <c r="I103" s="914" t="str">
        <f t="shared" si="12"/>
        <v>Fornecimento igual ao estimado mensalmente</v>
      </c>
      <c r="J103" s="886"/>
      <c r="K103" s="898"/>
      <c r="L103" s="774">
        <f t="shared" si="13"/>
        <v>1</v>
      </c>
      <c r="M103" s="261">
        <f>Mat!J81</f>
        <v>1</v>
      </c>
      <c r="N103" s="261" t="str">
        <f>Mat!K81</f>
        <v>Mensal</v>
      </c>
      <c r="O103" s="260">
        <f t="shared" si="14"/>
        <v>1</v>
      </c>
      <c r="P103" s="775">
        <v>2.2200000000000002</v>
      </c>
      <c r="Q103" s="627">
        <f>ROUND(IF(Dados!$J$57="SIM",P103*Dados!$N$57,P103),2)</f>
        <v>2.2200000000000002</v>
      </c>
      <c r="R103" s="627">
        <f>ROUND(IF(Dados!$J$58="SIM",Q103*Dados!$N$58,Q103),2)</f>
        <v>2.2200000000000002</v>
      </c>
      <c r="S103" s="627">
        <f>ROUND(IF(Dados!$J$59="SIM",R103*Dados!$N$59,R103),2)</f>
        <v>2.2200000000000002</v>
      </c>
      <c r="T103" s="627">
        <f>ROUND(IF(Dados!$J$60="SIM",S103*Dados!$N$60,S103),2)</f>
        <v>2.2200000000000002</v>
      </c>
      <c r="U103" s="764">
        <f>ROUND(IF(Dados!$J$61="SIM",T103*Dados!$N$61,T103),2)</f>
        <v>2.2200000000000002</v>
      </c>
      <c r="V103" s="3">
        <f>IF(Dados!$D$70="INICIAL",'Ocorrências Mensais - FAT'!P103,IF(Dados!$D$70="1º IPCA",'Ocorrências Mensais - FAT'!Q103,IF(Dados!$D$70="2º IPCA",'Ocorrências Mensais - FAT'!R103,IF(Dados!$D$70="3º IPCA",'Ocorrências Mensais - FAT'!S103,IF(Dados!$D$70="4º IPCA",'Ocorrências Mensais - FAT'!T103,IF(Dados!$D$70="5º IPCA",'Ocorrências Mensais - FAT'!U103,))))))</f>
        <v>2.2200000000000002</v>
      </c>
      <c r="W103" s="2"/>
    </row>
    <row r="104" spans="1:23" hidden="1" x14ac:dyDescent="0.3">
      <c r="A104" s="47">
        <v>5</v>
      </c>
      <c r="B104" s="913" t="s">
        <v>209</v>
      </c>
      <c r="C104" s="913"/>
      <c r="D104" s="913"/>
      <c r="E104" s="48" t="s">
        <v>175</v>
      </c>
      <c r="F104" s="48" t="s">
        <v>208</v>
      </c>
      <c r="G104" s="36">
        <f t="shared" si="10"/>
        <v>1</v>
      </c>
      <c r="H104" s="37">
        <f t="shared" si="11"/>
        <v>17.07</v>
      </c>
      <c r="I104" s="914" t="str">
        <f t="shared" si="12"/>
        <v>Fornecimento igual ao estimado mensalmente</v>
      </c>
      <c r="J104" s="886"/>
      <c r="K104" s="898"/>
      <c r="L104" s="774">
        <f t="shared" si="13"/>
        <v>1</v>
      </c>
      <c r="M104" s="261">
        <f>Mat!J82</f>
        <v>2</v>
      </c>
      <c r="N104" s="261" t="str">
        <f>Mat!K82</f>
        <v>Bimestral</v>
      </c>
      <c r="O104" s="260">
        <f t="shared" si="14"/>
        <v>2</v>
      </c>
      <c r="P104" s="775">
        <v>17.07</v>
      </c>
      <c r="Q104" s="627">
        <f>ROUND(IF(Dados!$J$57="SIM",P104*Dados!$N$57,P104),2)</f>
        <v>17.07</v>
      </c>
      <c r="R104" s="627">
        <f>ROUND(IF(Dados!$J$58="SIM",Q104*Dados!$N$58,Q104),2)</f>
        <v>17.07</v>
      </c>
      <c r="S104" s="627">
        <f>ROUND(IF(Dados!$J$59="SIM",R104*Dados!$N$59,R104),2)</f>
        <v>17.07</v>
      </c>
      <c r="T104" s="627">
        <f>ROUND(IF(Dados!$J$60="SIM",S104*Dados!$N$60,S104),2)</f>
        <v>17.07</v>
      </c>
      <c r="U104" s="764">
        <f>ROUND(IF(Dados!$J$61="SIM",T104*Dados!$N$61,T104),2)</f>
        <v>17.07</v>
      </c>
      <c r="V104" s="3">
        <f>IF(Dados!$D$70="INICIAL",'Ocorrências Mensais - FAT'!P104,IF(Dados!$D$70="1º IPCA",'Ocorrências Mensais - FAT'!Q104,IF(Dados!$D$70="2º IPCA",'Ocorrências Mensais - FAT'!R104,IF(Dados!$D$70="3º IPCA",'Ocorrências Mensais - FAT'!S104,IF(Dados!$D$70="4º IPCA",'Ocorrências Mensais - FAT'!T104,IF(Dados!$D$70="5º IPCA",'Ocorrências Mensais - FAT'!U104,))))))</f>
        <v>17.07</v>
      </c>
      <c r="W104" s="2"/>
    </row>
    <row r="105" spans="1:23" hidden="1" x14ac:dyDescent="0.3">
      <c r="A105" s="47">
        <v>6</v>
      </c>
      <c r="B105" s="913" t="s">
        <v>210</v>
      </c>
      <c r="C105" s="913"/>
      <c r="D105" s="913"/>
      <c r="E105" s="48" t="s">
        <v>175</v>
      </c>
      <c r="F105" s="48" t="s">
        <v>211</v>
      </c>
      <c r="G105" s="36">
        <f t="shared" si="10"/>
        <v>2</v>
      </c>
      <c r="H105" s="37">
        <f t="shared" si="11"/>
        <v>36.46</v>
      </c>
      <c r="I105" s="914" t="str">
        <f t="shared" si="12"/>
        <v>Fornecimento igual ao estimado mensalmente</v>
      </c>
      <c r="J105" s="886"/>
      <c r="K105" s="898"/>
      <c r="L105" s="774">
        <f t="shared" si="13"/>
        <v>2</v>
      </c>
      <c r="M105" s="261">
        <f>Mat!J83</f>
        <v>2</v>
      </c>
      <c r="N105" s="261" t="str">
        <f>Mat!K83</f>
        <v>Mensal</v>
      </c>
      <c r="O105" s="260">
        <f t="shared" si="14"/>
        <v>1</v>
      </c>
      <c r="P105" s="775">
        <v>18.23</v>
      </c>
      <c r="Q105" s="627">
        <f>ROUND(IF(Dados!$J$57="SIM",P105*Dados!$N$57,P105),2)</f>
        <v>18.23</v>
      </c>
      <c r="R105" s="627">
        <f>ROUND(IF(Dados!$J$58="SIM",Q105*Dados!$N$58,Q105),2)</f>
        <v>18.23</v>
      </c>
      <c r="S105" s="627">
        <f>ROUND(IF(Dados!$J$59="SIM",R105*Dados!$N$59,R105),2)</f>
        <v>18.23</v>
      </c>
      <c r="T105" s="627">
        <f>ROUND(IF(Dados!$J$60="SIM",S105*Dados!$N$60,S105),2)</f>
        <v>18.23</v>
      </c>
      <c r="U105" s="764">
        <f>ROUND(IF(Dados!$J$61="SIM",T105*Dados!$N$61,T105),2)</f>
        <v>18.23</v>
      </c>
      <c r="V105" s="3">
        <f>IF(Dados!$D$70="INICIAL",'Ocorrências Mensais - FAT'!P105,IF(Dados!$D$70="1º IPCA",'Ocorrências Mensais - FAT'!Q105,IF(Dados!$D$70="2º IPCA",'Ocorrências Mensais - FAT'!R105,IF(Dados!$D$70="3º IPCA",'Ocorrências Mensais - FAT'!S105,IF(Dados!$D$70="4º IPCA",'Ocorrências Mensais - FAT'!T105,IF(Dados!$D$70="5º IPCA",'Ocorrências Mensais - FAT'!U105,))))))</f>
        <v>18.23</v>
      </c>
      <c r="W105" s="2"/>
    </row>
    <row r="106" spans="1:23" ht="15" hidden="1" thickBot="1" x14ac:dyDescent="0.35">
      <c r="A106" s="51">
        <v>7</v>
      </c>
      <c r="B106" s="899" t="s">
        <v>212</v>
      </c>
      <c r="C106" s="899"/>
      <c r="D106" s="899"/>
      <c r="E106" s="52" t="s">
        <v>175</v>
      </c>
      <c r="F106" s="52" t="s">
        <v>213</v>
      </c>
      <c r="G106" s="36">
        <f t="shared" si="10"/>
        <v>1</v>
      </c>
      <c r="H106" s="37">
        <f t="shared" si="11"/>
        <v>17.68</v>
      </c>
      <c r="I106" s="900" t="str">
        <f t="shared" si="12"/>
        <v>Fornecimento igual ao estimado mensalmente</v>
      </c>
      <c r="J106" s="901"/>
      <c r="K106" s="902"/>
      <c r="L106" s="259">
        <f t="shared" si="13"/>
        <v>1</v>
      </c>
      <c r="M106" s="766">
        <f>Mat!J84</f>
        <v>2</v>
      </c>
      <c r="N106" s="766" t="str">
        <f>Mat!K84</f>
        <v>Bimestral</v>
      </c>
      <c r="O106" s="41">
        <f t="shared" si="14"/>
        <v>2</v>
      </c>
      <c r="P106" s="53">
        <v>17.68</v>
      </c>
      <c r="Q106" s="770">
        <f>ROUND(IF(Dados!$J$57="SIM",P106*Dados!$N$57,P106),2)</f>
        <v>17.68</v>
      </c>
      <c r="R106" s="770">
        <f>ROUND(IF(Dados!$J$58="SIM",Q106*Dados!$N$58,Q106),2)</f>
        <v>17.68</v>
      </c>
      <c r="S106" s="770">
        <f>ROUND(IF(Dados!$J$59="SIM",R106*Dados!$N$59,R106),2)</f>
        <v>17.68</v>
      </c>
      <c r="T106" s="770">
        <f>ROUND(IF(Dados!$J$60="SIM",S106*Dados!$N$60,S106),2)</f>
        <v>17.68</v>
      </c>
      <c r="U106" s="43">
        <f>ROUND(IF(Dados!$J$61="SIM",T106*Dados!$N$61,T106),2)</f>
        <v>17.68</v>
      </c>
      <c r="V106" s="3">
        <f>IF(Dados!$D$70="INICIAL",'Ocorrências Mensais - FAT'!P106,IF(Dados!$D$70="1º IPCA",'Ocorrências Mensais - FAT'!Q106,IF(Dados!$D$70="2º IPCA",'Ocorrências Mensais - FAT'!R106,IF(Dados!$D$70="3º IPCA",'Ocorrências Mensais - FAT'!S106,IF(Dados!$D$70="4º IPCA",'Ocorrências Mensais - FAT'!T106,IF(Dados!$D$70="5º IPCA",'Ocorrências Mensais - FAT'!U106,))))))</f>
        <v>17.68</v>
      </c>
      <c r="W106" s="2"/>
    </row>
    <row r="107" spans="1:23" hidden="1" x14ac:dyDescent="0.3">
      <c r="A107" s="1007" t="s">
        <v>168</v>
      </c>
      <c r="B107" s="1008"/>
      <c r="C107" s="1008"/>
      <c r="D107" s="1008"/>
      <c r="E107" s="1008"/>
      <c r="F107" s="1008"/>
      <c r="G107" s="1009"/>
      <c r="H107" s="238">
        <f>SUM(H100:H106)</f>
        <v>125.44000000000003</v>
      </c>
      <c r="I107" s="44"/>
      <c r="J107" s="44"/>
      <c r="K107" s="2"/>
      <c r="L107" s="24"/>
      <c r="M107" s="34"/>
      <c r="N107" s="24"/>
      <c r="P107" s="3"/>
      <c r="Q107" s="3"/>
      <c r="V107" s="2"/>
      <c r="W107" s="2"/>
    </row>
    <row r="108" spans="1:23" hidden="1" x14ac:dyDescent="0.3">
      <c r="A108" s="957" t="s">
        <v>169</v>
      </c>
      <c r="B108" s="958"/>
      <c r="C108" s="958"/>
      <c r="D108" s="958"/>
      <c r="E108" s="958"/>
      <c r="F108" s="958"/>
      <c r="G108" s="45">
        <f>Dados!$G$44</f>
        <v>0.03</v>
      </c>
      <c r="H108" s="240">
        <f>ROUND((H107*G108),2)</f>
        <v>3.76</v>
      </c>
      <c r="L108" s="2"/>
      <c r="M108" s="2"/>
      <c r="P108" s="3"/>
      <c r="Q108" s="3"/>
      <c r="V108" s="2"/>
      <c r="W108" s="2"/>
    </row>
    <row r="109" spans="1:23" hidden="1" x14ac:dyDescent="0.3">
      <c r="A109" s="957" t="s">
        <v>170</v>
      </c>
      <c r="B109" s="958"/>
      <c r="C109" s="958"/>
      <c r="D109" s="958"/>
      <c r="E109" s="958"/>
      <c r="F109" s="958"/>
      <c r="G109" s="45">
        <f>Dados!$G$45</f>
        <v>6.7900000000000002E-2</v>
      </c>
      <c r="H109" s="240">
        <f>ROUND((SUM(H107:H108)*G109),2)</f>
        <v>8.77</v>
      </c>
      <c r="L109" s="2"/>
      <c r="M109" s="2"/>
      <c r="P109" s="3"/>
      <c r="Q109" s="3"/>
      <c r="V109" s="2"/>
      <c r="W109" s="2"/>
    </row>
    <row r="110" spans="1:23" hidden="1" x14ac:dyDescent="0.3">
      <c r="A110" s="957" t="s">
        <v>171</v>
      </c>
      <c r="B110" s="958"/>
      <c r="C110" s="958"/>
      <c r="D110" s="958"/>
      <c r="E110" s="958"/>
      <c r="F110" s="958"/>
      <c r="G110" s="45">
        <f>Dados!$G$56</f>
        <v>0.1225</v>
      </c>
      <c r="H110" s="240">
        <f>ROUND((H111*G110),2)</f>
        <v>19.260000000000002</v>
      </c>
      <c r="L110" s="2"/>
      <c r="M110" s="2"/>
      <c r="P110" s="3"/>
      <c r="Q110" s="3"/>
      <c r="V110" s="2"/>
      <c r="W110" s="2"/>
    </row>
    <row r="111" spans="1:23" ht="15" hidden="1" thickBot="1" x14ac:dyDescent="0.35">
      <c r="A111" s="917" t="s">
        <v>214</v>
      </c>
      <c r="B111" s="918"/>
      <c r="C111" s="918"/>
      <c r="D111" s="918"/>
      <c r="E111" s="918"/>
      <c r="F111" s="918"/>
      <c r="G111" s="919"/>
      <c r="H111" s="241">
        <f>ROUND((SUM(H107:H109)/(1-G110)),2)</f>
        <v>157.22999999999999</v>
      </c>
      <c r="L111" s="2"/>
      <c r="M111" s="2"/>
      <c r="P111" s="3"/>
      <c r="Q111" s="3"/>
      <c r="V111" s="2"/>
      <c r="W111" s="2"/>
    </row>
    <row r="112" spans="1:23" ht="15" hidden="1" thickBot="1" x14ac:dyDescent="0.35">
      <c r="L112" s="2"/>
      <c r="M112" s="2"/>
      <c r="P112" s="3"/>
      <c r="Q112" s="3"/>
      <c r="V112" s="2"/>
      <c r="W112" s="2"/>
    </row>
    <row r="113" spans="1:23" ht="51" hidden="1" customHeight="1" x14ac:dyDescent="0.3">
      <c r="A113" s="990" t="s">
        <v>65</v>
      </c>
      <c r="B113" s="992" t="s">
        <v>774</v>
      </c>
      <c r="C113" s="978"/>
      <c r="D113" s="978"/>
      <c r="E113" s="993"/>
      <c r="F113" s="870" t="s">
        <v>67</v>
      </c>
      <c r="G113" s="870"/>
      <c r="H113" s="871"/>
      <c r="I113" s="972" t="s">
        <v>686</v>
      </c>
      <c r="J113" s="973"/>
      <c r="K113" s="974"/>
      <c r="L113" s="907" t="s">
        <v>68</v>
      </c>
      <c r="M113" s="978"/>
      <c r="N113" s="978"/>
      <c r="O113" s="979"/>
      <c r="P113" s="907" t="s">
        <v>69</v>
      </c>
      <c r="Q113" s="978"/>
      <c r="R113" s="978"/>
      <c r="S113" s="978"/>
      <c r="T113" s="978"/>
      <c r="U113" s="979"/>
      <c r="V113" s="2"/>
      <c r="W113" s="2"/>
    </row>
    <row r="114" spans="1:23" ht="69.599999999999994" hidden="1" thickBot="1" x14ac:dyDescent="0.35">
      <c r="A114" s="991"/>
      <c r="B114" s="980" t="s">
        <v>70</v>
      </c>
      <c r="C114" s="981"/>
      <c r="D114" s="982"/>
      <c r="E114" s="633" t="s">
        <v>71</v>
      </c>
      <c r="F114" s="633" t="s">
        <v>72</v>
      </c>
      <c r="G114" s="633" t="s">
        <v>73</v>
      </c>
      <c r="H114" s="634" t="s">
        <v>74</v>
      </c>
      <c r="I114" s="975"/>
      <c r="J114" s="976"/>
      <c r="K114" s="977"/>
      <c r="L114" s="632" t="s">
        <v>75</v>
      </c>
      <c r="M114" s="633" t="s">
        <v>76</v>
      </c>
      <c r="N114" s="633" t="s">
        <v>77</v>
      </c>
      <c r="O114" s="634" t="s">
        <v>78</v>
      </c>
      <c r="P114" s="637" t="s">
        <v>79</v>
      </c>
      <c r="Q114" s="633" t="s">
        <v>80</v>
      </c>
      <c r="R114" s="633" t="s">
        <v>81</v>
      </c>
      <c r="S114" s="633" t="s">
        <v>82</v>
      </c>
      <c r="T114" s="633" t="s">
        <v>83</v>
      </c>
      <c r="U114" s="634" t="s">
        <v>84</v>
      </c>
      <c r="V114" s="2"/>
      <c r="W114" s="2"/>
    </row>
    <row r="115" spans="1:23" ht="81" hidden="1" customHeight="1" x14ac:dyDescent="0.3">
      <c r="A115" s="628">
        <v>1</v>
      </c>
      <c r="B115" s="983" t="s">
        <v>776</v>
      </c>
      <c r="C115" s="983"/>
      <c r="D115" s="983"/>
      <c r="E115" s="635" t="s">
        <v>71</v>
      </c>
      <c r="F115" s="635" t="s">
        <v>215</v>
      </c>
      <c r="G115" s="643">
        <f>SUM(G116:G120)</f>
        <v>12</v>
      </c>
      <c r="H115" s="712">
        <f>G115*P115</f>
        <v>16.080000000000002</v>
      </c>
      <c r="I115" s="984" t="str">
        <f>IF(G115&lt;L115,"Fornecimento inferior ao estimado mensalmente",IF(G115=L115,"Fornecimento igual ao estimado mensalmente",IF(G115&gt;L115,"Fornecimento superior ao estimado mensalmente",)))</f>
        <v>Fornecimento igual ao estimado mensalmente</v>
      </c>
      <c r="J115" s="985"/>
      <c r="K115" s="985"/>
      <c r="L115" s="638">
        <f t="shared" ref="L115:L120" si="15">M115/O115</f>
        <v>12</v>
      </c>
      <c r="M115" s="715">
        <f>SUM(M116:M120)</f>
        <v>48</v>
      </c>
      <c r="N115" s="635" t="str">
        <f>EPI!F7</f>
        <v>Quadrimestral</v>
      </c>
      <c r="O115" s="639">
        <f t="shared" ref="O115:O120" si="16">IF(N115="MENSAL",1,IF(N115="BIMESTRAL",2,IF(N115="TRIMESTRAL",3,IF(N115="QUADRIMESTRAL",4,IF(N115="SEMESTRAL",6,IF(N115="ANUAL",12,IF(N115="BIENAL",24,"")))))))</f>
        <v>4</v>
      </c>
      <c r="P115" s="640">
        <v>1.34</v>
      </c>
      <c r="Q115" s="641">
        <f>ROUND(IF(Dados!$J$57="SIM",P115*Dados!$N$57,P115),2)</f>
        <v>1.34</v>
      </c>
      <c r="R115" s="641">
        <f>ROUND(IF(Dados!$J$58="SIM",Q115*Dados!$N$58,Q115),2)</f>
        <v>1.34</v>
      </c>
      <c r="S115" s="641">
        <f>ROUND(IF(Dados!$J$59="SIM",R115*Dados!$N$59,R115),2)</f>
        <v>1.34</v>
      </c>
      <c r="T115" s="641">
        <f>ROUND(IF(Dados!$J$60="SIM",S115*Dados!$N$60,S115),2)</f>
        <v>1.34</v>
      </c>
      <c r="U115" s="642">
        <f>ROUND(IF(Dados!$J$61="SIM",T115*Dados!$N$61,T115),2)</f>
        <v>1.34</v>
      </c>
      <c r="V115" s="3">
        <f>IF(Dados!$D$72="INICIAL",'Ocorrências Mensais - FAT'!P115,IF(Dados!$D$72="1º IPCA",'Ocorrências Mensais - FAT'!Q115,IF(Dados!$D$72="2º IPCA",'Ocorrências Mensais - FAT'!R115,IF(Dados!$D$72="3º IPCA",'Ocorrências Mensais - FAT'!S115,IF(Dados!$D$72="4º IPCA",'Ocorrências Mensais - FAT'!T115,IF(Dados!$D$72="5º IPCA",'Ocorrências Mensais - FAT'!U115,))))))</f>
        <v>1.34</v>
      </c>
      <c r="W115" s="2"/>
    </row>
    <row r="116" spans="1:23" hidden="1" x14ac:dyDescent="0.3">
      <c r="A116" s="629" t="s">
        <v>744</v>
      </c>
      <c r="B116" s="986" t="s">
        <v>745</v>
      </c>
      <c r="C116" s="986"/>
      <c r="D116" s="987" t="str">
        <f>B11</f>
        <v>Servente de Limpeza 40% Insalubridade</v>
      </c>
      <c r="E116" s="987"/>
      <c r="F116" s="987"/>
      <c r="G116" s="631">
        <f>IF($D$4="PLANILHA PARA LICITAÇÃO (PRECIFICAÇÃO)",L116,0)</f>
        <v>2</v>
      </c>
      <c r="H116" s="713">
        <f>G116*$P$115</f>
        <v>2.68</v>
      </c>
      <c r="I116" s="988" t="str">
        <f>IF(G116&lt;L116,"Fornecimento inferior ao estimado mensalmente",IF(G116=L116,"Fornecimento igual ao estimado mensalmente",IF(G116&gt;L116,"Fornecimento superior ao estimado mensalmente",)))</f>
        <v>Fornecimento igual ao estimado mensalmente</v>
      </c>
      <c r="J116" s="989"/>
      <c r="K116" s="989"/>
      <c r="L116" s="624">
        <f t="shared" si="15"/>
        <v>2</v>
      </c>
      <c r="M116" s="261">
        <f>EPI!K15</f>
        <v>8</v>
      </c>
      <c r="N116" s="261" t="str">
        <f>EPI!O15</f>
        <v>Quadrimestral</v>
      </c>
      <c r="O116" s="622">
        <f t="shared" si="16"/>
        <v>4</v>
      </c>
      <c r="P116" s="626">
        <v>1.34</v>
      </c>
      <c r="Q116" s="627">
        <f>ROUND(IF(Dados!$J$57="SIM",P116*Dados!$N$57,P116),2)</f>
        <v>1.34</v>
      </c>
      <c r="R116" s="627">
        <f>ROUND(IF(Dados!$J$58="SIM",Q116*Dados!$N$58,Q116),2)</f>
        <v>1.34</v>
      </c>
      <c r="S116" s="627">
        <f>ROUND(IF(Dados!$J$59="SIM",R116*Dados!$N$59,R116),2)</f>
        <v>1.34</v>
      </c>
      <c r="T116" s="627">
        <f>ROUND(IF(Dados!$J$60="SIM",S116*Dados!$N$60,S116),2)</f>
        <v>1.34</v>
      </c>
      <c r="U116" s="764">
        <f>ROUND(IF(Dados!$J$61="SIM",T116*Dados!$N$61,T116),2)</f>
        <v>1.34</v>
      </c>
      <c r="V116" s="3">
        <f>IF(Dados!$D$72="INICIAL",'Ocorrências Mensais - FAT'!P116,IF(Dados!$D$72="1º IPCA",'Ocorrências Mensais - FAT'!Q116,IF(Dados!$D$72="2º IPCA",'Ocorrências Mensais - FAT'!R116,IF(Dados!$D$72="3º IPCA",'Ocorrências Mensais - FAT'!S116,IF(Dados!$D$72="4º IPCA",'Ocorrências Mensais - FAT'!T116,IF(Dados!$D$72="5º IPCA",'Ocorrências Mensais - FAT'!U116,))))))</f>
        <v>1.34</v>
      </c>
      <c r="W116" s="2"/>
    </row>
    <row r="117" spans="1:23" hidden="1" x14ac:dyDescent="0.3">
      <c r="A117" s="629" t="s">
        <v>746</v>
      </c>
      <c r="B117" s="986" t="s">
        <v>745</v>
      </c>
      <c r="C117" s="986"/>
      <c r="D117" s="987" t="str">
        <f t="shared" ref="D117:D120" si="17">B12</f>
        <v xml:space="preserve">Servente de Limpeza  </v>
      </c>
      <c r="E117" s="987"/>
      <c r="F117" s="987"/>
      <c r="G117" s="631">
        <f t="shared" ref="G117:G120" si="18">IF($D$4="PLANILHA PARA LICITAÇÃO (PRECIFICAÇÃO)",L117,0)</f>
        <v>2</v>
      </c>
      <c r="H117" s="713">
        <f t="shared" ref="H117:H120" si="19">G117*$P$115</f>
        <v>2.68</v>
      </c>
      <c r="I117" s="988" t="str">
        <f t="shared" ref="I117:I120" si="20">IF(G117&lt;L117,"Fornecimento inferior ao estimado mensalmente",IF(G117=L117,"Fornecimento igual ao estimado mensalmente",IF(G117&gt;L117,"Fornecimento superior ao estimado mensalmente",)))</f>
        <v>Fornecimento igual ao estimado mensalmente</v>
      </c>
      <c r="J117" s="989"/>
      <c r="K117" s="989"/>
      <c r="L117" s="624">
        <f t="shared" si="15"/>
        <v>2</v>
      </c>
      <c r="M117" s="261">
        <f>EPI!K16</f>
        <v>8</v>
      </c>
      <c r="N117" s="625" t="s">
        <v>216</v>
      </c>
      <c r="O117" s="622">
        <f t="shared" si="16"/>
        <v>4</v>
      </c>
      <c r="P117" s="626">
        <v>1.34</v>
      </c>
      <c r="Q117" s="627">
        <f>ROUND(IF(Dados!$J$57="SIM",P117*Dados!$N$57,P117),2)</f>
        <v>1.34</v>
      </c>
      <c r="R117" s="627">
        <f>ROUND(IF(Dados!$J$58="SIM",Q117*Dados!$N$58,Q117),2)</f>
        <v>1.34</v>
      </c>
      <c r="S117" s="627">
        <f>ROUND(IF(Dados!$J$59="SIM",R117*Dados!$N$59,R117),2)</f>
        <v>1.34</v>
      </c>
      <c r="T117" s="627">
        <f>ROUND(IF(Dados!$J$60="SIM",S117*Dados!$N$60,S117),2)</f>
        <v>1.34</v>
      </c>
      <c r="U117" s="764">
        <f>ROUND(IF(Dados!$J$61="SIM",T117*Dados!$N$61,T117),2)</f>
        <v>1.34</v>
      </c>
      <c r="V117" s="3">
        <f>IF(Dados!$D$72="INICIAL",'Ocorrências Mensais - FAT'!P117,IF(Dados!$D$72="1º IPCA",'Ocorrências Mensais - FAT'!Q117,IF(Dados!$D$72="2º IPCA",'Ocorrências Mensais - FAT'!R117,IF(Dados!$D$72="3º IPCA",'Ocorrências Mensais - FAT'!S117,IF(Dados!$D$72="4º IPCA",'Ocorrências Mensais - FAT'!T117,IF(Dados!$D$72="5º IPCA",'Ocorrências Mensais - FAT'!U117,))))))</f>
        <v>1.34</v>
      </c>
      <c r="W117" s="2"/>
    </row>
    <row r="118" spans="1:23" hidden="1" x14ac:dyDescent="0.3">
      <c r="A118" s="629" t="s">
        <v>747</v>
      </c>
      <c r="B118" s="986" t="s">
        <v>745</v>
      </c>
      <c r="C118" s="986"/>
      <c r="D118" s="987" t="str">
        <f t="shared" si="17"/>
        <v>Copeira</v>
      </c>
      <c r="E118" s="987"/>
      <c r="F118" s="987"/>
      <c r="G118" s="631">
        <f t="shared" si="18"/>
        <v>2</v>
      </c>
      <c r="H118" s="713">
        <f t="shared" si="19"/>
        <v>2.68</v>
      </c>
      <c r="I118" s="988" t="str">
        <f t="shared" si="20"/>
        <v>Fornecimento igual ao estimado mensalmente</v>
      </c>
      <c r="J118" s="989"/>
      <c r="K118" s="989"/>
      <c r="L118" s="624">
        <f t="shared" si="15"/>
        <v>2</v>
      </c>
      <c r="M118" s="261">
        <f>EPI!K17</f>
        <v>8</v>
      </c>
      <c r="N118" s="625" t="s">
        <v>216</v>
      </c>
      <c r="O118" s="622">
        <f t="shared" si="16"/>
        <v>4</v>
      </c>
      <c r="P118" s="626">
        <v>1.34</v>
      </c>
      <c r="Q118" s="627">
        <f>ROUND(IF(Dados!$J$57="SIM",P118*Dados!$N$57,P118),2)</f>
        <v>1.34</v>
      </c>
      <c r="R118" s="627">
        <f>ROUND(IF(Dados!$J$58="SIM",Q118*Dados!$N$58,Q118),2)</f>
        <v>1.34</v>
      </c>
      <c r="S118" s="627">
        <f>ROUND(IF(Dados!$J$59="SIM",R118*Dados!$N$59,R118),2)</f>
        <v>1.34</v>
      </c>
      <c r="T118" s="627">
        <f>ROUND(IF(Dados!$J$60="SIM",S118*Dados!$N$60,S118),2)</f>
        <v>1.34</v>
      </c>
      <c r="U118" s="764">
        <f>ROUND(IF(Dados!$J$61="SIM",T118*Dados!$N$61,T118),2)</f>
        <v>1.34</v>
      </c>
      <c r="V118" s="3">
        <f>IF(Dados!$D$72="INICIAL",'Ocorrências Mensais - FAT'!P118,IF(Dados!$D$72="1º IPCA",'Ocorrências Mensais - FAT'!Q118,IF(Dados!$D$72="2º IPCA",'Ocorrências Mensais - FAT'!R118,IF(Dados!$D$72="3º IPCA",'Ocorrências Mensais - FAT'!S118,IF(Dados!$D$72="4º IPCA",'Ocorrências Mensais - FAT'!T118,IF(Dados!$D$72="5º IPCA",'Ocorrências Mensais - FAT'!U118,))))))</f>
        <v>1.34</v>
      </c>
      <c r="W118" s="2"/>
    </row>
    <row r="119" spans="1:23" hidden="1" x14ac:dyDescent="0.3">
      <c r="A119" s="629" t="s">
        <v>748</v>
      </c>
      <c r="B119" s="986" t="s">
        <v>745</v>
      </c>
      <c r="C119" s="986"/>
      <c r="D119" s="987" t="str">
        <f t="shared" si="17"/>
        <v>Zelador com Acúmulo de Lavador de Carro</v>
      </c>
      <c r="E119" s="987"/>
      <c r="F119" s="987"/>
      <c r="G119" s="631">
        <f t="shared" si="18"/>
        <v>2</v>
      </c>
      <c r="H119" s="713">
        <f t="shared" si="19"/>
        <v>2.68</v>
      </c>
      <c r="I119" s="988" t="str">
        <f t="shared" si="20"/>
        <v>Fornecimento igual ao estimado mensalmente</v>
      </c>
      <c r="J119" s="989"/>
      <c r="K119" s="989"/>
      <c r="L119" s="624">
        <f t="shared" si="15"/>
        <v>2</v>
      </c>
      <c r="M119" s="261">
        <f>EPI!K18</f>
        <v>8</v>
      </c>
      <c r="N119" s="625" t="s">
        <v>216</v>
      </c>
      <c r="O119" s="622">
        <f t="shared" si="16"/>
        <v>4</v>
      </c>
      <c r="P119" s="626">
        <v>1.34</v>
      </c>
      <c r="Q119" s="627">
        <f>ROUND(IF(Dados!$J$57="SIM",P119*Dados!$N$57,P119),2)</f>
        <v>1.34</v>
      </c>
      <c r="R119" s="627">
        <f>ROUND(IF(Dados!$J$58="SIM",Q119*Dados!$N$58,Q119),2)</f>
        <v>1.34</v>
      </c>
      <c r="S119" s="627">
        <f>ROUND(IF(Dados!$J$59="SIM",R119*Dados!$N$59,R119),2)</f>
        <v>1.34</v>
      </c>
      <c r="T119" s="627">
        <f>ROUND(IF(Dados!$J$60="SIM",S119*Dados!$N$60,S119),2)</f>
        <v>1.34</v>
      </c>
      <c r="U119" s="764">
        <f>ROUND(IF(Dados!$J$61="SIM",T119*Dados!$N$61,T119),2)</f>
        <v>1.34</v>
      </c>
      <c r="V119" s="3">
        <f>IF(Dados!$D$72="INICIAL",'Ocorrências Mensais - FAT'!P119,IF(Dados!$D$72="1º IPCA",'Ocorrências Mensais - FAT'!Q119,IF(Dados!$D$72="2º IPCA",'Ocorrências Mensais - FAT'!R119,IF(Dados!$D$72="3º IPCA",'Ocorrências Mensais - FAT'!S119,IF(Dados!$D$72="4º IPCA",'Ocorrências Mensais - FAT'!T119,IF(Dados!$D$72="5º IPCA",'Ocorrências Mensais - FAT'!U119,))))))</f>
        <v>1.34</v>
      </c>
      <c r="W119" s="2"/>
    </row>
    <row r="120" spans="1:23" ht="15" hidden="1" thickBot="1" x14ac:dyDescent="0.35">
      <c r="A120" s="51" t="s">
        <v>749</v>
      </c>
      <c r="B120" s="994" t="s">
        <v>745</v>
      </c>
      <c r="C120" s="994"/>
      <c r="D120" s="995" t="str">
        <f t="shared" si="17"/>
        <v>Auxiliar Administrativo</v>
      </c>
      <c r="E120" s="995"/>
      <c r="F120" s="995"/>
      <c r="G120" s="636">
        <f t="shared" si="18"/>
        <v>4</v>
      </c>
      <c r="H120" s="714">
        <f t="shared" si="19"/>
        <v>5.36</v>
      </c>
      <c r="I120" s="996" t="str">
        <f t="shared" si="20"/>
        <v>Fornecimento igual ao estimado mensalmente</v>
      </c>
      <c r="J120" s="997"/>
      <c r="K120" s="997"/>
      <c r="L120" s="765">
        <f t="shared" si="15"/>
        <v>4</v>
      </c>
      <c r="M120" s="766">
        <f>EPI!K19</f>
        <v>16</v>
      </c>
      <c r="N120" s="767" t="s">
        <v>216</v>
      </c>
      <c r="O120" s="768">
        <f t="shared" si="16"/>
        <v>4</v>
      </c>
      <c r="P120" s="769">
        <v>1.34</v>
      </c>
      <c r="Q120" s="770">
        <f>ROUND(IF(Dados!$J$57="SIM",P120*Dados!$N$57,P120),2)</f>
        <v>1.34</v>
      </c>
      <c r="R120" s="770">
        <f>ROUND(IF(Dados!$J$58="SIM",Q120*Dados!$N$58,Q120),2)</f>
        <v>1.34</v>
      </c>
      <c r="S120" s="770">
        <f>ROUND(IF(Dados!$J$59="SIM",R120*Dados!$N$59,R120),2)</f>
        <v>1.34</v>
      </c>
      <c r="T120" s="770">
        <f>ROUND(IF(Dados!$J$60="SIM",S120*Dados!$N$60,S120),2)</f>
        <v>1.34</v>
      </c>
      <c r="U120" s="43">
        <f>ROUND(IF(Dados!$J$61="SIM",T120*Dados!$N$61,T120),2)</f>
        <v>1.34</v>
      </c>
      <c r="V120" s="3">
        <f>IF(Dados!$D$72="INICIAL",'Ocorrências Mensais - FAT'!P120,IF(Dados!$D$72="1º IPCA",'Ocorrências Mensais - FAT'!Q120,IF(Dados!$D$72="2º IPCA",'Ocorrências Mensais - FAT'!R120,IF(Dados!$D$72="3º IPCA",'Ocorrências Mensais - FAT'!S120,IF(Dados!$D$72="4º IPCA",'Ocorrências Mensais - FAT'!T120,IF(Dados!$D$72="5º IPCA",'Ocorrências Mensais - FAT'!U120,))))))</f>
        <v>1.34</v>
      </c>
      <c r="W120" s="2"/>
    </row>
    <row r="121" spans="1:23" hidden="1" x14ac:dyDescent="0.3">
      <c r="A121" s="1004" t="s">
        <v>168</v>
      </c>
      <c r="B121" s="1005"/>
      <c r="C121" s="1005"/>
      <c r="D121" s="1005"/>
      <c r="E121" s="1005"/>
      <c r="F121" s="1005"/>
      <c r="G121" s="1006"/>
      <c r="H121" s="630">
        <f>H115</f>
        <v>16.080000000000002</v>
      </c>
      <c r="I121" s="44"/>
      <c r="J121" s="44"/>
      <c r="K121" s="2"/>
      <c r="L121" s="2"/>
      <c r="M121" s="2"/>
      <c r="N121" s="24"/>
      <c r="O121" s="34"/>
      <c r="P121" s="24"/>
    </row>
    <row r="122" spans="1:23" hidden="1" x14ac:dyDescent="0.3">
      <c r="A122" s="957" t="s">
        <v>169</v>
      </c>
      <c r="B122" s="958"/>
      <c r="C122" s="958"/>
      <c r="D122" s="958"/>
      <c r="E122" s="958"/>
      <c r="F122" s="958"/>
      <c r="G122" s="45">
        <f>Dados!$G$44</f>
        <v>0.03</v>
      </c>
      <c r="H122" s="240">
        <f>ROUND((H121*G122),2)</f>
        <v>0.48</v>
      </c>
    </row>
    <row r="123" spans="1:23" hidden="1" x14ac:dyDescent="0.3">
      <c r="A123" s="957" t="s">
        <v>170</v>
      </c>
      <c r="B123" s="958"/>
      <c r="C123" s="958"/>
      <c r="D123" s="958"/>
      <c r="E123" s="958"/>
      <c r="F123" s="958"/>
      <c r="G123" s="45">
        <f>Dados!$G$45</f>
        <v>6.7900000000000002E-2</v>
      </c>
      <c r="H123" s="240">
        <f>ROUND((SUM(H121:H122)*G123),2)</f>
        <v>1.1200000000000001</v>
      </c>
    </row>
    <row r="124" spans="1:23" hidden="1" x14ac:dyDescent="0.3">
      <c r="A124" s="957" t="s">
        <v>171</v>
      </c>
      <c r="B124" s="958"/>
      <c r="C124" s="958"/>
      <c r="D124" s="958"/>
      <c r="E124" s="958"/>
      <c r="F124" s="958"/>
      <c r="G124" s="45">
        <f>Dados!$G$56</f>
        <v>0.1225</v>
      </c>
      <c r="H124" s="240">
        <f>ROUND((H125*G124),2)</f>
        <v>2.4700000000000002</v>
      </c>
    </row>
    <row r="125" spans="1:23" ht="15" hidden="1" thickBot="1" x14ac:dyDescent="0.35">
      <c r="A125" s="917" t="s">
        <v>778</v>
      </c>
      <c r="B125" s="918"/>
      <c r="C125" s="918"/>
      <c r="D125" s="918"/>
      <c r="E125" s="918"/>
      <c r="F125" s="918"/>
      <c r="G125" s="919"/>
      <c r="H125" s="241">
        <f>ROUND((SUM(H121:H123)/(1-G124)),2)</f>
        <v>20.149999999999999</v>
      </c>
    </row>
    <row r="127" spans="1:23" hidden="1" x14ac:dyDescent="0.3">
      <c r="B127" s="970" t="s">
        <v>47</v>
      </c>
      <c r="C127" s="971"/>
    </row>
    <row r="128" spans="1:23" hidden="1" x14ac:dyDescent="0.3">
      <c r="B128" s="20" t="s">
        <v>48</v>
      </c>
      <c r="C128" s="54">
        <v>22</v>
      </c>
      <c r="D128" s="2" t="s">
        <v>49</v>
      </c>
    </row>
    <row r="129" spans="2:4" hidden="1" x14ac:dyDescent="0.3">
      <c r="B129" s="20" t="s">
        <v>7</v>
      </c>
      <c r="C129" s="55">
        <v>30</v>
      </c>
      <c r="D129" s="2" t="s">
        <v>8</v>
      </c>
    </row>
    <row r="130" spans="2:4" hidden="1" x14ac:dyDescent="0.3">
      <c r="B130" s="20" t="s">
        <v>50</v>
      </c>
      <c r="C130" s="55" t="s">
        <v>51</v>
      </c>
      <c r="D130" s="2" t="s">
        <v>52</v>
      </c>
    </row>
    <row r="131" spans="2:4" hidden="1" x14ac:dyDescent="0.3"/>
    <row r="132" spans="2:4" hidden="1" x14ac:dyDescent="0.3">
      <c r="B132" s="20" t="s">
        <v>217</v>
      </c>
      <c r="C132" s="20" t="s">
        <v>53</v>
      </c>
    </row>
    <row r="133" spans="2:4" hidden="1" x14ac:dyDescent="0.3">
      <c r="B133" s="20">
        <v>220</v>
      </c>
      <c r="C133" s="20">
        <v>8.8000000000000007</v>
      </c>
    </row>
    <row r="134" spans="2:4" hidden="1" x14ac:dyDescent="0.3">
      <c r="B134" s="20">
        <v>200</v>
      </c>
      <c r="C134" s="20">
        <v>8</v>
      </c>
    </row>
    <row r="135" spans="2:4" hidden="1" x14ac:dyDescent="0.3">
      <c r="B135" s="20">
        <v>180</v>
      </c>
      <c r="C135" s="20">
        <v>7.2</v>
      </c>
    </row>
    <row r="136" spans="2:4" hidden="1" x14ac:dyDescent="0.3">
      <c r="B136" s="20">
        <v>150</v>
      </c>
      <c r="C136" s="20">
        <v>6</v>
      </c>
    </row>
    <row r="137" spans="2:4" hidden="1" x14ac:dyDescent="0.3">
      <c r="B137" s="20">
        <v>120</v>
      </c>
      <c r="C137" s="20">
        <v>4.8</v>
      </c>
    </row>
    <row r="138" spans="2:4" hidden="1" x14ac:dyDescent="0.3">
      <c r="B138" s="20">
        <v>100</v>
      </c>
      <c r="C138" s="20">
        <v>4</v>
      </c>
    </row>
    <row r="139" spans="2:4" hidden="1" x14ac:dyDescent="0.3">
      <c r="B139" s="20">
        <v>75</v>
      </c>
      <c r="C139" s="20">
        <v>3</v>
      </c>
    </row>
    <row r="140" spans="2:4" hidden="1" x14ac:dyDescent="0.3"/>
    <row r="141" spans="2:4" hidden="1" x14ac:dyDescent="0.3">
      <c r="B141" s="20" t="s">
        <v>54</v>
      </c>
    </row>
    <row r="142" spans="2:4" hidden="1" x14ac:dyDescent="0.3">
      <c r="B142" s="21">
        <v>0</v>
      </c>
    </row>
    <row r="143" spans="2:4" hidden="1" x14ac:dyDescent="0.3">
      <c r="B143" s="21">
        <v>1</v>
      </c>
    </row>
    <row r="144" spans="2:4" hidden="1" x14ac:dyDescent="0.3">
      <c r="B144" s="21">
        <v>2</v>
      </c>
    </row>
  </sheetData>
  <sheetProtection password="C7DC" sheet="1" objects="1" scenarios="1"/>
  <mergeCells count="221">
    <mergeCell ref="D120:F120"/>
    <mergeCell ref="I120:K120"/>
    <mergeCell ref="O7:O9"/>
    <mergeCell ref="M7:M9"/>
    <mergeCell ref="A121:G121"/>
    <mergeCell ref="A122:F122"/>
    <mergeCell ref="A123:F123"/>
    <mergeCell ref="A124:F124"/>
    <mergeCell ref="A109:F109"/>
    <mergeCell ref="A110:F110"/>
    <mergeCell ref="A111:G111"/>
    <mergeCell ref="B105:D105"/>
    <mergeCell ref="I105:K105"/>
    <mergeCell ref="B106:D106"/>
    <mergeCell ref="I106:K106"/>
    <mergeCell ref="A107:G107"/>
    <mergeCell ref="A108:F108"/>
    <mergeCell ref="B102:D102"/>
    <mergeCell ref="I102:K102"/>
    <mergeCell ref="B103:D103"/>
    <mergeCell ref="I103:K103"/>
    <mergeCell ref="B104:D104"/>
    <mergeCell ref="I104:K104"/>
    <mergeCell ref="B91:D91"/>
    <mergeCell ref="A125:G125"/>
    <mergeCell ref="B127:C127"/>
    <mergeCell ref="I113:K114"/>
    <mergeCell ref="L113:O113"/>
    <mergeCell ref="P113:U113"/>
    <mergeCell ref="B114:D114"/>
    <mergeCell ref="B115:D115"/>
    <mergeCell ref="I115:K115"/>
    <mergeCell ref="B116:C116"/>
    <mergeCell ref="D116:F116"/>
    <mergeCell ref="I116:K116"/>
    <mergeCell ref="B117:C117"/>
    <mergeCell ref="D117:F117"/>
    <mergeCell ref="I117:K117"/>
    <mergeCell ref="B118:C118"/>
    <mergeCell ref="D118:F118"/>
    <mergeCell ref="I118:K118"/>
    <mergeCell ref="B119:C119"/>
    <mergeCell ref="D119:F119"/>
    <mergeCell ref="I119:K119"/>
    <mergeCell ref="A113:A114"/>
    <mergeCell ref="B113:E113"/>
    <mergeCell ref="F113:H113"/>
    <mergeCell ref="B120:C120"/>
    <mergeCell ref="P98:U98"/>
    <mergeCell ref="B99:D99"/>
    <mergeCell ref="B100:D100"/>
    <mergeCell ref="I100:K100"/>
    <mergeCell ref="B101:D101"/>
    <mergeCell ref="I101:K101"/>
    <mergeCell ref="A96:G96"/>
    <mergeCell ref="A98:A99"/>
    <mergeCell ref="B98:E98"/>
    <mergeCell ref="F98:H98"/>
    <mergeCell ref="I98:K99"/>
    <mergeCell ref="L98:O98"/>
    <mergeCell ref="I91:K91"/>
    <mergeCell ref="A92:G92"/>
    <mergeCell ref="A93:F93"/>
    <mergeCell ref="A94:F94"/>
    <mergeCell ref="A95:F95"/>
    <mergeCell ref="B88:D88"/>
    <mergeCell ref="I88:K88"/>
    <mergeCell ref="B89:D89"/>
    <mergeCell ref="I89:K89"/>
    <mergeCell ref="B90:D90"/>
    <mergeCell ref="I90:K90"/>
    <mergeCell ref="B85:D85"/>
    <mergeCell ref="I85:K85"/>
    <mergeCell ref="B86:D86"/>
    <mergeCell ref="I86:K86"/>
    <mergeCell ref="B87:D87"/>
    <mergeCell ref="I87:K87"/>
    <mergeCell ref="B82:D82"/>
    <mergeCell ref="I82:K82"/>
    <mergeCell ref="B83:D83"/>
    <mergeCell ref="I83:K83"/>
    <mergeCell ref="B84:D84"/>
    <mergeCell ref="I84:K84"/>
    <mergeCell ref="B79:D79"/>
    <mergeCell ref="I79:K79"/>
    <mergeCell ref="B80:D80"/>
    <mergeCell ref="I80:K80"/>
    <mergeCell ref="B81:D81"/>
    <mergeCell ref="I81:K81"/>
    <mergeCell ref="B76:D76"/>
    <mergeCell ref="I76:K76"/>
    <mergeCell ref="B77:D77"/>
    <mergeCell ref="I77:K77"/>
    <mergeCell ref="B78:D78"/>
    <mergeCell ref="I78:K78"/>
    <mergeCell ref="P72:U72"/>
    <mergeCell ref="B73:D73"/>
    <mergeCell ref="B74:D74"/>
    <mergeCell ref="I74:K74"/>
    <mergeCell ref="B75:D75"/>
    <mergeCell ref="I75:K75"/>
    <mergeCell ref="A70:G70"/>
    <mergeCell ref="A72:A73"/>
    <mergeCell ref="B72:E72"/>
    <mergeCell ref="F72:H72"/>
    <mergeCell ref="I72:K73"/>
    <mergeCell ref="L72:O72"/>
    <mergeCell ref="B65:D65"/>
    <mergeCell ref="I65:K65"/>
    <mergeCell ref="A66:G66"/>
    <mergeCell ref="A67:F67"/>
    <mergeCell ref="A68:F68"/>
    <mergeCell ref="A69:F69"/>
    <mergeCell ref="B62:D62"/>
    <mergeCell ref="I62:K62"/>
    <mergeCell ref="B63:D63"/>
    <mergeCell ref="I63:K63"/>
    <mergeCell ref="B64:D64"/>
    <mergeCell ref="I64:K64"/>
    <mergeCell ref="B59:D59"/>
    <mergeCell ref="I59:K59"/>
    <mergeCell ref="B60:D60"/>
    <mergeCell ref="I60:K60"/>
    <mergeCell ref="B61:D61"/>
    <mergeCell ref="I61:K61"/>
    <mergeCell ref="B56:D56"/>
    <mergeCell ref="I56:K56"/>
    <mergeCell ref="B57:D57"/>
    <mergeCell ref="I57:K57"/>
    <mergeCell ref="B58:D58"/>
    <mergeCell ref="I58:K58"/>
    <mergeCell ref="B53:D53"/>
    <mergeCell ref="I53:K53"/>
    <mergeCell ref="B54:D54"/>
    <mergeCell ref="I54:K54"/>
    <mergeCell ref="B55:D55"/>
    <mergeCell ref="I55:K55"/>
    <mergeCell ref="B50:D50"/>
    <mergeCell ref="I50:K50"/>
    <mergeCell ref="B51:D51"/>
    <mergeCell ref="I51:K51"/>
    <mergeCell ref="B52:D52"/>
    <mergeCell ref="I52:K52"/>
    <mergeCell ref="B47:D47"/>
    <mergeCell ref="I47:K47"/>
    <mergeCell ref="B48:D48"/>
    <mergeCell ref="I48:K48"/>
    <mergeCell ref="B49:D49"/>
    <mergeCell ref="I49:K49"/>
    <mergeCell ref="B44:D44"/>
    <mergeCell ref="I44:K44"/>
    <mergeCell ref="B45:D45"/>
    <mergeCell ref="I45:K45"/>
    <mergeCell ref="B46:D46"/>
    <mergeCell ref="I46:K46"/>
    <mergeCell ref="B41:D41"/>
    <mergeCell ref="I41:K41"/>
    <mergeCell ref="B42:D42"/>
    <mergeCell ref="I42:K42"/>
    <mergeCell ref="B43:D43"/>
    <mergeCell ref="I43:K43"/>
    <mergeCell ref="B38:D38"/>
    <mergeCell ref="I38:K38"/>
    <mergeCell ref="B39:D39"/>
    <mergeCell ref="I39:K39"/>
    <mergeCell ref="B40:D40"/>
    <mergeCell ref="I40:K40"/>
    <mergeCell ref="B35:D35"/>
    <mergeCell ref="I35:K35"/>
    <mergeCell ref="B36:D36"/>
    <mergeCell ref="I36:K36"/>
    <mergeCell ref="B37:D37"/>
    <mergeCell ref="I37:K37"/>
    <mergeCell ref="B32:D32"/>
    <mergeCell ref="I32:K32"/>
    <mergeCell ref="B33:D33"/>
    <mergeCell ref="I33:K33"/>
    <mergeCell ref="B34:D34"/>
    <mergeCell ref="I34:K34"/>
    <mergeCell ref="B31:D31"/>
    <mergeCell ref="I31:K31"/>
    <mergeCell ref="L25:O25"/>
    <mergeCell ref="P25:U25"/>
    <mergeCell ref="B26:D26"/>
    <mergeCell ref="B27:D27"/>
    <mergeCell ref="I27:K27"/>
    <mergeCell ref="B28:D28"/>
    <mergeCell ref="I28:K28"/>
    <mergeCell ref="B29:D29"/>
    <mergeCell ref="I29:K29"/>
    <mergeCell ref="B30:D30"/>
    <mergeCell ref="I30:K30"/>
    <mergeCell ref="I16:J16"/>
    <mergeCell ref="A19:B20"/>
    <mergeCell ref="A21:F22"/>
    <mergeCell ref="A25:A26"/>
    <mergeCell ref="B25:E25"/>
    <mergeCell ref="F25:H25"/>
    <mergeCell ref="I25:K26"/>
    <mergeCell ref="A16:G16"/>
    <mergeCell ref="A4:C4"/>
    <mergeCell ref="D4:E4"/>
    <mergeCell ref="A5:C5"/>
    <mergeCell ref="T7:W9"/>
    <mergeCell ref="H7:H9"/>
    <mergeCell ref="I7:I9"/>
    <mergeCell ref="C2:S2"/>
    <mergeCell ref="C3:S3"/>
    <mergeCell ref="A7:C9"/>
    <mergeCell ref="D7:D9"/>
    <mergeCell ref="E7:E9"/>
    <mergeCell ref="F7:F9"/>
    <mergeCell ref="G7:G9"/>
    <mergeCell ref="P7:P9"/>
    <mergeCell ref="Q7:Q9"/>
    <mergeCell ref="R7:R9"/>
    <mergeCell ref="S7:S9"/>
    <mergeCell ref="J7:J9"/>
    <mergeCell ref="K7:K9"/>
    <mergeCell ref="L7:L9"/>
    <mergeCell ref="N7:N9"/>
  </mergeCells>
  <conditionalFormatting sqref="I27:I65">
    <cfRule type="containsText" dxfId="7" priority="15" stopIfTrue="1" operator="containsText" text="inferior">
      <formula>NOT(ISERROR(SEARCH("inferior",I27)))</formula>
    </cfRule>
    <cfRule type="containsText" dxfId="6" priority="16" stopIfTrue="1" operator="containsText" text="superior">
      <formula>NOT(ISERROR(SEARCH("superior",I27)))</formula>
    </cfRule>
  </conditionalFormatting>
  <conditionalFormatting sqref="I74:I91">
    <cfRule type="containsText" dxfId="5" priority="7" stopIfTrue="1" operator="containsText" text="inferior">
      <formula>NOT(ISERROR(SEARCH("inferior",I74)))</formula>
    </cfRule>
    <cfRule type="containsText" dxfId="4" priority="8" stopIfTrue="1" operator="containsText" text="superior">
      <formula>NOT(ISERROR(SEARCH("superior",I74)))</formula>
    </cfRule>
  </conditionalFormatting>
  <conditionalFormatting sqref="I100:I106">
    <cfRule type="containsText" dxfId="3" priority="5" stopIfTrue="1" operator="containsText" text="inferior">
      <formula>NOT(ISERROR(SEARCH("inferior",I100)))</formula>
    </cfRule>
    <cfRule type="containsText" dxfId="2" priority="6" stopIfTrue="1" operator="containsText" text="superior">
      <formula>NOT(ISERROR(SEARCH("superior",I100)))</formula>
    </cfRule>
  </conditionalFormatting>
  <conditionalFormatting sqref="I115:I120">
    <cfRule type="containsText" dxfId="1" priority="1" stopIfTrue="1" operator="containsText" text="inferior">
      <formula>NOT(ISERROR(SEARCH("inferior",I115)))</formula>
    </cfRule>
    <cfRule type="containsText" dxfId="0" priority="2" stopIfTrue="1" operator="containsText" text="superior">
      <formula>NOT(ISERROR(SEARCH("superior",I115)))</formula>
    </cfRule>
  </conditionalFormatting>
  <dataValidations count="7">
    <dataValidation type="list" allowBlank="1" showInputMessage="1" showErrorMessage="1" sqref="N27:N65 N115 N117:N120" xr:uid="{00000000-0002-0000-0000-000000000000}">
      <formula1>"Mensal,Bimestral,Trimestral,Quadrimestral,Semestral,Anual,Bienal"</formula1>
    </dataValidation>
    <dataValidation type="list" allowBlank="1" showInputMessage="1" showErrorMessage="1" sqref="D4:E4" xr:uid="{00000000-0002-0000-0000-000001000000}">
      <formula1>"PLANILHA PARA LICITAÇÃO (PRECIFICAÇÃO),PLANILHA PARA FATURAMENTO"</formula1>
    </dataValidation>
    <dataValidation type="list" allowBlank="1" showInputMessage="1" showErrorMessage="1" sqref="D5" xr:uid="{00000000-0002-0000-0000-000002000000}">
      <formula1>$B$128:$B$130</formula1>
    </dataValidation>
    <dataValidation type="list" allowBlank="1" showInputMessage="1" showErrorMessage="1" sqref="E11:E15" xr:uid="{00000000-0002-0000-0000-000003000000}">
      <formula1>"SIM,NÃO"</formula1>
    </dataValidation>
    <dataValidation type="list" allowBlank="1" showInputMessage="1" showErrorMessage="1" sqref="C20" xr:uid="{00000000-0002-0000-0000-000004000000}">
      <formula1>$B$133:$B$139</formula1>
    </dataValidation>
    <dataValidation type="list" allowBlank="1" showInputMessage="1" showErrorMessage="1" sqref="D11:D14" xr:uid="{00000000-0002-0000-0000-000005000000}">
      <formula1>$B$142:$B$143</formula1>
    </dataValidation>
    <dataValidation type="list" allowBlank="1" showInputMessage="1" showErrorMessage="1" sqref="D15" xr:uid="{00000000-0002-0000-0000-000006000000}">
      <formula1>$B$142:$B$144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  <pageSetUpPr fitToPage="1"/>
  </sheetPr>
  <dimension ref="A1:L48"/>
  <sheetViews>
    <sheetView showGridLines="0" view="pageBreakPreview" zoomScale="90" zoomScaleNormal="100" zoomScaleSheetLayoutView="90" workbookViewId="0">
      <selection activeCell="D26" sqref="D26"/>
    </sheetView>
  </sheetViews>
  <sheetFormatPr defaultRowHeight="13.8" x14ac:dyDescent="0.3"/>
  <cols>
    <col min="1" max="1" width="10.5546875" style="136" customWidth="1"/>
    <col min="2" max="2" width="27.6640625" style="136" customWidth="1"/>
    <col min="3" max="3" width="14.44140625" style="136" customWidth="1"/>
    <col min="4" max="5" width="15" style="136" customWidth="1"/>
    <col min="6" max="6" width="16.6640625" style="164" customWidth="1"/>
    <col min="7" max="8" width="13.109375" style="164" customWidth="1"/>
    <col min="9" max="10" width="12.5546875" style="164" customWidth="1"/>
    <col min="11" max="257" width="9.109375" style="136"/>
    <col min="258" max="258" width="10.5546875" style="136" customWidth="1"/>
    <col min="259" max="259" width="27.6640625" style="136" customWidth="1"/>
    <col min="260" max="260" width="14.44140625" style="136" customWidth="1"/>
    <col min="261" max="262" width="15" style="136" customWidth="1"/>
    <col min="263" max="263" width="16.6640625" style="136" customWidth="1"/>
    <col min="264" max="264" width="13.109375" style="136" customWidth="1"/>
    <col min="265" max="266" width="12.5546875" style="136" customWidth="1"/>
    <col min="267" max="513" width="9.109375" style="136"/>
    <col min="514" max="514" width="10.5546875" style="136" customWidth="1"/>
    <col min="515" max="515" width="27.6640625" style="136" customWidth="1"/>
    <col min="516" max="516" width="14.44140625" style="136" customWidth="1"/>
    <col min="517" max="518" width="15" style="136" customWidth="1"/>
    <col min="519" max="519" width="16.6640625" style="136" customWidth="1"/>
    <col min="520" max="520" width="13.109375" style="136" customWidth="1"/>
    <col min="521" max="522" width="12.5546875" style="136" customWidth="1"/>
    <col min="523" max="769" width="9.109375" style="136"/>
    <col min="770" max="770" width="10.5546875" style="136" customWidth="1"/>
    <col min="771" max="771" width="27.6640625" style="136" customWidth="1"/>
    <col min="772" max="772" width="14.44140625" style="136" customWidth="1"/>
    <col min="773" max="774" width="15" style="136" customWidth="1"/>
    <col min="775" max="775" width="16.6640625" style="136" customWidth="1"/>
    <col min="776" max="776" width="13.109375" style="136" customWidth="1"/>
    <col min="777" max="778" width="12.5546875" style="136" customWidth="1"/>
    <col min="779" max="1025" width="9.109375" style="136"/>
    <col min="1026" max="1026" width="10.5546875" style="136" customWidth="1"/>
    <col min="1027" max="1027" width="27.6640625" style="136" customWidth="1"/>
    <col min="1028" max="1028" width="14.44140625" style="136" customWidth="1"/>
    <col min="1029" max="1030" width="15" style="136" customWidth="1"/>
    <col min="1031" max="1031" width="16.6640625" style="136" customWidth="1"/>
    <col min="1032" max="1032" width="13.109375" style="136" customWidth="1"/>
    <col min="1033" max="1034" width="12.5546875" style="136" customWidth="1"/>
    <col min="1035" max="1281" width="9.109375" style="136"/>
    <col min="1282" max="1282" width="10.5546875" style="136" customWidth="1"/>
    <col min="1283" max="1283" width="27.6640625" style="136" customWidth="1"/>
    <col min="1284" max="1284" width="14.44140625" style="136" customWidth="1"/>
    <col min="1285" max="1286" width="15" style="136" customWidth="1"/>
    <col min="1287" max="1287" width="16.6640625" style="136" customWidth="1"/>
    <col min="1288" max="1288" width="13.109375" style="136" customWidth="1"/>
    <col min="1289" max="1290" width="12.5546875" style="136" customWidth="1"/>
    <col min="1291" max="1537" width="9.109375" style="136"/>
    <col min="1538" max="1538" width="10.5546875" style="136" customWidth="1"/>
    <col min="1539" max="1539" width="27.6640625" style="136" customWidth="1"/>
    <col min="1540" max="1540" width="14.44140625" style="136" customWidth="1"/>
    <col min="1541" max="1542" width="15" style="136" customWidth="1"/>
    <col min="1543" max="1543" width="16.6640625" style="136" customWidth="1"/>
    <col min="1544" max="1544" width="13.109375" style="136" customWidth="1"/>
    <col min="1545" max="1546" width="12.5546875" style="136" customWidth="1"/>
    <col min="1547" max="1793" width="9.109375" style="136"/>
    <col min="1794" max="1794" width="10.5546875" style="136" customWidth="1"/>
    <col min="1795" max="1795" width="27.6640625" style="136" customWidth="1"/>
    <col min="1796" max="1796" width="14.44140625" style="136" customWidth="1"/>
    <col min="1797" max="1798" width="15" style="136" customWidth="1"/>
    <col min="1799" max="1799" width="16.6640625" style="136" customWidth="1"/>
    <col min="1800" max="1800" width="13.109375" style="136" customWidth="1"/>
    <col min="1801" max="1802" width="12.5546875" style="136" customWidth="1"/>
    <col min="1803" max="2049" width="9.109375" style="136"/>
    <col min="2050" max="2050" width="10.5546875" style="136" customWidth="1"/>
    <col min="2051" max="2051" width="27.6640625" style="136" customWidth="1"/>
    <col min="2052" max="2052" width="14.44140625" style="136" customWidth="1"/>
    <col min="2053" max="2054" width="15" style="136" customWidth="1"/>
    <col min="2055" max="2055" width="16.6640625" style="136" customWidth="1"/>
    <col min="2056" max="2056" width="13.109375" style="136" customWidth="1"/>
    <col min="2057" max="2058" width="12.5546875" style="136" customWidth="1"/>
    <col min="2059" max="2305" width="9.109375" style="136"/>
    <col min="2306" max="2306" width="10.5546875" style="136" customWidth="1"/>
    <col min="2307" max="2307" width="27.6640625" style="136" customWidth="1"/>
    <col min="2308" max="2308" width="14.44140625" style="136" customWidth="1"/>
    <col min="2309" max="2310" width="15" style="136" customWidth="1"/>
    <col min="2311" max="2311" width="16.6640625" style="136" customWidth="1"/>
    <col min="2312" max="2312" width="13.109375" style="136" customWidth="1"/>
    <col min="2313" max="2314" width="12.5546875" style="136" customWidth="1"/>
    <col min="2315" max="2561" width="9.109375" style="136"/>
    <col min="2562" max="2562" width="10.5546875" style="136" customWidth="1"/>
    <col min="2563" max="2563" width="27.6640625" style="136" customWidth="1"/>
    <col min="2564" max="2564" width="14.44140625" style="136" customWidth="1"/>
    <col min="2565" max="2566" width="15" style="136" customWidth="1"/>
    <col min="2567" max="2567" width="16.6640625" style="136" customWidth="1"/>
    <col min="2568" max="2568" width="13.109375" style="136" customWidth="1"/>
    <col min="2569" max="2570" width="12.5546875" style="136" customWidth="1"/>
    <col min="2571" max="2817" width="9.109375" style="136"/>
    <col min="2818" max="2818" width="10.5546875" style="136" customWidth="1"/>
    <col min="2819" max="2819" width="27.6640625" style="136" customWidth="1"/>
    <col min="2820" max="2820" width="14.44140625" style="136" customWidth="1"/>
    <col min="2821" max="2822" width="15" style="136" customWidth="1"/>
    <col min="2823" max="2823" width="16.6640625" style="136" customWidth="1"/>
    <col min="2824" max="2824" width="13.109375" style="136" customWidth="1"/>
    <col min="2825" max="2826" width="12.5546875" style="136" customWidth="1"/>
    <col min="2827" max="3073" width="9.109375" style="136"/>
    <col min="3074" max="3074" width="10.5546875" style="136" customWidth="1"/>
    <col min="3075" max="3075" width="27.6640625" style="136" customWidth="1"/>
    <col min="3076" max="3076" width="14.44140625" style="136" customWidth="1"/>
    <col min="3077" max="3078" width="15" style="136" customWidth="1"/>
    <col min="3079" max="3079" width="16.6640625" style="136" customWidth="1"/>
    <col min="3080" max="3080" width="13.109375" style="136" customWidth="1"/>
    <col min="3081" max="3082" width="12.5546875" style="136" customWidth="1"/>
    <col min="3083" max="3329" width="9.109375" style="136"/>
    <col min="3330" max="3330" width="10.5546875" style="136" customWidth="1"/>
    <col min="3331" max="3331" width="27.6640625" style="136" customWidth="1"/>
    <col min="3332" max="3332" width="14.44140625" style="136" customWidth="1"/>
    <col min="3333" max="3334" width="15" style="136" customWidth="1"/>
    <col min="3335" max="3335" width="16.6640625" style="136" customWidth="1"/>
    <col min="3336" max="3336" width="13.109375" style="136" customWidth="1"/>
    <col min="3337" max="3338" width="12.5546875" style="136" customWidth="1"/>
    <col min="3339" max="3585" width="9.109375" style="136"/>
    <col min="3586" max="3586" width="10.5546875" style="136" customWidth="1"/>
    <col min="3587" max="3587" width="27.6640625" style="136" customWidth="1"/>
    <col min="3588" max="3588" width="14.44140625" style="136" customWidth="1"/>
    <col min="3589" max="3590" width="15" style="136" customWidth="1"/>
    <col min="3591" max="3591" width="16.6640625" style="136" customWidth="1"/>
    <col min="3592" max="3592" width="13.109375" style="136" customWidth="1"/>
    <col min="3593" max="3594" width="12.5546875" style="136" customWidth="1"/>
    <col min="3595" max="3841" width="9.109375" style="136"/>
    <col min="3842" max="3842" width="10.5546875" style="136" customWidth="1"/>
    <col min="3843" max="3843" width="27.6640625" style="136" customWidth="1"/>
    <col min="3844" max="3844" width="14.44140625" style="136" customWidth="1"/>
    <col min="3845" max="3846" width="15" style="136" customWidth="1"/>
    <col min="3847" max="3847" width="16.6640625" style="136" customWidth="1"/>
    <col min="3848" max="3848" width="13.109375" style="136" customWidth="1"/>
    <col min="3849" max="3850" width="12.5546875" style="136" customWidth="1"/>
    <col min="3851" max="4097" width="9.109375" style="136"/>
    <col min="4098" max="4098" width="10.5546875" style="136" customWidth="1"/>
    <col min="4099" max="4099" width="27.6640625" style="136" customWidth="1"/>
    <col min="4100" max="4100" width="14.44140625" style="136" customWidth="1"/>
    <col min="4101" max="4102" width="15" style="136" customWidth="1"/>
    <col min="4103" max="4103" width="16.6640625" style="136" customWidth="1"/>
    <col min="4104" max="4104" width="13.109375" style="136" customWidth="1"/>
    <col min="4105" max="4106" width="12.5546875" style="136" customWidth="1"/>
    <col min="4107" max="4353" width="9.109375" style="136"/>
    <col min="4354" max="4354" width="10.5546875" style="136" customWidth="1"/>
    <col min="4355" max="4355" width="27.6640625" style="136" customWidth="1"/>
    <col min="4356" max="4356" width="14.44140625" style="136" customWidth="1"/>
    <col min="4357" max="4358" width="15" style="136" customWidth="1"/>
    <col min="4359" max="4359" width="16.6640625" style="136" customWidth="1"/>
    <col min="4360" max="4360" width="13.109375" style="136" customWidth="1"/>
    <col min="4361" max="4362" width="12.5546875" style="136" customWidth="1"/>
    <col min="4363" max="4609" width="9.109375" style="136"/>
    <col min="4610" max="4610" width="10.5546875" style="136" customWidth="1"/>
    <col min="4611" max="4611" width="27.6640625" style="136" customWidth="1"/>
    <col min="4612" max="4612" width="14.44140625" style="136" customWidth="1"/>
    <col min="4613" max="4614" width="15" style="136" customWidth="1"/>
    <col min="4615" max="4615" width="16.6640625" style="136" customWidth="1"/>
    <col min="4616" max="4616" width="13.109375" style="136" customWidth="1"/>
    <col min="4617" max="4618" width="12.5546875" style="136" customWidth="1"/>
    <col min="4619" max="4865" width="9.109375" style="136"/>
    <col min="4866" max="4866" width="10.5546875" style="136" customWidth="1"/>
    <col min="4867" max="4867" width="27.6640625" style="136" customWidth="1"/>
    <col min="4868" max="4868" width="14.44140625" style="136" customWidth="1"/>
    <col min="4869" max="4870" width="15" style="136" customWidth="1"/>
    <col min="4871" max="4871" width="16.6640625" style="136" customWidth="1"/>
    <col min="4872" max="4872" width="13.109375" style="136" customWidth="1"/>
    <col min="4873" max="4874" width="12.5546875" style="136" customWidth="1"/>
    <col min="4875" max="5121" width="9.109375" style="136"/>
    <col min="5122" max="5122" width="10.5546875" style="136" customWidth="1"/>
    <col min="5123" max="5123" width="27.6640625" style="136" customWidth="1"/>
    <col min="5124" max="5124" width="14.44140625" style="136" customWidth="1"/>
    <col min="5125" max="5126" width="15" style="136" customWidth="1"/>
    <col min="5127" max="5127" width="16.6640625" style="136" customWidth="1"/>
    <col min="5128" max="5128" width="13.109375" style="136" customWidth="1"/>
    <col min="5129" max="5130" width="12.5546875" style="136" customWidth="1"/>
    <col min="5131" max="5377" width="9.109375" style="136"/>
    <col min="5378" max="5378" width="10.5546875" style="136" customWidth="1"/>
    <col min="5379" max="5379" width="27.6640625" style="136" customWidth="1"/>
    <col min="5380" max="5380" width="14.44140625" style="136" customWidth="1"/>
    <col min="5381" max="5382" width="15" style="136" customWidth="1"/>
    <col min="5383" max="5383" width="16.6640625" style="136" customWidth="1"/>
    <col min="5384" max="5384" width="13.109375" style="136" customWidth="1"/>
    <col min="5385" max="5386" width="12.5546875" style="136" customWidth="1"/>
    <col min="5387" max="5633" width="9.109375" style="136"/>
    <col min="5634" max="5634" width="10.5546875" style="136" customWidth="1"/>
    <col min="5635" max="5635" width="27.6640625" style="136" customWidth="1"/>
    <col min="5636" max="5636" width="14.44140625" style="136" customWidth="1"/>
    <col min="5637" max="5638" width="15" style="136" customWidth="1"/>
    <col min="5639" max="5639" width="16.6640625" style="136" customWidth="1"/>
    <col min="5640" max="5640" width="13.109375" style="136" customWidth="1"/>
    <col min="5641" max="5642" width="12.5546875" style="136" customWidth="1"/>
    <col min="5643" max="5889" width="9.109375" style="136"/>
    <col min="5890" max="5890" width="10.5546875" style="136" customWidth="1"/>
    <col min="5891" max="5891" width="27.6640625" style="136" customWidth="1"/>
    <col min="5892" max="5892" width="14.44140625" style="136" customWidth="1"/>
    <col min="5893" max="5894" width="15" style="136" customWidth="1"/>
    <col min="5895" max="5895" width="16.6640625" style="136" customWidth="1"/>
    <col min="5896" max="5896" width="13.109375" style="136" customWidth="1"/>
    <col min="5897" max="5898" width="12.5546875" style="136" customWidth="1"/>
    <col min="5899" max="6145" width="9.109375" style="136"/>
    <col min="6146" max="6146" width="10.5546875" style="136" customWidth="1"/>
    <col min="6147" max="6147" width="27.6640625" style="136" customWidth="1"/>
    <col min="6148" max="6148" width="14.44140625" style="136" customWidth="1"/>
    <col min="6149" max="6150" width="15" style="136" customWidth="1"/>
    <col min="6151" max="6151" width="16.6640625" style="136" customWidth="1"/>
    <col min="6152" max="6152" width="13.109375" style="136" customWidth="1"/>
    <col min="6153" max="6154" width="12.5546875" style="136" customWidth="1"/>
    <col min="6155" max="6401" width="9.109375" style="136"/>
    <col min="6402" max="6402" width="10.5546875" style="136" customWidth="1"/>
    <col min="6403" max="6403" width="27.6640625" style="136" customWidth="1"/>
    <col min="6404" max="6404" width="14.44140625" style="136" customWidth="1"/>
    <col min="6405" max="6406" width="15" style="136" customWidth="1"/>
    <col min="6407" max="6407" width="16.6640625" style="136" customWidth="1"/>
    <col min="6408" max="6408" width="13.109375" style="136" customWidth="1"/>
    <col min="6409" max="6410" width="12.5546875" style="136" customWidth="1"/>
    <col min="6411" max="6657" width="9.109375" style="136"/>
    <col min="6658" max="6658" width="10.5546875" style="136" customWidth="1"/>
    <col min="6659" max="6659" width="27.6640625" style="136" customWidth="1"/>
    <col min="6660" max="6660" width="14.44140625" style="136" customWidth="1"/>
    <col min="6661" max="6662" width="15" style="136" customWidth="1"/>
    <col min="6663" max="6663" width="16.6640625" style="136" customWidth="1"/>
    <col min="6664" max="6664" width="13.109375" style="136" customWidth="1"/>
    <col min="6665" max="6666" width="12.5546875" style="136" customWidth="1"/>
    <col min="6667" max="6913" width="9.109375" style="136"/>
    <col min="6914" max="6914" width="10.5546875" style="136" customWidth="1"/>
    <col min="6915" max="6915" width="27.6640625" style="136" customWidth="1"/>
    <col min="6916" max="6916" width="14.44140625" style="136" customWidth="1"/>
    <col min="6917" max="6918" width="15" style="136" customWidth="1"/>
    <col min="6919" max="6919" width="16.6640625" style="136" customWidth="1"/>
    <col min="6920" max="6920" width="13.109375" style="136" customWidth="1"/>
    <col min="6921" max="6922" width="12.5546875" style="136" customWidth="1"/>
    <col min="6923" max="7169" width="9.109375" style="136"/>
    <col min="7170" max="7170" width="10.5546875" style="136" customWidth="1"/>
    <col min="7171" max="7171" width="27.6640625" style="136" customWidth="1"/>
    <col min="7172" max="7172" width="14.44140625" style="136" customWidth="1"/>
    <col min="7173" max="7174" width="15" style="136" customWidth="1"/>
    <col min="7175" max="7175" width="16.6640625" style="136" customWidth="1"/>
    <col min="7176" max="7176" width="13.109375" style="136" customWidth="1"/>
    <col min="7177" max="7178" width="12.5546875" style="136" customWidth="1"/>
    <col min="7179" max="7425" width="9.109375" style="136"/>
    <col min="7426" max="7426" width="10.5546875" style="136" customWidth="1"/>
    <col min="7427" max="7427" width="27.6640625" style="136" customWidth="1"/>
    <col min="7428" max="7428" width="14.44140625" style="136" customWidth="1"/>
    <col min="7429" max="7430" width="15" style="136" customWidth="1"/>
    <col min="7431" max="7431" width="16.6640625" style="136" customWidth="1"/>
    <col min="7432" max="7432" width="13.109375" style="136" customWidth="1"/>
    <col min="7433" max="7434" width="12.5546875" style="136" customWidth="1"/>
    <col min="7435" max="7681" width="9.109375" style="136"/>
    <col min="7682" max="7682" width="10.5546875" style="136" customWidth="1"/>
    <col min="7683" max="7683" width="27.6640625" style="136" customWidth="1"/>
    <col min="7684" max="7684" width="14.44140625" style="136" customWidth="1"/>
    <col min="7685" max="7686" width="15" style="136" customWidth="1"/>
    <col min="7687" max="7687" width="16.6640625" style="136" customWidth="1"/>
    <col min="7688" max="7688" width="13.109375" style="136" customWidth="1"/>
    <col min="7689" max="7690" width="12.5546875" style="136" customWidth="1"/>
    <col min="7691" max="7937" width="9.109375" style="136"/>
    <col min="7938" max="7938" width="10.5546875" style="136" customWidth="1"/>
    <col min="7939" max="7939" width="27.6640625" style="136" customWidth="1"/>
    <col min="7940" max="7940" width="14.44140625" style="136" customWidth="1"/>
    <col min="7941" max="7942" width="15" style="136" customWidth="1"/>
    <col min="7943" max="7943" width="16.6640625" style="136" customWidth="1"/>
    <col min="7944" max="7944" width="13.109375" style="136" customWidth="1"/>
    <col min="7945" max="7946" width="12.5546875" style="136" customWidth="1"/>
    <col min="7947" max="8193" width="9.109375" style="136"/>
    <col min="8194" max="8194" width="10.5546875" style="136" customWidth="1"/>
    <col min="8195" max="8195" width="27.6640625" style="136" customWidth="1"/>
    <col min="8196" max="8196" width="14.44140625" style="136" customWidth="1"/>
    <col min="8197" max="8198" width="15" style="136" customWidth="1"/>
    <col min="8199" max="8199" width="16.6640625" style="136" customWidth="1"/>
    <col min="8200" max="8200" width="13.109375" style="136" customWidth="1"/>
    <col min="8201" max="8202" width="12.5546875" style="136" customWidth="1"/>
    <col min="8203" max="8449" width="9.109375" style="136"/>
    <col min="8450" max="8450" width="10.5546875" style="136" customWidth="1"/>
    <col min="8451" max="8451" width="27.6640625" style="136" customWidth="1"/>
    <col min="8452" max="8452" width="14.44140625" style="136" customWidth="1"/>
    <col min="8453" max="8454" width="15" style="136" customWidth="1"/>
    <col min="8455" max="8455" width="16.6640625" style="136" customWidth="1"/>
    <col min="8456" max="8456" width="13.109375" style="136" customWidth="1"/>
    <col min="8457" max="8458" width="12.5546875" style="136" customWidth="1"/>
    <col min="8459" max="8705" width="9.109375" style="136"/>
    <col min="8706" max="8706" width="10.5546875" style="136" customWidth="1"/>
    <col min="8707" max="8707" width="27.6640625" style="136" customWidth="1"/>
    <col min="8708" max="8708" width="14.44140625" style="136" customWidth="1"/>
    <col min="8709" max="8710" width="15" style="136" customWidth="1"/>
    <col min="8711" max="8711" width="16.6640625" style="136" customWidth="1"/>
    <col min="8712" max="8712" width="13.109375" style="136" customWidth="1"/>
    <col min="8713" max="8714" width="12.5546875" style="136" customWidth="1"/>
    <col min="8715" max="8961" width="9.109375" style="136"/>
    <col min="8962" max="8962" width="10.5546875" style="136" customWidth="1"/>
    <col min="8963" max="8963" width="27.6640625" style="136" customWidth="1"/>
    <col min="8964" max="8964" width="14.44140625" style="136" customWidth="1"/>
    <col min="8965" max="8966" width="15" style="136" customWidth="1"/>
    <col min="8967" max="8967" width="16.6640625" style="136" customWidth="1"/>
    <col min="8968" max="8968" width="13.109375" style="136" customWidth="1"/>
    <col min="8969" max="8970" width="12.5546875" style="136" customWidth="1"/>
    <col min="8971" max="9217" width="9.109375" style="136"/>
    <col min="9218" max="9218" width="10.5546875" style="136" customWidth="1"/>
    <col min="9219" max="9219" width="27.6640625" style="136" customWidth="1"/>
    <col min="9220" max="9220" width="14.44140625" style="136" customWidth="1"/>
    <col min="9221" max="9222" width="15" style="136" customWidth="1"/>
    <col min="9223" max="9223" width="16.6640625" style="136" customWidth="1"/>
    <col min="9224" max="9224" width="13.109375" style="136" customWidth="1"/>
    <col min="9225" max="9226" width="12.5546875" style="136" customWidth="1"/>
    <col min="9227" max="9473" width="9.109375" style="136"/>
    <col min="9474" max="9474" width="10.5546875" style="136" customWidth="1"/>
    <col min="9475" max="9475" width="27.6640625" style="136" customWidth="1"/>
    <col min="9476" max="9476" width="14.44140625" style="136" customWidth="1"/>
    <col min="9477" max="9478" width="15" style="136" customWidth="1"/>
    <col min="9479" max="9479" width="16.6640625" style="136" customWidth="1"/>
    <col min="9480" max="9480" width="13.109375" style="136" customWidth="1"/>
    <col min="9481" max="9482" width="12.5546875" style="136" customWidth="1"/>
    <col min="9483" max="9729" width="9.109375" style="136"/>
    <col min="9730" max="9730" width="10.5546875" style="136" customWidth="1"/>
    <col min="9731" max="9731" width="27.6640625" style="136" customWidth="1"/>
    <col min="9732" max="9732" width="14.44140625" style="136" customWidth="1"/>
    <col min="9733" max="9734" width="15" style="136" customWidth="1"/>
    <col min="9735" max="9735" width="16.6640625" style="136" customWidth="1"/>
    <col min="9736" max="9736" width="13.109375" style="136" customWidth="1"/>
    <col min="9737" max="9738" width="12.5546875" style="136" customWidth="1"/>
    <col min="9739" max="9985" width="9.109375" style="136"/>
    <col min="9986" max="9986" width="10.5546875" style="136" customWidth="1"/>
    <col min="9987" max="9987" width="27.6640625" style="136" customWidth="1"/>
    <col min="9988" max="9988" width="14.44140625" style="136" customWidth="1"/>
    <col min="9989" max="9990" width="15" style="136" customWidth="1"/>
    <col min="9991" max="9991" width="16.6640625" style="136" customWidth="1"/>
    <col min="9992" max="9992" width="13.109375" style="136" customWidth="1"/>
    <col min="9993" max="9994" width="12.5546875" style="136" customWidth="1"/>
    <col min="9995" max="10241" width="9.109375" style="136"/>
    <col min="10242" max="10242" width="10.5546875" style="136" customWidth="1"/>
    <col min="10243" max="10243" width="27.6640625" style="136" customWidth="1"/>
    <col min="10244" max="10244" width="14.44140625" style="136" customWidth="1"/>
    <col min="10245" max="10246" width="15" style="136" customWidth="1"/>
    <col min="10247" max="10247" width="16.6640625" style="136" customWidth="1"/>
    <col min="10248" max="10248" width="13.109375" style="136" customWidth="1"/>
    <col min="10249" max="10250" width="12.5546875" style="136" customWidth="1"/>
    <col min="10251" max="10497" width="9.109375" style="136"/>
    <col min="10498" max="10498" width="10.5546875" style="136" customWidth="1"/>
    <col min="10499" max="10499" width="27.6640625" style="136" customWidth="1"/>
    <col min="10500" max="10500" width="14.44140625" style="136" customWidth="1"/>
    <col min="10501" max="10502" width="15" style="136" customWidth="1"/>
    <col min="10503" max="10503" width="16.6640625" style="136" customWidth="1"/>
    <col min="10504" max="10504" width="13.109375" style="136" customWidth="1"/>
    <col min="10505" max="10506" width="12.5546875" style="136" customWidth="1"/>
    <col min="10507" max="10753" width="9.109375" style="136"/>
    <col min="10754" max="10754" width="10.5546875" style="136" customWidth="1"/>
    <col min="10755" max="10755" width="27.6640625" style="136" customWidth="1"/>
    <col min="10756" max="10756" width="14.44140625" style="136" customWidth="1"/>
    <col min="10757" max="10758" width="15" style="136" customWidth="1"/>
    <col min="10759" max="10759" width="16.6640625" style="136" customWidth="1"/>
    <col min="10760" max="10760" width="13.109375" style="136" customWidth="1"/>
    <col min="10761" max="10762" width="12.5546875" style="136" customWidth="1"/>
    <col min="10763" max="11009" width="9.109375" style="136"/>
    <col min="11010" max="11010" width="10.5546875" style="136" customWidth="1"/>
    <col min="11011" max="11011" width="27.6640625" style="136" customWidth="1"/>
    <col min="11012" max="11012" width="14.44140625" style="136" customWidth="1"/>
    <col min="11013" max="11014" width="15" style="136" customWidth="1"/>
    <col min="11015" max="11015" width="16.6640625" style="136" customWidth="1"/>
    <col min="11016" max="11016" width="13.109375" style="136" customWidth="1"/>
    <col min="11017" max="11018" width="12.5546875" style="136" customWidth="1"/>
    <col min="11019" max="11265" width="9.109375" style="136"/>
    <col min="11266" max="11266" width="10.5546875" style="136" customWidth="1"/>
    <col min="11267" max="11267" width="27.6640625" style="136" customWidth="1"/>
    <col min="11268" max="11268" width="14.44140625" style="136" customWidth="1"/>
    <col min="11269" max="11270" width="15" style="136" customWidth="1"/>
    <col min="11271" max="11271" width="16.6640625" style="136" customWidth="1"/>
    <col min="11272" max="11272" width="13.109375" style="136" customWidth="1"/>
    <col min="11273" max="11274" width="12.5546875" style="136" customWidth="1"/>
    <col min="11275" max="11521" width="9.109375" style="136"/>
    <col min="11522" max="11522" width="10.5546875" style="136" customWidth="1"/>
    <col min="11523" max="11523" width="27.6640625" style="136" customWidth="1"/>
    <col min="11524" max="11524" width="14.44140625" style="136" customWidth="1"/>
    <col min="11525" max="11526" width="15" style="136" customWidth="1"/>
    <col min="11527" max="11527" width="16.6640625" style="136" customWidth="1"/>
    <col min="11528" max="11528" width="13.109375" style="136" customWidth="1"/>
    <col min="11529" max="11530" width="12.5546875" style="136" customWidth="1"/>
    <col min="11531" max="11777" width="9.109375" style="136"/>
    <col min="11778" max="11778" width="10.5546875" style="136" customWidth="1"/>
    <col min="11779" max="11779" width="27.6640625" style="136" customWidth="1"/>
    <col min="11780" max="11780" width="14.44140625" style="136" customWidth="1"/>
    <col min="11781" max="11782" width="15" style="136" customWidth="1"/>
    <col min="11783" max="11783" width="16.6640625" style="136" customWidth="1"/>
    <col min="11784" max="11784" width="13.109375" style="136" customWidth="1"/>
    <col min="11785" max="11786" width="12.5546875" style="136" customWidth="1"/>
    <col min="11787" max="12033" width="9.109375" style="136"/>
    <col min="12034" max="12034" width="10.5546875" style="136" customWidth="1"/>
    <col min="12035" max="12035" width="27.6640625" style="136" customWidth="1"/>
    <col min="12036" max="12036" width="14.44140625" style="136" customWidth="1"/>
    <col min="12037" max="12038" width="15" style="136" customWidth="1"/>
    <col min="12039" max="12039" width="16.6640625" style="136" customWidth="1"/>
    <col min="12040" max="12040" width="13.109375" style="136" customWidth="1"/>
    <col min="12041" max="12042" width="12.5546875" style="136" customWidth="1"/>
    <col min="12043" max="12289" width="9.109375" style="136"/>
    <col min="12290" max="12290" width="10.5546875" style="136" customWidth="1"/>
    <col min="12291" max="12291" width="27.6640625" style="136" customWidth="1"/>
    <col min="12292" max="12292" width="14.44140625" style="136" customWidth="1"/>
    <col min="12293" max="12294" width="15" style="136" customWidth="1"/>
    <col min="12295" max="12295" width="16.6640625" style="136" customWidth="1"/>
    <col min="12296" max="12296" width="13.109375" style="136" customWidth="1"/>
    <col min="12297" max="12298" width="12.5546875" style="136" customWidth="1"/>
    <col min="12299" max="12545" width="9.109375" style="136"/>
    <col min="12546" max="12546" width="10.5546875" style="136" customWidth="1"/>
    <col min="12547" max="12547" width="27.6640625" style="136" customWidth="1"/>
    <col min="12548" max="12548" width="14.44140625" style="136" customWidth="1"/>
    <col min="12549" max="12550" width="15" style="136" customWidth="1"/>
    <col min="12551" max="12551" width="16.6640625" style="136" customWidth="1"/>
    <col min="12552" max="12552" width="13.109375" style="136" customWidth="1"/>
    <col min="12553" max="12554" width="12.5546875" style="136" customWidth="1"/>
    <col min="12555" max="12801" width="9.109375" style="136"/>
    <col min="12802" max="12802" width="10.5546875" style="136" customWidth="1"/>
    <col min="12803" max="12803" width="27.6640625" style="136" customWidth="1"/>
    <col min="12804" max="12804" width="14.44140625" style="136" customWidth="1"/>
    <col min="12805" max="12806" width="15" style="136" customWidth="1"/>
    <col min="12807" max="12807" width="16.6640625" style="136" customWidth="1"/>
    <col min="12808" max="12808" width="13.109375" style="136" customWidth="1"/>
    <col min="12809" max="12810" width="12.5546875" style="136" customWidth="1"/>
    <col min="12811" max="13057" width="9.109375" style="136"/>
    <col min="13058" max="13058" width="10.5546875" style="136" customWidth="1"/>
    <col min="13059" max="13059" width="27.6640625" style="136" customWidth="1"/>
    <col min="13060" max="13060" width="14.44140625" style="136" customWidth="1"/>
    <col min="13061" max="13062" width="15" style="136" customWidth="1"/>
    <col min="13063" max="13063" width="16.6640625" style="136" customWidth="1"/>
    <col min="13064" max="13064" width="13.109375" style="136" customWidth="1"/>
    <col min="13065" max="13066" width="12.5546875" style="136" customWidth="1"/>
    <col min="13067" max="13313" width="9.109375" style="136"/>
    <col min="13314" max="13314" width="10.5546875" style="136" customWidth="1"/>
    <col min="13315" max="13315" width="27.6640625" style="136" customWidth="1"/>
    <col min="13316" max="13316" width="14.44140625" style="136" customWidth="1"/>
    <col min="13317" max="13318" width="15" style="136" customWidth="1"/>
    <col min="13319" max="13319" width="16.6640625" style="136" customWidth="1"/>
    <col min="13320" max="13320" width="13.109375" style="136" customWidth="1"/>
    <col min="13321" max="13322" width="12.5546875" style="136" customWidth="1"/>
    <col min="13323" max="13569" width="9.109375" style="136"/>
    <col min="13570" max="13570" width="10.5546875" style="136" customWidth="1"/>
    <col min="13571" max="13571" width="27.6640625" style="136" customWidth="1"/>
    <col min="13572" max="13572" width="14.44140625" style="136" customWidth="1"/>
    <col min="13573" max="13574" width="15" style="136" customWidth="1"/>
    <col min="13575" max="13575" width="16.6640625" style="136" customWidth="1"/>
    <col min="13576" max="13576" width="13.109375" style="136" customWidth="1"/>
    <col min="13577" max="13578" width="12.5546875" style="136" customWidth="1"/>
    <col min="13579" max="13825" width="9.109375" style="136"/>
    <col min="13826" max="13826" width="10.5546875" style="136" customWidth="1"/>
    <col min="13827" max="13827" width="27.6640625" style="136" customWidth="1"/>
    <col min="13828" max="13828" width="14.44140625" style="136" customWidth="1"/>
    <col min="13829" max="13830" width="15" style="136" customWidth="1"/>
    <col min="13831" max="13831" width="16.6640625" style="136" customWidth="1"/>
    <col min="13832" max="13832" width="13.109375" style="136" customWidth="1"/>
    <col min="13833" max="13834" width="12.5546875" style="136" customWidth="1"/>
    <col min="13835" max="14081" width="9.109375" style="136"/>
    <col min="14082" max="14082" width="10.5546875" style="136" customWidth="1"/>
    <col min="14083" max="14083" width="27.6640625" style="136" customWidth="1"/>
    <col min="14084" max="14084" width="14.44140625" style="136" customWidth="1"/>
    <col min="14085" max="14086" width="15" style="136" customWidth="1"/>
    <col min="14087" max="14087" width="16.6640625" style="136" customWidth="1"/>
    <col min="14088" max="14088" width="13.109375" style="136" customWidth="1"/>
    <col min="14089" max="14090" width="12.5546875" style="136" customWidth="1"/>
    <col min="14091" max="14337" width="9.109375" style="136"/>
    <col min="14338" max="14338" width="10.5546875" style="136" customWidth="1"/>
    <col min="14339" max="14339" width="27.6640625" style="136" customWidth="1"/>
    <col min="14340" max="14340" width="14.44140625" style="136" customWidth="1"/>
    <col min="14341" max="14342" width="15" style="136" customWidth="1"/>
    <col min="14343" max="14343" width="16.6640625" style="136" customWidth="1"/>
    <col min="14344" max="14344" width="13.109375" style="136" customWidth="1"/>
    <col min="14345" max="14346" width="12.5546875" style="136" customWidth="1"/>
    <col min="14347" max="14593" width="9.109375" style="136"/>
    <col min="14594" max="14594" width="10.5546875" style="136" customWidth="1"/>
    <col min="14595" max="14595" width="27.6640625" style="136" customWidth="1"/>
    <col min="14596" max="14596" width="14.44140625" style="136" customWidth="1"/>
    <col min="14597" max="14598" width="15" style="136" customWidth="1"/>
    <col min="14599" max="14599" width="16.6640625" style="136" customWidth="1"/>
    <col min="14600" max="14600" width="13.109375" style="136" customWidth="1"/>
    <col min="14601" max="14602" width="12.5546875" style="136" customWidth="1"/>
    <col min="14603" max="14849" width="9.109375" style="136"/>
    <col min="14850" max="14850" width="10.5546875" style="136" customWidth="1"/>
    <col min="14851" max="14851" width="27.6640625" style="136" customWidth="1"/>
    <col min="14852" max="14852" width="14.44140625" style="136" customWidth="1"/>
    <col min="14853" max="14854" width="15" style="136" customWidth="1"/>
    <col min="14855" max="14855" width="16.6640625" style="136" customWidth="1"/>
    <col min="14856" max="14856" width="13.109375" style="136" customWidth="1"/>
    <col min="14857" max="14858" width="12.5546875" style="136" customWidth="1"/>
    <col min="14859" max="15105" width="9.109375" style="136"/>
    <col min="15106" max="15106" width="10.5546875" style="136" customWidth="1"/>
    <col min="15107" max="15107" width="27.6640625" style="136" customWidth="1"/>
    <col min="15108" max="15108" width="14.44140625" style="136" customWidth="1"/>
    <col min="15109" max="15110" width="15" style="136" customWidth="1"/>
    <col min="15111" max="15111" width="16.6640625" style="136" customWidth="1"/>
    <col min="15112" max="15112" width="13.109375" style="136" customWidth="1"/>
    <col min="15113" max="15114" width="12.5546875" style="136" customWidth="1"/>
    <col min="15115" max="15361" width="9.109375" style="136"/>
    <col min="15362" max="15362" width="10.5546875" style="136" customWidth="1"/>
    <col min="15363" max="15363" width="27.6640625" style="136" customWidth="1"/>
    <col min="15364" max="15364" width="14.44140625" style="136" customWidth="1"/>
    <col min="15365" max="15366" width="15" style="136" customWidth="1"/>
    <col min="15367" max="15367" width="16.6640625" style="136" customWidth="1"/>
    <col min="15368" max="15368" width="13.109375" style="136" customWidth="1"/>
    <col min="15369" max="15370" width="12.5546875" style="136" customWidth="1"/>
    <col min="15371" max="15617" width="9.109375" style="136"/>
    <col min="15618" max="15618" width="10.5546875" style="136" customWidth="1"/>
    <col min="15619" max="15619" width="27.6640625" style="136" customWidth="1"/>
    <col min="15620" max="15620" width="14.44140625" style="136" customWidth="1"/>
    <col min="15621" max="15622" width="15" style="136" customWidth="1"/>
    <col min="15623" max="15623" width="16.6640625" style="136" customWidth="1"/>
    <col min="15624" max="15624" width="13.109375" style="136" customWidth="1"/>
    <col min="15625" max="15626" width="12.5546875" style="136" customWidth="1"/>
    <col min="15627" max="15873" width="9.109375" style="136"/>
    <col min="15874" max="15874" width="10.5546875" style="136" customWidth="1"/>
    <col min="15875" max="15875" width="27.6640625" style="136" customWidth="1"/>
    <col min="15876" max="15876" width="14.44140625" style="136" customWidth="1"/>
    <col min="15877" max="15878" width="15" style="136" customWidth="1"/>
    <col min="15879" max="15879" width="16.6640625" style="136" customWidth="1"/>
    <col min="15880" max="15880" width="13.109375" style="136" customWidth="1"/>
    <col min="15881" max="15882" width="12.5546875" style="136" customWidth="1"/>
    <col min="15883" max="16129" width="9.109375" style="136"/>
    <col min="16130" max="16130" width="10.5546875" style="136" customWidth="1"/>
    <col min="16131" max="16131" width="27.6640625" style="136" customWidth="1"/>
    <col min="16132" max="16132" width="14.44140625" style="136" customWidth="1"/>
    <col min="16133" max="16134" width="15" style="136" customWidth="1"/>
    <col min="16135" max="16135" width="16.6640625" style="136" customWidth="1"/>
    <col min="16136" max="16136" width="13.109375" style="136" customWidth="1"/>
    <col min="16137" max="16138" width="12.5546875" style="136" customWidth="1"/>
    <col min="16139" max="16384" width="9.109375" style="136"/>
  </cols>
  <sheetData>
    <row r="1" spans="1:10" x14ac:dyDescent="0.3">
      <c r="A1" s="186"/>
      <c r="B1" s="187" t="str">
        <f>INSTRUÇÕES!B1</f>
        <v>Tribunal Regional Federal da 6ª Região</v>
      </c>
      <c r="C1" s="188"/>
      <c r="D1" s="188"/>
      <c r="E1" s="188"/>
      <c r="F1" s="189"/>
      <c r="G1" s="190"/>
      <c r="H1" s="663"/>
      <c r="I1" s="189"/>
      <c r="J1" s="191"/>
    </row>
    <row r="2" spans="1:10" x14ac:dyDescent="0.3">
      <c r="A2" s="192"/>
      <c r="B2" s="193" t="str">
        <f>INSTRUÇÕES!B2</f>
        <v>Seção Judiciária de Minas Gerais</v>
      </c>
      <c r="C2" s="194"/>
      <c r="D2" s="194"/>
      <c r="E2" s="194"/>
      <c r="F2" s="195"/>
      <c r="I2" s="195"/>
      <c r="J2" s="196"/>
    </row>
    <row r="3" spans="1:10" ht="14.4" thickBot="1" x14ac:dyDescent="0.35">
      <c r="A3" s="197"/>
      <c r="B3" s="198" t="str">
        <f>INSTRUÇÕES!B3</f>
        <v>Subseção Judiciária de Sete Lagoas</v>
      </c>
      <c r="C3" s="194"/>
      <c r="D3" s="194"/>
      <c r="E3" s="194"/>
      <c r="F3" s="195"/>
      <c r="I3" s="195"/>
      <c r="J3" s="196"/>
    </row>
    <row r="4" spans="1:10" ht="20.100000000000001" customHeight="1" thickBot="1" x14ac:dyDescent="0.35">
      <c r="A4" s="1206" t="s">
        <v>604</v>
      </c>
      <c r="B4" s="1207"/>
      <c r="C4" s="1207"/>
      <c r="D4" s="1207"/>
      <c r="E4" s="1207"/>
      <c r="F4" s="1207"/>
      <c r="G4" s="1207"/>
      <c r="H4" s="1208"/>
      <c r="I4" s="1207"/>
      <c r="J4" s="1209"/>
    </row>
    <row r="5" spans="1:10" ht="20.100000000000001" customHeight="1" x14ac:dyDescent="0.3">
      <c r="A5" s="1210" t="s">
        <v>419</v>
      </c>
      <c r="B5" s="1211"/>
      <c r="C5" s="1211"/>
      <c r="D5" s="1211"/>
      <c r="E5" s="1211"/>
      <c r="F5" s="1211"/>
      <c r="G5" s="1211"/>
      <c r="H5" s="1212"/>
      <c r="I5" s="1211"/>
      <c r="J5" s="1213"/>
    </row>
    <row r="6" spans="1:10" ht="36" customHeight="1" thickBot="1" x14ac:dyDescent="0.35">
      <c r="A6" s="1214" t="str">
        <f>Dados!A4</f>
        <v>Sindicato utilizado - SINTAPPI/MG. Vigência: 01/04/2023 à 31/03/2024. Sendo a data base da categoria 01º de Abril. Com número de registro no MTE MG001474/2023.</v>
      </c>
      <c r="B6" s="1215"/>
      <c r="C6" s="1215"/>
      <c r="D6" s="1215"/>
      <c r="E6" s="1215"/>
      <c r="F6" s="1215"/>
      <c r="G6" s="1215"/>
      <c r="H6" s="1215"/>
      <c r="I6" s="1215"/>
      <c r="J6" s="1216"/>
    </row>
    <row r="7" spans="1:10" ht="20.100000000000001" customHeight="1" thickBot="1" x14ac:dyDescent="0.35">
      <c r="A7" s="1217" t="str">
        <f>Dados!C7</f>
        <v>Servente de Limpeza 40% Insalubridade</v>
      </c>
      <c r="B7" s="1218"/>
      <c r="C7" s="1218"/>
      <c r="D7" s="1218"/>
      <c r="E7" s="1219"/>
      <c r="F7" s="1220" t="s">
        <v>605</v>
      </c>
      <c r="G7" s="1221" t="s">
        <v>606</v>
      </c>
      <c r="H7" s="1220" t="s">
        <v>756</v>
      </c>
      <c r="I7" s="1220" t="s">
        <v>757</v>
      </c>
      <c r="J7" s="1222" t="s">
        <v>607</v>
      </c>
    </row>
    <row r="8" spans="1:10" ht="20.100000000000001" customHeight="1" thickBot="1" x14ac:dyDescent="0.35">
      <c r="A8" s="1223" t="s">
        <v>608</v>
      </c>
      <c r="B8" s="1224"/>
      <c r="C8" s="1224"/>
      <c r="D8" s="1224"/>
      <c r="E8" s="137" t="s">
        <v>527</v>
      </c>
      <c r="F8" s="1220"/>
      <c r="G8" s="1221"/>
      <c r="H8" s="1220"/>
      <c r="I8" s="1220"/>
      <c r="J8" s="1222"/>
    </row>
    <row r="9" spans="1:10" ht="20.100000000000001" customHeight="1" x14ac:dyDescent="0.3">
      <c r="A9" s="1225" t="s">
        <v>609</v>
      </c>
      <c r="B9" s="1226"/>
      <c r="C9" s="1226"/>
      <c r="D9" s="1226"/>
      <c r="E9" s="1226"/>
      <c r="F9" s="1226"/>
      <c r="G9" s="1226"/>
      <c r="H9" s="1227"/>
      <c r="I9" s="1226"/>
      <c r="J9" s="1228"/>
    </row>
    <row r="10" spans="1:10" ht="24" customHeight="1" x14ac:dyDescent="0.3">
      <c r="A10" s="199" t="s">
        <v>512</v>
      </c>
      <c r="B10" s="1229" t="s">
        <v>610</v>
      </c>
      <c r="C10" s="1229"/>
      <c r="D10" s="138" t="s">
        <v>611</v>
      </c>
      <c r="E10" s="139" t="s">
        <v>612</v>
      </c>
      <c r="F10" s="1230" t="s">
        <v>530</v>
      </c>
      <c r="G10" s="1230"/>
      <c r="H10" s="1231"/>
      <c r="I10" s="1230"/>
      <c r="J10" s="1232"/>
    </row>
    <row r="11" spans="1:10" ht="20.100000000000001" customHeight="1" x14ac:dyDescent="0.3">
      <c r="A11" s="1233">
        <v>1</v>
      </c>
      <c r="B11" s="1235" t="str">
        <f>A7</f>
        <v>Servente de Limpeza 40% Insalubridade</v>
      </c>
      <c r="C11" s="1235"/>
      <c r="D11" s="140">
        <f>Dados!D7</f>
        <v>200</v>
      </c>
      <c r="E11" s="166">
        <f>Dados!E7</f>
        <v>1440</v>
      </c>
      <c r="F11" s="160">
        <f>ROUND(E11/220*D11,2)</f>
        <v>1309.0899999999999</v>
      </c>
      <c r="G11" s="160">
        <f>F11</f>
        <v>1309.0899999999999</v>
      </c>
      <c r="H11" s="664"/>
      <c r="I11" s="160"/>
      <c r="J11" s="200"/>
    </row>
    <row r="12" spans="1:10" ht="20.100000000000001" customHeight="1" x14ac:dyDescent="0.3">
      <c r="A12" s="1233"/>
      <c r="B12" s="1235" t="s">
        <v>613</v>
      </c>
      <c r="C12" s="1235"/>
      <c r="D12" s="141">
        <f>Dados!G7</f>
        <v>0.4</v>
      </c>
      <c r="E12" s="166">
        <f>Dados!G28</f>
        <v>1320</v>
      </c>
      <c r="F12" s="160">
        <f>D12*E12</f>
        <v>528</v>
      </c>
      <c r="G12" s="160">
        <f>F12</f>
        <v>528</v>
      </c>
      <c r="H12" s="664"/>
      <c r="I12" s="160"/>
      <c r="J12" s="200">
        <f>F12</f>
        <v>528</v>
      </c>
    </row>
    <row r="13" spans="1:10" ht="20.25" customHeight="1" x14ac:dyDescent="0.3">
      <c r="A13" s="1233"/>
      <c r="B13" s="167" t="s">
        <v>614</v>
      </c>
      <c r="C13" s="168">
        <f>Dados!I7</f>
        <v>0</v>
      </c>
      <c r="D13" s="168">
        <f>Dados!J7</f>
        <v>0</v>
      </c>
      <c r="E13" s="169">
        <f>Dados!K10</f>
        <v>1955.45</v>
      </c>
      <c r="F13" s="163">
        <f>ROUND((E13*D13*C13),2)</f>
        <v>0</v>
      </c>
      <c r="G13" s="163">
        <f>F13</f>
        <v>0</v>
      </c>
      <c r="H13" s="665"/>
      <c r="I13" s="163"/>
      <c r="J13" s="201"/>
    </row>
    <row r="14" spans="1:10" ht="20.100000000000001" customHeight="1" x14ac:dyDescent="0.3">
      <c r="A14" s="1234"/>
      <c r="B14" s="1236" t="s">
        <v>615</v>
      </c>
      <c r="C14" s="1236"/>
      <c r="D14" s="1236"/>
      <c r="E14" s="1236"/>
      <c r="F14" s="171">
        <f>SUM(F11:F13)</f>
        <v>1837.09</v>
      </c>
      <c r="G14" s="171">
        <f>SUM(G11:G13)</f>
        <v>1837.09</v>
      </c>
      <c r="H14" s="171">
        <f>SUM(H11:H13)</f>
        <v>0</v>
      </c>
      <c r="I14" s="171">
        <f>SUM(I11:I13)</f>
        <v>0</v>
      </c>
      <c r="J14" s="202">
        <f>SUM(J11:J13)</f>
        <v>528</v>
      </c>
    </row>
    <row r="15" spans="1:10" ht="20.100000000000001" customHeight="1" thickBot="1" x14ac:dyDescent="0.35">
      <c r="A15" s="1233"/>
      <c r="B15" s="1237" t="s">
        <v>616</v>
      </c>
      <c r="C15" s="1237"/>
      <c r="D15" s="1237"/>
      <c r="E15" s="170">
        <f>Encargos!$C$57</f>
        <v>0.79049999999999998</v>
      </c>
      <c r="F15" s="160">
        <f>ROUND((E15*F14),2)</f>
        <v>1452.22</v>
      </c>
      <c r="G15" s="160">
        <f>F15</f>
        <v>1452.22</v>
      </c>
      <c r="H15" s="664"/>
      <c r="I15" s="160"/>
      <c r="J15" s="200">
        <f>ROUND((E15*J14),2)</f>
        <v>417.38</v>
      </c>
    </row>
    <row r="16" spans="1:10" ht="20.100000000000001" customHeight="1" thickBot="1" x14ac:dyDescent="0.35">
      <c r="A16" s="1240" t="s">
        <v>617</v>
      </c>
      <c r="B16" s="1241"/>
      <c r="C16" s="1241"/>
      <c r="D16" s="1241"/>
      <c r="E16" s="1241"/>
      <c r="F16" s="203">
        <f>SUM(F14:F15)</f>
        <v>3289.31</v>
      </c>
      <c r="G16" s="203">
        <f>SUM(G14:G15)</f>
        <v>3289.31</v>
      </c>
      <c r="H16" s="203">
        <f>SUM(H14:H15)</f>
        <v>0</v>
      </c>
      <c r="I16" s="203">
        <f>SUM(I14:I15)</f>
        <v>0</v>
      </c>
      <c r="J16" s="204">
        <f>SUM(J14:J15)</f>
        <v>945.38</v>
      </c>
    </row>
    <row r="17" spans="1:12" ht="20.100000000000001" customHeight="1" x14ac:dyDescent="0.3">
      <c r="A17" s="1242" t="s">
        <v>618</v>
      </c>
      <c r="B17" s="1243"/>
      <c r="C17" s="1243"/>
      <c r="D17" s="1243"/>
      <c r="E17" s="1243"/>
      <c r="F17" s="1243"/>
      <c r="G17" s="1243"/>
      <c r="H17" s="1243"/>
      <c r="I17" s="1243"/>
      <c r="J17" s="1244"/>
    </row>
    <row r="18" spans="1:12" ht="20.100000000000001" customHeight="1" x14ac:dyDescent="0.3">
      <c r="A18" s="1245" t="s">
        <v>619</v>
      </c>
      <c r="B18" s="1246"/>
      <c r="C18" s="109" t="s">
        <v>529</v>
      </c>
      <c r="D18" s="1247" t="s">
        <v>620</v>
      </c>
      <c r="E18" s="1247"/>
      <c r="F18" s="1248" t="s">
        <v>530</v>
      </c>
      <c r="G18" s="1248"/>
      <c r="H18" s="1249"/>
      <c r="I18" s="1248"/>
      <c r="J18" s="1250"/>
    </row>
    <row r="19" spans="1:12" ht="20.100000000000001" customHeight="1" x14ac:dyDescent="0.3">
      <c r="A19" s="1238" t="s">
        <v>621</v>
      </c>
      <c r="B19" s="1239"/>
      <c r="C19" s="152"/>
      <c r="D19" s="152"/>
      <c r="E19" s="152"/>
      <c r="F19" s="160">
        <f>Dados!$N$7</f>
        <v>42.67</v>
      </c>
      <c r="G19" s="160">
        <f>F19</f>
        <v>42.67</v>
      </c>
      <c r="H19" s="664"/>
      <c r="I19" s="160"/>
      <c r="J19" s="200"/>
    </row>
    <row r="20" spans="1:12" ht="20.100000000000001" customHeight="1" x14ac:dyDescent="0.3">
      <c r="A20" s="1238" t="s">
        <v>622</v>
      </c>
      <c r="B20" s="1239"/>
      <c r="C20" s="152"/>
      <c r="D20" s="152"/>
      <c r="E20" s="152"/>
      <c r="F20" s="160">
        <f>Dados!$G$31</f>
        <v>1.55</v>
      </c>
      <c r="G20" s="160">
        <f>F20</f>
        <v>1.55</v>
      </c>
      <c r="H20" s="664"/>
      <c r="I20" s="160"/>
      <c r="J20" s="200"/>
    </row>
    <row r="21" spans="1:12" ht="23.85" customHeight="1" x14ac:dyDescent="0.3">
      <c r="A21" s="1251" t="s">
        <v>340</v>
      </c>
      <c r="B21" s="1252"/>
      <c r="C21" s="152"/>
      <c r="D21" s="152"/>
      <c r="E21" s="152"/>
      <c r="F21" s="160">
        <f>Dados!G32</f>
        <v>0</v>
      </c>
      <c r="G21" s="160">
        <f>F21</f>
        <v>0</v>
      </c>
      <c r="H21" s="664"/>
      <c r="I21" s="160"/>
      <c r="J21" s="200"/>
    </row>
    <row r="22" spans="1:12" ht="20.100000000000001" customHeight="1" x14ac:dyDescent="0.3">
      <c r="A22" s="1238" t="s">
        <v>341</v>
      </c>
      <c r="B22" s="1239"/>
      <c r="C22" s="154">
        <f>Dados!$G$35</f>
        <v>22</v>
      </c>
      <c r="D22" s="154">
        <f>Dados!$G$34</f>
        <v>2</v>
      </c>
      <c r="E22" s="153">
        <f>Dados!$G$33</f>
        <v>4.25</v>
      </c>
      <c r="F22" s="160">
        <f>IF(ROUND((E22*D22*C22)-(F11*Dados!$G$36),2)&lt;0,0,ROUND((E22*D22*C22)-(F11*Dados!$G$36),2))</f>
        <v>108.45</v>
      </c>
      <c r="G22" s="160">
        <f>F22</f>
        <v>108.45</v>
      </c>
      <c r="H22" s="664"/>
      <c r="I22" s="160">
        <f>F22</f>
        <v>108.45</v>
      </c>
      <c r="J22" s="200"/>
    </row>
    <row r="23" spans="1:12" ht="20.100000000000001" customHeight="1" x14ac:dyDescent="0.3">
      <c r="A23" s="1238" t="s">
        <v>342</v>
      </c>
      <c r="B23" s="1239"/>
      <c r="C23" s="154">
        <f>Dados!$G$38</f>
        <v>22</v>
      </c>
      <c r="D23" s="159">
        <f>Dados!$G$39</f>
        <v>0.2</v>
      </c>
      <c r="E23" s="153">
        <f>Dados!$G$37</f>
        <v>24</v>
      </c>
      <c r="F23" s="161">
        <f>ROUND((IF(D11&gt;150,((C23*E23)-(C23*(D23*E23))),0)),2)</f>
        <v>422.4</v>
      </c>
      <c r="G23" s="160">
        <f>F23</f>
        <v>422.4</v>
      </c>
      <c r="H23" s="664">
        <f>$F$23</f>
        <v>422.4</v>
      </c>
      <c r="I23" s="161"/>
      <c r="J23" s="200"/>
    </row>
    <row r="24" spans="1:12" ht="20.100000000000001" customHeight="1" x14ac:dyDescent="0.3">
      <c r="A24" s="1238" t="s">
        <v>343</v>
      </c>
      <c r="B24" s="1239"/>
      <c r="C24" s="154"/>
      <c r="D24" s="154"/>
      <c r="E24" s="153"/>
      <c r="F24" s="161">
        <f>Dados!$G$40</f>
        <v>0</v>
      </c>
      <c r="G24" s="160"/>
      <c r="H24" s="664"/>
      <c r="I24" s="161"/>
      <c r="J24" s="200"/>
    </row>
    <row r="25" spans="1:12" ht="20.100000000000001" customHeight="1" x14ac:dyDescent="0.3">
      <c r="A25" s="1238" t="s">
        <v>343</v>
      </c>
      <c r="B25" s="1239"/>
      <c r="C25" s="154"/>
      <c r="D25" s="154"/>
      <c r="E25" s="153"/>
      <c r="F25" s="161">
        <f>Dados!$G$41</f>
        <v>0</v>
      </c>
      <c r="G25" s="160"/>
      <c r="H25" s="664"/>
      <c r="I25" s="161"/>
      <c r="J25" s="200"/>
    </row>
    <row r="26" spans="1:12" ht="20.100000000000001" customHeight="1" x14ac:dyDescent="0.3">
      <c r="A26" s="1238" t="s">
        <v>623</v>
      </c>
      <c r="B26" s="1239"/>
      <c r="C26" s="154"/>
      <c r="D26" s="153"/>
      <c r="E26" s="153"/>
      <c r="F26" s="160">
        <f>Dados!$O$7</f>
        <v>1115.81</v>
      </c>
      <c r="G26" s="160"/>
      <c r="H26" s="664"/>
      <c r="I26" s="160"/>
      <c r="J26" s="200"/>
      <c r="L26" s="142"/>
    </row>
    <row r="27" spans="1:12" ht="20.100000000000001" customHeight="1" x14ac:dyDescent="0.3">
      <c r="A27" s="205" t="s">
        <v>624</v>
      </c>
      <c r="B27" s="143"/>
      <c r="C27" s="154"/>
      <c r="D27" s="153"/>
      <c r="E27" s="153"/>
      <c r="F27" s="160"/>
      <c r="G27" s="160"/>
      <c r="H27" s="664"/>
      <c r="I27" s="160"/>
      <c r="J27" s="200"/>
    </row>
    <row r="28" spans="1:12" ht="20.100000000000001" customHeight="1" x14ac:dyDescent="0.3">
      <c r="A28" s="205" t="s">
        <v>625</v>
      </c>
      <c r="B28" s="143"/>
      <c r="C28" s="155"/>
      <c r="D28" s="156"/>
      <c r="E28" s="156"/>
      <c r="F28" s="162">
        <f>Dados!$S$7</f>
        <v>2.68</v>
      </c>
      <c r="G28" s="160"/>
      <c r="H28" s="664"/>
      <c r="I28" s="162"/>
      <c r="J28" s="200"/>
    </row>
    <row r="29" spans="1:12" ht="20.100000000000001" customHeight="1" thickBot="1" x14ac:dyDescent="0.35">
      <c r="A29" s="1253" t="s">
        <v>626</v>
      </c>
      <c r="B29" s="1254"/>
      <c r="C29" s="157"/>
      <c r="D29" s="158"/>
      <c r="E29" s="158"/>
      <c r="F29" s="163">
        <f>Dados!$R$7</f>
        <v>10.14</v>
      </c>
      <c r="G29" s="163">
        <f>F29</f>
        <v>10.14</v>
      </c>
      <c r="H29" s="665"/>
      <c r="I29" s="163"/>
      <c r="J29" s="201"/>
    </row>
    <row r="30" spans="1:12" ht="20.100000000000001" customHeight="1" thickBot="1" x14ac:dyDescent="0.35">
      <c r="A30" s="1255" t="s">
        <v>627</v>
      </c>
      <c r="B30" s="1256"/>
      <c r="C30" s="1256"/>
      <c r="D30" s="1256"/>
      <c r="E30" s="1256"/>
      <c r="F30" s="203">
        <f>SUM(F19:F29)</f>
        <v>1703.7</v>
      </c>
      <c r="G30" s="203">
        <f t="shared" ref="G30:J30" si="0">SUM(G19:G29)</f>
        <v>585.20999999999992</v>
      </c>
      <c r="H30" s="203">
        <f t="shared" si="0"/>
        <v>422.4</v>
      </c>
      <c r="I30" s="203">
        <f t="shared" si="0"/>
        <v>108.45</v>
      </c>
      <c r="J30" s="204">
        <f t="shared" si="0"/>
        <v>0</v>
      </c>
    </row>
    <row r="31" spans="1:12" ht="20.100000000000001" customHeight="1" thickBot="1" x14ac:dyDescent="0.35">
      <c r="A31" s="1255" t="s">
        <v>628</v>
      </c>
      <c r="B31" s="1256"/>
      <c r="C31" s="1256"/>
      <c r="D31" s="1256"/>
      <c r="E31" s="1256"/>
      <c r="F31" s="203">
        <f>F16+F30</f>
        <v>4993.01</v>
      </c>
      <c r="G31" s="203">
        <f t="shared" ref="G31:J31" si="1">G16+G30</f>
        <v>3874.52</v>
      </c>
      <c r="H31" s="203">
        <f t="shared" si="1"/>
        <v>422.4</v>
      </c>
      <c r="I31" s="203">
        <f t="shared" si="1"/>
        <v>108.45</v>
      </c>
      <c r="J31" s="204">
        <f t="shared" si="1"/>
        <v>945.38</v>
      </c>
    </row>
    <row r="32" spans="1:12" ht="20.100000000000001" customHeight="1" x14ac:dyDescent="0.3">
      <c r="A32" s="1225" t="s">
        <v>629</v>
      </c>
      <c r="B32" s="1226"/>
      <c r="C32" s="1226"/>
      <c r="D32" s="1226"/>
      <c r="E32" s="1226"/>
      <c r="F32" s="1226"/>
      <c r="G32" s="1226"/>
      <c r="H32" s="1227"/>
      <c r="I32" s="1226"/>
      <c r="J32" s="1228"/>
    </row>
    <row r="33" spans="1:12" ht="20.100000000000001" customHeight="1" x14ac:dyDescent="0.3">
      <c r="A33" s="1245" t="s">
        <v>630</v>
      </c>
      <c r="B33" s="1246"/>
      <c r="C33" s="1246"/>
      <c r="D33" s="144" t="s">
        <v>631</v>
      </c>
      <c r="E33" s="1257" t="s">
        <v>530</v>
      </c>
      <c r="F33" s="1257"/>
      <c r="G33" s="1257"/>
      <c r="H33" s="1258"/>
      <c r="I33" s="1257"/>
      <c r="J33" s="1259"/>
    </row>
    <row r="34" spans="1:12" ht="20.100000000000001" customHeight="1" x14ac:dyDescent="0.3">
      <c r="A34" s="206" t="s">
        <v>632</v>
      </c>
      <c r="B34" s="145"/>
      <c r="C34" s="145"/>
      <c r="D34" s="150">
        <f>Dados!$G$44</f>
        <v>0.03</v>
      </c>
      <c r="E34" s="146"/>
      <c r="F34" s="160">
        <f>ROUND((F31*$D$34),2)</f>
        <v>149.79</v>
      </c>
      <c r="G34" s="160">
        <f t="shared" ref="G34:J34" si="2">ROUND((G31*$D$34),2)</f>
        <v>116.24</v>
      </c>
      <c r="H34" s="160">
        <f t="shared" ref="H34" si="3">ROUND((H31*$D$34),2)</f>
        <v>12.67</v>
      </c>
      <c r="I34" s="160">
        <f t="shared" si="2"/>
        <v>3.25</v>
      </c>
      <c r="J34" s="200">
        <f t="shared" si="2"/>
        <v>28.36</v>
      </c>
    </row>
    <row r="35" spans="1:12" ht="20.100000000000001" customHeight="1" x14ac:dyDescent="0.3">
      <c r="A35" s="1260" t="s">
        <v>633</v>
      </c>
      <c r="B35" s="1261"/>
      <c r="C35" s="1261"/>
      <c r="D35" s="150"/>
      <c r="E35" s="146"/>
      <c r="F35" s="160">
        <f>F31+F34</f>
        <v>5142.8</v>
      </c>
      <c r="G35" s="160">
        <f t="shared" ref="G35:J35" si="4">G31+G34</f>
        <v>3990.7599999999998</v>
      </c>
      <c r="H35" s="160">
        <f t="shared" ref="H35" si="5">H31+H34</f>
        <v>435.07</v>
      </c>
      <c r="I35" s="160">
        <f t="shared" si="4"/>
        <v>111.7</v>
      </c>
      <c r="J35" s="200">
        <f t="shared" si="4"/>
        <v>973.74</v>
      </c>
    </row>
    <row r="36" spans="1:12" ht="20.100000000000001" customHeight="1" thickBot="1" x14ac:dyDescent="0.35">
      <c r="A36" s="207" t="s">
        <v>348</v>
      </c>
      <c r="B36" s="147"/>
      <c r="C36" s="147"/>
      <c r="D36" s="175">
        <f>Dados!$G$45</f>
        <v>6.7900000000000002E-2</v>
      </c>
      <c r="E36" s="148"/>
      <c r="F36" s="163">
        <f>ROUND((F35*$D$36),2)</f>
        <v>349.2</v>
      </c>
      <c r="G36" s="163">
        <f t="shared" ref="G36:J36" si="6">ROUND((G35*$D$36),2)</f>
        <v>270.97000000000003</v>
      </c>
      <c r="H36" s="163">
        <f t="shared" ref="H36" si="7">ROUND((H35*$D$36),2)</f>
        <v>29.54</v>
      </c>
      <c r="I36" s="163">
        <f t="shared" si="6"/>
        <v>7.58</v>
      </c>
      <c r="J36" s="201">
        <f t="shared" si="6"/>
        <v>66.12</v>
      </c>
    </row>
    <row r="37" spans="1:12" ht="20.100000000000001" customHeight="1" thickBot="1" x14ac:dyDescent="0.35">
      <c r="A37" s="176" t="s">
        <v>634</v>
      </c>
      <c r="B37" s="177"/>
      <c r="C37" s="177"/>
      <c r="D37" s="178">
        <f>SUM(D34:D36)</f>
        <v>9.7900000000000001E-2</v>
      </c>
      <c r="E37" s="179"/>
      <c r="F37" s="180">
        <f>F34+F36</f>
        <v>498.99</v>
      </c>
      <c r="G37" s="180">
        <f>G34+G36</f>
        <v>387.21000000000004</v>
      </c>
      <c r="H37" s="180">
        <f>H34+H36</f>
        <v>42.21</v>
      </c>
      <c r="I37" s="180">
        <f>I34+I36</f>
        <v>10.83</v>
      </c>
      <c r="J37" s="181">
        <f>J34+J36</f>
        <v>94.48</v>
      </c>
    </row>
    <row r="38" spans="1:12" ht="20.100000000000001" customHeight="1" thickBot="1" x14ac:dyDescent="0.35">
      <c r="A38" s="1262" t="s">
        <v>635</v>
      </c>
      <c r="B38" s="1263"/>
      <c r="C38" s="1263"/>
      <c r="D38" s="1263"/>
      <c r="E38" s="1263"/>
      <c r="F38" s="165">
        <f>F31+F37</f>
        <v>5492</v>
      </c>
      <c r="G38" s="165">
        <f t="shared" ref="G38:J38" si="8">G31+G37</f>
        <v>4261.7299999999996</v>
      </c>
      <c r="H38" s="165">
        <f t="shared" ref="H38" si="9">H31+H37</f>
        <v>464.60999999999996</v>
      </c>
      <c r="I38" s="165">
        <f t="shared" si="8"/>
        <v>119.28</v>
      </c>
      <c r="J38" s="208">
        <f t="shared" si="8"/>
        <v>1039.8599999999999</v>
      </c>
    </row>
    <row r="39" spans="1:12" ht="20.100000000000001" customHeight="1" x14ac:dyDescent="0.3">
      <c r="A39" s="1264" t="s">
        <v>636</v>
      </c>
      <c r="B39" s="1265"/>
      <c r="C39" s="1265"/>
      <c r="D39" s="1265"/>
      <c r="E39" s="1265"/>
      <c r="F39" s="1265"/>
      <c r="G39" s="1265"/>
      <c r="H39" s="1266"/>
      <c r="I39" s="1265"/>
      <c r="J39" s="1267"/>
    </row>
    <row r="40" spans="1:12" ht="20.100000000000001" customHeight="1" x14ac:dyDescent="0.3">
      <c r="A40" s="1238" t="s">
        <v>353</v>
      </c>
      <c r="B40" s="1239"/>
      <c r="C40" s="1239"/>
      <c r="D40" s="150">
        <f>Dados!G52</f>
        <v>7.5999999999999998E-2</v>
      </c>
      <c r="E40" s="151"/>
      <c r="F40" s="160">
        <f>ROUND(($F$46*D40),2)</f>
        <v>475.66</v>
      </c>
      <c r="G40" s="160">
        <f t="shared" ref="G40:J40" si="10">ROUND((G46*$D$40),2)</f>
        <v>369.11</v>
      </c>
      <c r="H40" s="160">
        <f t="shared" ref="H40" si="11">ROUND((H46*$D$40),2)</f>
        <v>35.31</v>
      </c>
      <c r="I40" s="160">
        <f t="shared" si="10"/>
        <v>10.33</v>
      </c>
      <c r="J40" s="200">
        <f t="shared" si="10"/>
        <v>90.06</v>
      </c>
    </row>
    <row r="41" spans="1:12" ht="20.100000000000001" customHeight="1" x14ac:dyDescent="0.3">
      <c r="A41" s="1238" t="s">
        <v>355</v>
      </c>
      <c r="B41" s="1239"/>
      <c r="C41" s="1239"/>
      <c r="D41" s="150">
        <f>Dados!G53</f>
        <v>1.6500000000000001E-2</v>
      </c>
      <c r="E41" s="151"/>
      <c r="F41" s="160">
        <f>ROUND((F46*$D$41),2)</f>
        <v>103.27</v>
      </c>
      <c r="G41" s="160">
        <f t="shared" ref="G41:J41" si="12">ROUND((G46*$D$41),2)</f>
        <v>80.14</v>
      </c>
      <c r="H41" s="160">
        <f t="shared" ref="H41" si="13">ROUND((H46*$D$41),2)</f>
        <v>7.67</v>
      </c>
      <c r="I41" s="160">
        <f t="shared" si="12"/>
        <v>2.2400000000000002</v>
      </c>
      <c r="J41" s="200">
        <f t="shared" si="12"/>
        <v>19.55</v>
      </c>
    </row>
    <row r="42" spans="1:12" ht="20.100000000000001" customHeight="1" x14ac:dyDescent="0.3">
      <c r="A42" s="1238" t="s">
        <v>356</v>
      </c>
      <c r="B42" s="1239"/>
      <c r="C42" s="1239"/>
      <c r="D42" s="150">
        <f>Dados!G54</f>
        <v>0.03</v>
      </c>
      <c r="E42" s="151"/>
      <c r="F42" s="160">
        <f>ROUND((F46*$D$42),2)</f>
        <v>187.76</v>
      </c>
      <c r="G42" s="160">
        <f t="shared" ref="G42:J42" si="14">ROUND((G46*$D$42),2)</f>
        <v>145.69999999999999</v>
      </c>
      <c r="H42" s="160">
        <f t="shared" ref="H42" si="15">ROUND((H46*$D$42),2)</f>
        <v>13.94</v>
      </c>
      <c r="I42" s="160">
        <f t="shared" si="14"/>
        <v>4.08</v>
      </c>
      <c r="J42" s="200">
        <f t="shared" si="14"/>
        <v>35.549999999999997</v>
      </c>
    </row>
    <row r="43" spans="1:12" ht="20.100000000000001" customHeight="1" x14ac:dyDescent="0.3">
      <c r="A43" s="1238" t="s">
        <v>343</v>
      </c>
      <c r="B43" s="1239"/>
      <c r="C43" s="1239"/>
      <c r="D43" s="150">
        <f>Dados!G55</f>
        <v>0</v>
      </c>
      <c r="E43" s="151"/>
      <c r="F43" s="160">
        <f>ROUND((F46*$D$43),2)</f>
        <v>0</v>
      </c>
      <c r="G43" s="160">
        <f t="shared" ref="G43:J43" si="16">ROUND((G46*$D$43),2)</f>
        <v>0</v>
      </c>
      <c r="H43" s="160">
        <f t="shared" ref="H43" si="17">ROUND((H46*$D$43),2)</f>
        <v>0</v>
      </c>
      <c r="I43" s="160">
        <f t="shared" si="16"/>
        <v>0</v>
      </c>
      <c r="J43" s="200">
        <f t="shared" si="16"/>
        <v>0</v>
      </c>
    </row>
    <row r="44" spans="1:12" ht="20.100000000000001" customHeight="1" x14ac:dyDescent="0.3">
      <c r="A44" s="1270" t="s">
        <v>637</v>
      </c>
      <c r="B44" s="1271"/>
      <c r="C44" s="1272"/>
      <c r="D44" s="182">
        <f>SUM(D40:D43)</f>
        <v>0.1225</v>
      </c>
      <c r="E44" s="183"/>
      <c r="F44" s="184">
        <f>SUM(F40:F43)</f>
        <v>766.69</v>
      </c>
      <c r="G44" s="184">
        <f>SUM(G40:G43)</f>
        <v>594.95000000000005</v>
      </c>
      <c r="H44" s="184">
        <f>SUM(H40:H43)</f>
        <v>56.92</v>
      </c>
      <c r="I44" s="184">
        <f>SUM(I40:I43)</f>
        <v>16.649999999999999</v>
      </c>
      <c r="J44" s="209">
        <f>SUM(J40:J42)</f>
        <v>145.16</v>
      </c>
    </row>
    <row r="45" spans="1:12" ht="20.100000000000001" customHeight="1" x14ac:dyDescent="0.3">
      <c r="A45" s="1273" t="str">
        <f>CONCATENATE("Custo Mensal - ",A7)</f>
        <v>Custo Mensal - Servente de Limpeza 40% Insalubridade</v>
      </c>
      <c r="B45" s="1274"/>
      <c r="C45" s="1274"/>
      <c r="D45" s="1274"/>
      <c r="E45" s="1274"/>
      <c r="F45" s="185">
        <f>ROUND(F38/(1-D44),2)</f>
        <v>6258.69</v>
      </c>
      <c r="G45" s="185">
        <f>ROUND(G38/(1-D44),2)</f>
        <v>4856.67</v>
      </c>
      <c r="H45" s="185">
        <f>ROUND(H38/(1-C44),2)</f>
        <v>464.61</v>
      </c>
      <c r="I45" s="185">
        <f>ROUND(I38/(1-D44),2)</f>
        <v>135.93</v>
      </c>
      <c r="J45" s="210">
        <f>ROUND(J38/(1-D44),2)</f>
        <v>1185.03</v>
      </c>
    </row>
    <row r="46" spans="1:12" ht="20.100000000000001" customHeight="1" x14ac:dyDescent="0.3">
      <c r="A46" s="1275" t="str">
        <f>CONCATENATE("Valor do Custo Mensal - ",A7)</f>
        <v>Valor do Custo Mensal - Servente de Limpeza 40% Insalubridade</v>
      </c>
      <c r="B46" s="1276"/>
      <c r="C46" s="1276"/>
      <c r="D46" s="1276"/>
      <c r="E46" s="1276"/>
      <c r="F46" s="185">
        <f>F45</f>
        <v>6258.69</v>
      </c>
      <c r="G46" s="185">
        <f>G45</f>
        <v>4856.67</v>
      </c>
      <c r="H46" s="185">
        <f>H45</f>
        <v>464.61</v>
      </c>
      <c r="I46" s="185">
        <f>I45</f>
        <v>135.93</v>
      </c>
      <c r="J46" s="210">
        <f>J45</f>
        <v>1185.03</v>
      </c>
      <c r="K46" s="149"/>
      <c r="L46" s="149"/>
    </row>
    <row r="47" spans="1:12" ht="27.75" customHeight="1" thickBot="1" x14ac:dyDescent="0.35">
      <c r="A47" s="1277" t="s">
        <v>683</v>
      </c>
      <c r="B47" s="1278"/>
      <c r="C47" s="1278"/>
      <c r="D47" s="1278"/>
      <c r="E47" s="1278"/>
      <c r="F47" s="211">
        <f>(F46/F14)</f>
        <v>3.4068499638014469</v>
      </c>
      <c r="G47" s="211">
        <f>(G46/G14)</f>
        <v>2.6436755956431095</v>
      </c>
      <c r="H47" s="1268" t="s">
        <v>682</v>
      </c>
      <c r="I47" s="1269"/>
      <c r="J47" s="212">
        <f>ROUND((J46/30),2)</f>
        <v>39.5</v>
      </c>
    </row>
    <row r="48" spans="1:12" ht="20.100000000000001" customHeight="1" x14ac:dyDescent="0.3"/>
  </sheetData>
  <sheetProtection algorithmName="SHA-512" hashValue="O1bzZ6mDvGyOfO6DoAxYn69ZFRNdsH7X50HgEASTfAjGIxQShShFnahpUQSEdrTn3gKc+ZES2EDzCaoeFukCiQ==" saltValue="UcpV3IfOGRDt/1Z5zC0K9g==" spinCount="100000" sheet="1" objects="1" scenarios="1"/>
  <mergeCells count="49">
    <mergeCell ref="H47:I47"/>
    <mergeCell ref="A43:C43"/>
    <mergeCell ref="A44:C44"/>
    <mergeCell ref="A45:E45"/>
    <mergeCell ref="A46:E46"/>
    <mergeCell ref="A47:E47"/>
    <mergeCell ref="A42:C42"/>
    <mergeCell ref="A26:B26"/>
    <mergeCell ref="A29:B29"/>
    <mergeCell ref="A30:E30"/>
    <mergeCell ref="A31:E31"/>
    <mergeCell ref="A32:J32"/>
    <mergeCell ref="A33:C33"/>
    <mergeCell ref="E33:J33"/>
    <mergeCell ref="A35:C35"/>
    <mergeCell ref="A38:E38"/>
    <mergeCell ref="A39:J39"/>
    <mergeCell ref="A40:C40"/>
    <mergeCell ref="A41:C41"/>
    <mergeCell ref="A25:B2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I7:I8"/>
    <mergeCell ref="J7:J8"/>
    <mergeCell ref="A8:D8"/>
    <mergeCell ref="H7:H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  <pageSetUpPr fitToPage="1"/>
  </sheetPr>
  <dimension ref="A1:L48"/>
  <sheetViews>
    <sheetView showGridLines="0" view="pageBreakPreview" topLeftCell="A32" zoomScale="90" zoomScaleNormal="100" zoomScaleSheetLayoutView="90" workbookViewId="0">
      <selection activeCell="D26" sqref="D26"/>
    </sheetView>
  </sheetViews>
  <sheetFormatPr defaultRowHeight="13.8" x14ac:dyDescent="0.3"/>
  <cols>
    <col min="1" max="1" width="10.5546875" style="136" customWidth="1"/>
    <col min="2" max="2" width="27.6640625" style="136" customWidth="1"/>
    <col min="3" max="3" width="14.44140625" style="136" customWidth="1"/>
    <col min="4" max="5" width="15" style="136" customWidth="1"/>
    <col min="6" max="6" width="16.6640625" style="164" customWidth="1"/>
    <col min="7" max="8" width="13.109375" style="164" customWidth="1"/>
    <col min="9" max="10" width="12.5546875" style="164" customWidth="1"/>
    <col min="11" max="257" width="9.109375" style="136"/>
    <col min="258" max="258" width="10.5546875" style="136" customWidth="1"/>
    <col min="259" max="259" width="27.6640625" style="136" customWidth="1"/>
    <col min="260" max="260" width="14.44140625" style="136" customWidth="1"/>
    <col min="261" max="262" width="15" style="136" customWidth="1"/>
    <col min="263" max="263" width="16.6640625" style="136" customWidth="1"/>
    <col min="264" max="264" width="13.109375" style="136" customWidth="1"/>
    <col min="265" max="266" width="12.5546875" style="136" customWidth="1"/>
    <col min="267" max="513" width="9.109375" style="136"/>
    <col min="514" max="514" width="10.5546875" style="136" customWidth="1"/>
    <col min="515" max="515" width="27.6640625" style="136" customWidth="1"/>
    <col min="516" max="516" width="14.44140625" style="136" customWidth="1"/>
    <col min="517" max="518" width="15" style="136" customWidth="1"/>
    <col min="519" max="519" width="16.6640625" style="136" customWidth="1"/>
    <col min="520" max="520" width="13.109375" style="136" customWidth="1"/>
    <col min="521" max="522" width="12.5546875" style="136" customWidth="1"/>
    <col min="523" max="769" width="9.109375" style="136"/>
    <col min="770" max="770" width="10.5546875" style="136" customWidth="1"/>
    <col min="771" max="771" width="27.6640625" style="136" customWidth="1"/>
    <col min="772" max="772" width="14.44140625" style="136" customWidth="1"/>
    <col min="773" max="774" width="15" style="136" customWidth="1"/>
    <col min="775" max="775" width="16.6640625" style="136" customWidth="1"/>
    <col min="776" max="776" width="13.109375" style="136" customWidth="1"/>
    <col min="777" max="778" width="12.5546875" style="136" customWidth="1"/>
    <col min="779" max="1025" width="9.109375" style="136"/>
    <col min="1026" max="1026" width="10.5546875" style="136" customWidth="1"/>
    <col min="1027" max="1027" width="27.6640625" style="136" customWidth="1"/>
    <col min="1028" max="1028" width="14.44140625" style="136" customWidth="1"/>
    <col min="1029" max="1030" width="15" style="136" customWidth="1"/>
    <col min="1031" max="1031" width="16.6640625" style="136" customWidth="1"/>
    <col min="1032" max="1032" width="13.109375" style="136" customWidth="1"/>
    <col min="1033" max="1034" width="12.5546875" style="136" customWidth="1"/>
    <col min="1035" max="1281" width="9.109375" style="136"/>
    <col min="1282" max="1282" width="10.5546875" style="136" customWidth="1"/>
    <col min="1283" max="1283" width="27.6640625" style="136" customWidth="1"/>
    <col min="1284" max="1284" width="14.44140625" style="136" customWidth="1"/>
    <col min="1285" max="1286" width="15" style="136" customWidth="1"/>
    <col min="1287" max="1287" width="16.6640625" style="136" customWidth="1"/>
    <col min="1288" max="1288" width="13.109375" style="136" customWidth="1"/>
    <col min="1289" max="1290" width="12.5546875" style="136" customWidth="1"/>
    <col min="1291" max="1537" width="9.109375" style="136"/>
    <col min="1538" max="1538" width="10.5546875" style="136" customWidth="1"/>
    <col min="1539" max="1539" width="27.6640625" style="136" customWidth="1"/>
    <col min="1540" max="1540" width="14.44140625" style="136" customWidth="1"/>
    <col min="1541" max="1542" width="15" style="136" customWidth="1"/>
    <col min="1543" max="1543" width="16.6640625" style="136" customWidth="1"/>
    <col min="1544" max="1544" width="13.109375" style="136" customWidth="1"/>
    <col min="1545" max="1546" width="12.5546875" style="136" customWidth="1"/>
    <col min="1547" max="1793" width="9.109375" style="136"/>
    <col min="1794" max="1794" width="10.5546875" style="136" customWidth="1"/>
    <col min="1795" max="1795" width="27.6640625" style="136" customWidth="1"/>
    <col min="1796" max="1796" width="14.44140625" style="136" customWidth="1"/>
    <col min="1797" max="1798" width="15" style="136" customWidth="1"/>
    <col min="1799" max="1799" width="16.6640625" style="136" customWidth="1"/>
    <col min="1800" max="1800" width="13.109375" style="136" customWidth="1"/>
    <col min="1801" max="1802" width="12.5546875" style="136" customWidth="1"/>
    <col min="1803" max="2049" width="9.109375" style="136"/>
    <col min="2050" max="2050" width="10.5546875" style="136" customWidth="1"/>
    <col min="2051" max="2051" width="27.6640625" style="136" customWidth="1"/>
    <col min="2052" max="2052" width="14.44140625" style="136" customWidth="1"/>
    <col min="2053" max="2054" width="15" style="136" customWidth="1"/>
    <col min="2055" max="2055" width="16.6640625" style="136" customWidth="1"/>
    <col min="2056" max="2056" width="13.109375" style="136" customWidth="1"/>
    <col min="2057" max="2058" width="12.5546875" style="136" customWidth="1"/>
    <col min="2059" max="2305" width="9.109375" style="136"/>
    <col min="2306" max="2306" width="10.5546875" style="136" customWidth="1"/>
    <col min="2307" max="2307" width="27.6640625" style="136" customWidth="1"/>
    <col min="2308" max="2308" width="14.44140625" style="136" customWidth="1"/>
    <col min="2309" max="2310" width="15" style="136" customWidth="1"/>
    <col min="2311" max="2311" width="16.6640625" style="136" customWidth="1"/>
    <col min="2312" max="2312" width="13.109375" style="136" customWidth="1"/>
    <col min="2313" max="2314" width="12.5546875" style="136" customWidth="1"/>
    <col min="2315" max="2561" width="9.109375" style="136"/>
    <col min="2562" max="2562" width="10.5546875" style="136" customWidth="1"/>
    <col min="2563" max="2563" width="27.6640625" style="136" customWidth="1"/>
    <col min="2564" max="2564" width="14.44140625" style="136" customWidth="1"/>
    <col min="2565" max="2566" width="15" style="136" customWidth="1"/>
    <col min="2567" max="2567" width="16.6640625" style="136" customWidth="1"/>
    <col min="2568" max="2568" width="13.109375" style="136" customWidth="1"/>
    <col min="2569" max="2570" width="12.5546875" style="136" customWidth="1"/>
    <col min="2571" max="2817" width="9.109375" style="136"/>
    <col min="2818" max="2818" width="10.5546875" style="136" customWidth="1"/>
    <col min="2819" max="2819" width="27.6640625" style="136" customWidth="1"/>
    <col min="2820" max="2820" width="14.44140625" style="136" customWidth="1"/>
    <col min="2821" max="2822" width="15" style="136" customWidth="1"/>
    <col min="2823" max="2823" width="16.6640625" style="136" customWidth="1"/>
    <col min="2824" max="2824" width="13.109375" style="136" customWidth="1"/>
    <col min="2825" max="2826" width="12.5546875" style="136" customWidth="1"/>
    <col min="2827" max="3073" width="9.109375" style="136"/>
    <col min="3074" max="3074" width="10.5546875" style="136" customWidth="1"/>
    <col min="3075" max="3075" width="27.6640625" style="136" customWidth="1"/>
    <col min="3076" max="3076" width="14.44140625" style="136" customWidth="1"/>
    <col min="3077" max="3078" width="15" style="136" customWidth="1"/>
    <col min="3079" max="3079" width="16.6640625" style="136" customWidth="1"/>
    <col min="3080" max="3080" width="13.109375" style="136" customWidth="1"/>
    <col min="3081" max="3082" width="12.5546875" style="136" customWidth="1"/>
    <col min="3083" max="3329" width="9.109375" style="136"/>
    <col min="3330" max="3330" width="10.5546875" style="136" customWidth="1"/>
    <col min="3331" max="3331" width="27.6640625" style="136" customWidth="1"/>
    <col min="3332" max="3332" width="14.44140625" style="136" customWidth="1"/>
    <col min="3333" max="3334" width="15" style="136" customWidth="1"/>
    <col min="3335" max="3335" width="16.6640625" style="136" customWidth="1"/>
    <col min="3336" max="3336" width="13.109375" style="136" customWidth="1"/>
    <col min="3337" max="3338" width="12.5546875" style="136" customWidth="1"/>
    <col min="3339" max="3585" width="9.109375" style="136"/>
    <col min="3586" max="3586" width="10.5546875" style="136" customWidth="1"/>
    <col min="3587" max="3587" width="27.6640625" style="136" customWidth="1"/>
    <col min="3588" max="3588" width="14.44140625" style="136" customWidth="1"/>
    <col min="3589" max="3590" width="15" style="136" customWidth="1"/>
    <col min="3591" max="3591" width="16.6640625" style="136" customWidth="1"/>
    <col min="3592" max="3592" width="13.109375" style="136" customWidth="1"/>
    <col min="3593" max="3594" width="12.5546875" style="136" customWidth="1"/>
    <col min="3595" max="3841" width="9.109375" style="136"/>
    <col min="3842" max="3842" width="10.5546875" style="136" customWidth="1"/>
    <col min="3843" max="3843" width="27.6640625" style="136" customWidth="1"/>
    <col min="3844" max="3844" width="14.44140625" style="136" customWidth="1"/>
    <col min="3845" max="3846" width="15" style="136" customWidth="1"/>
    <col min="3847" max="3847" width="16.6640625" style="136" customWidth="1"/>
    <col min="3848" max="3848" width="13.109375" style="136" customWidth="1"/>
    <col min="3849" max="3850" width="12.5546875" style="136" customWidth="1"/>
    <col min="3851" max="4097" width="9.109375" style="136"/>
    <col min="4098" max="4098" width="10.5546875" style="136" customWidth="1"/>
    <col min="4099" max="4099" width="27.6640625" style="136" customWidth="1"/>
    <col min="4100" max="4100" width="14.44140625" style="136" customWidth="1"/>
    <col min="4101" max="4102" width="15" style="136" customWidth="1"/>
    <col min="4103" max="4103" width="16.6640625" style="136" customWidth="1"/>
    <col min="4104" max="4104" width="13.109375" style="136" customWidth="1"/>
    <col min="4105" max="4106" width="12.5546875" style="136" customWidth="1"/>
    <col min="4107" max="4353" width="9.109375" style="136"/>
    <col min="4354" max="4354" width="10.5546875" style="136" customWidth="1"/>
    <col min="4355" max="4355" width="27.6640625" style="136" customWidth="1"/>
    <col min="4356" max="4356" width="14.44140625" style="136" customWidth="1"/>
    <col min="4357" max="4358" width="15" style="136" customWidth="1"/>
    <col min="4359" max="4359" width="16.6640625" style="136" customWidth="1"/>
    <col min="4360" max="4360" width="13.109375" style="136" customWidth="1"/>
    <col min="4361" max="4362" width="12.5546875" style="136" customWidth="1"/>
    <col min="4363" max="4609" width="9.109375" style="136"/>
    <col min="4610" max="4610" width="10.5546875" style="136" customWidth="1"/>
    <col min="4611" max="4611" width="27.6640625" style="136" customWidth="1"/>
    <col min="4612" max="4612" width="14.44140625" style="136" customWidth="1"/>
    <col min="4613" max="4614" width="15" style="136" customWidth="1"/>
    <col min="4615" max="4615" width="16.6640625" style="136" customWidth="1"/>
    <col min="4616" max="4616" width="13.109375" style="136" customWidth="1"/>
    <col min="4617" max="4618" width="12.5546875" style="136" customWidth="1"/>
    <col min="4619" max="4865" width="9.109375" style="136"/>
    <col min="4866" max="4866" width="10.5546875" style="136" customWidth="1"/>
    <col min="4867" max="4867" width="27.6640625" style="136" customWidth="1"/>
    <col min="4868" max="4868" width="14.44140625" style="136" customWidth="1"/>
    <col min="4869" max="4870" width="15" style="136" customWidth="1"/>
    <col min="4871" max="4871" width="16.6640625" style="136" customWidth="1"/>
    <col min="4872" max="4872" width="13.109375" style="136" customWidth="1"/>
    <col min="4873" max="4874" width="12.5546875" style="136" customWidth="1"/>
    <col min="4875" max="5121" width="9.109375" style="136"/>
    <col min="5122" max="5122" width="10.5546875" style="136" customWidth="1"/>
    <col min="5123" max="5123" width="27.6640625" style="136" customWidth="1"/>
    <col min="5124" max="5124" width="14.44140625" style="136" customWidth="1"/>
    <col min="5125" max="5126" width="15" style="136" customWidth="1"/>
    <col min="5127" max="5127" width="16.6640625" style="136" customWidth="1"/>
    <col min="5128" max="5128" width="13.109375" style="136" customWidth="1"/>
    <col min="5129" max="5130" width="12.5546875" style="136" customWidth="1"/>
    <col min="5131" max="5377" width="9.109375" style="136"/>
    <col min="5378" max="5378" width="10.5546875" style="136" customWidth="1"/>
    <col min="5379" max="5379" width="27.6640625" style="136" customWidth="1"/>
    <col min="5380" max="5380" width="14.44140625" style="136" customWidth="1"/>
    <col min="5381" max="5382" width="15" style="136" customWidth="1"/>
    <col min="5383" max="5383" width="16.6640625" style="136" customWidth="1"/>
    <col min="5384" max="5384" width="13.109375" style="136" customWidth="1"/>
    <col min="5385" max="5386" width="12.5546875" style="136" customWidth="1"/>
    <col min="5387" max="5633" width="9.109375" style="136"/>
    <col min="5634" max="5634" width="10.5546875" style="136" customWidth="1"/>
    <col min="5635" max="5635" width="27.6640625" style="136" customWidth="1"/>
    <col min="5636" max="5636" width="14.44140625" style="136" customWidth="1"/>
    <col min="5637" max="5638" width="15" style="136" customWidth="1"/>
    <col min="5639" max="5639" width="16.6640625" style="136" customWidth="1"/>
    <col min="5640" max="5640" width="13.109375" style="136" customWidth="1"/>
    <col min="5641" max="5642" width="12.5546875" style="136" customWidth="1"/>
    <col min="5643" max="5889" width="9.109375" style="136"/>
    <col min="5890" max="5890" width="10.5546875" style="136" customWidth="1"/>
    <col min="5891" max="5891" width="27.6640625" style="136" customWidth="1"/>
    <col min="5892" max="5892" width="14.44140625" style="136" customWidth="1"/>
    <col min="5893" max="5894" width="15" style="136" customWidth="1"/>
    <col min="5895" max="5895" width="16.6640625" style="136" customWidth="1"/>
    <col min="5896" max="5896" width="13.109375" style="136" customWidth="1"/>
    <col min="5897" max="5898" width="12.5546875" style="136" customWidth="1"/>
    <col min="5899" max="6145" width="9.109375" style="136"/>
    <col min="6146" max="6146" width="10.5546875" style="136" customWidth="1"/>
    <col min="6147" max="6147" width="27.6640625" style="136" customWidth="1"/>
    <col min="6148" max="6148" width="14.44140625" style="136" customWidth="1"/>
    <col min="6149" max="6150" width="15" style="136" customWidth="1"/>
    <col min="6151" max="6151" width="16.6640625" style="136" customWidth="1"/>
    <col min="6152" max="6152" width="13.109375" style="136" customWidth="1"/>
    <col min="6153" max="6154" width="12.5546875" style="136" customWidth="1"/>
    <col min="6155" max="6401" width="9.109375" style="136"/>
    <col min="6402" max="6402" width="10.5546875" style="136" customWidth="1"/>
    <col min="6403" max="6403" width="27.6640625" style="136" customWidth="1"/>
    <col min="6404" max="6404" width="14.44140625" style="136" customWidth="1"/>
    <col min="6405" max="6406" width="15" style="136" customWidth="1"/>
    <col min="6407" max="6407" width="16.6640625" style="136" customWidth="1"/>
    <col min="6408" max="6408" width="13.109375" style="136" customWidth="1"/>
    <col min="6409" max="6410" width="12.5546875" style="136" customWidth="1"/>
    <col min="6411" max="6657" width="9.109375" style="136"/>
    <col min="6658" max="6658" width="10.5546875" style="136" customWidth="1"/>
    <col min="6659" max="6659" width="27.6640625" style="136" customWidth="1"/>
    <col min="6660" max="6660" width="14.44140625" style="136" customWidth="1"/>
    <col min="6661" max="6662" width="15" style="136" customWidth="1"/>
    <col min="6663" max="6663" width="16.6640625" style="136" customWidth="1"/>
    <col min="6664" max="6664" width="13.109375" style="136" customWidth="1"/>
    <col min="6665" max="6666" width="12.5546875" style="136" customWidth="1"/>
    <col min="6667" max="6913" width="9.109375" style="136"/>
    <col min="6914" max="6914" width="10.5546875" style="136" customWidth="1"/>
    <col min="6915" max="6915" width="27.6640625" style="136" customWidth="1"/>
    <col min="6916" max="6916" width="14.44140625" style="136" customWidth="1"/>
    <col min="6917" max="6918" width="15" style="136" customWidth="1"/>
    <col min="6919" max="6919" width="16.6640625" style="136" customWidth="1"/>
    <col min="6920" max="6920" width="13.109375" style="136" customWidth="1"/>
    <col min="6921" max="6922" width="12.5546875" style="136" customWidth="1"/>
    <col min="6923" max="7169" width="9.109375" style="136"/>
    <col min="7170" max="7170" width="10.5546875" style="136" customWidth="1"/>
    <col min="7171" max="7171" width="27.6640625" style="136" customWidth="1"/>
    <col min="7172" max="7172" width="14.44140625" style="136" customWidth="1"/>
    <col min="7173" max="7174" width="15" style="136" customWidth="1"/>
    <col min="7175" max="7175" width="16.6640625" style="136" customWidth="1"/>
    <col min="7176" max="7176" width="13.109375" style="136" customWidth="1"/>
    <col min="7177" max="7178" width="12.5546875" style="136" customWidth="1"/>
    <col min="7179" max="7425" width="9.109375" style="136"/>
    <col min="7426" max="7426" width="10.5546875" style="136" customWidth="1"/>
    <col min="7427" max="7427" width="27.6640625" style="136" customWidth="1"/>
    <col min="7428" max="7428" width="14.44140625" style="136" customWidth="1"/>
    <col min="7429" max="7430" width="15" style="136" customWidth="1"/>
    <col min="7431" max="7431" width="16.6640625" style="136" customWidth="1"/>
    <col min="7432" max="7432" width="13.109375" style="136" customWidth="1"/>
    <col min="7433" max="7434" width="12.5546875" style="136" customWidth="1"/>
    <col min="7435" max="7681" width="9.109375" style="136"/>
    <col min="7682" max="7682" width="10.5546875" style="136" customWidth="1"/>
    <col min="7683" max="7683" width="27.6640625" style="136" customWidth="1"/>
    <col min="7684" max="7684" width="14.44140625" style="136" customWidth="1"/>
    <col min="7685" max="7686" width="15" style="136" customWidth="1"/>
    <col min="7687" max="7687" width="16.6640625" style="136" customWidth="1"/>
    <col min="7688" max="7688" width="13.109375" style="136" customWidth="1"/>
    <col min="7689" max="7690" width="12.5546875" style="136" customWidth="1"/>
    <col min="7691" max="7937" width="9.109375" style="136"/>
    <col min="7938" max="7938" width="10.5546875" style="136" customWidth="1"/>
    <col min="7939" max="7939" width="27.6640625" style="136" customWidth="1"/>
    <col min="7940" max="7940" width="14.44140625" style="136" customWidth="1"/>
    <col min="7941" max="7942" width="15" style="136" customWidth="1"/>
    <col min="7943" max="7943" width="16.6640625" style="136" customWidth="1"/>
    <col min="7944" max="7944" width="13.109375" style="136" customWidth="1"/>
    <col min="7945" max="7946" width="12.5546875" style="136" customWidth="1"/>
    <col min="7947" max="8193" width="9.109375" style="136"/>
    <col min="8194" max="8194" width="10.5546875" style="136" customWidth="1"/>
    <col min="8195" max="8195" width="27.6640625" style="136" customWidth="1"/>
    <col min="8196" max="8196" width="14.44140625" style="136" customWidth="1"/>
    <col min="8197" max="8198" width="15" style="136" customWidth="1"/>
    <col min="8199" max="8199" width="16.6640625" style="136" customWidth="1"/>
    <col min="8200" max="8200" width="13.109375" style="136" customWidth="1"/>
    <col min="8201" max="8202" width="12.5546875" style="136" customWidth="1"/>
    <col min="8203" max="8449" width="9.109375" style="136"/>
    <col min="8450" max="8450" width="10.5546875" style="136" customWidth="1"/>
    <col min="8451" max="8451" width="27.6640625" style="136" customWidth="1"/>
    <col min="8452" max="8452" width="14.44140625" style="136" customWidth="1"/>
    <col min="8453" max="8454" width="15" style="136" customWidth="1"/>
    <col min="8455" max="8455" width="16.6640625" style="136" customWidth="1"/>
    <col min="8456" max="8456" width="13.109375" style="136" customWidth="1"/>
    <col min="8457" max="8458" width="12.5546875" style="136" customWidth="1"/>
    <col min="8459" max="8705" width="9.109375" style="136"/>
    <col min="8706" max="8706" width="10.5546875" style="136" customWidth="1"/>
    <col min="8707" max="8707" width="27.6640625" style="136" customWidth="1"/>
    <col min="8708" max="8708" width="14.44140625" style="136" customWidth="1"/>
    <col min="8709" max="8710" width="15" style="136" customWidth="1"/>
    <col min="8711" max="8711" width="16.6640625" style="136" customWidth="1"/>
    <col min="8712" max="8712" width="13.109375" style="136" customWidth="1"/>
    <col min="8713" max="8714" width="12.5546875" style="136" customWidth="1"/>
    <col min="8715" max="8961" width="9.109375" style="136"/>
    <col min="8962" max="8962" width="10.5546875" style="136" customWidth="1"/>
    <col min="8963" max="8963" width="27.6640625" style="136" customWidth="1"/>
    <col min="8964" max="8964" width="14.44140625" style="136" customWidth="1"/>
    <col min="8965" max="8966" width="15" style="136" customWidth="1"/>
    <col min="8967" max="8967" width="16.6640625" style="136" customWidth="1"/>
    <col min="8968" max="8968" width="13.109375" style="136" customWidth="1"/>
    <col min="8969" max="8970" width="12.5546875" style="136" customWidth="1"/>
    <col min="8971" max="9217" width="9.109375" style="136"/>
    <col min="9218" max="9218" width="10.5546875" style="136" customWidth="1"/>
    <col min="9219" max="9219" width="27.6640625" style="136" customWidth="1"/>
    <col min="9220" max="9220" width="14.44140625" style="136" customWidth="1"/>
    <col min="9221" max="9222" width="15" style="136" customWidth="1"/>
    <col min="9223" max="9223" width="16.6640625" style="136" customWidth="1"/>
    <col min="9224" max="9224" width="13.109375" style="136" customWidth="1"/>
    <col min="9225" max="9226" width="12.5546875" style="136" customWidth="1"/>
    <col min="9227" max="9473" width="9.109375" style="136"/>
    <col min="9474" max="9474" width="10.5546875" style="136" customWidth="1"/>
    <col min="9475" max="9475" width="27.6640625" style="136" customWidth="1"/>
    <col min="9476" max="9476" width="14.44140625" style="136" customWidth="1"/>
    <col min="9477" max="9478" width="15" style="136" customWidth="1"/>
    <col min="9479" max="9479" width="16.6640625" style="136" customWidth="1"/>
    <col min="9480" max="9480" width="13.109375" style="136" customWidth="1"/>
    <col min="9481" max="9482" width="12.5546875" style="136" customWidth="1"/>
    <col min="9483" max="9729" width="9.109375" style="136"/>
    <col min="9730" max="9730" width="10.5546875" style="136" customWidth="1"/>
    <col min="9731" max="9731" width="27.6640625" style="136" customWidth="1"/>
    <col min="9732" max="9732" width="14.44140625" style="136" customWidth="1"/>
    <col min="9733" max="9734" width="15" style="136" customWidth="1"/>
    <col min="9735" max="9735" width="16.6640625" style="136" customWidth="1"/>
    <col min="9736" max="9736" width="13.109375" style="136" customWidth="1"/>
    <col min="9737" max="9738" width="12.5546875" style="136" customWidth="1"/>
    <col min="9739" max="9985" width="9.109375" style="136"/>
    <col min="9986" max="9986" width="10.5546875" style="136" customWidth="1"/>
    <col min="9987" max="9987" width="27.6640625" style="136" customWidth="1"/>
    <col min="9988" max="9988" width="14.44140625" style="136" customWidth="1"/>
    <col min="9989" max="9990" width="15" style="136" customWidth="1"/>
    <col min="9991" max="9991" width="16.6640625" style="136" customWidth="1"/>
    <col min="9992" max="9992" width="13.109375" style="136" customWidth="1"/>
    <col min="9993" max="9994" width="12.5546875" style="136" customWidth="1"/>
    <col min="9995" max="10241" width="9.109375" style="136"/>
    <col min="10242" max="10242" width="10.5546875" style="136" customWidth="1"/>
    <col min="10243" max="10243" width="27.6640625" style="136" customWidth="1"/>
    <col min="10244" max="10244" width="14.44140625" style="136" customWidth="1"/>
    <col min="10245" max="10246" width="15" style="136" customWidth="1"/>
    <col min="10247" max="10247" width="16.6640625" style="136" customWidth="1"/>
    <col min="10248" max="10248" width="13.109375" style="136" customWidth="1"/>
    <col min="10249" max="10250" width="12.5546875" style="136" customWidth="1"/>
    <col min="10251" max="10497" width="9.109375" style="136"/>
    <col min="10498" max="10498" width="10.5546875" style="136" customWidth="1"/>
    <col min="10499" max="10499" width="27.6640625" style="136" customWidth="1"/>
    <col min="10500" max="10500" width="14.44140625" style="136" customWidth="1"/>
    <col min="10501" max="10502" width="15" style="136" customWidth="1"/>
    <col min="10503" max="10503" width="16.6640625" style="136" customWidth="1"/>
    <col min="10504" max="10504" width="13.109375" style="136" customWidth="1"/>
    <col min="10505" max="10506" width="12.5546875" style="136" customWidth="1"/>
    <col min="10507" max="10753" width="9.109375" style="136"/>
    <col min="10754" max="10754" width="10.5546875" style="136" customWidth="1"/>
    <col min="10755" max="10755" width="27.6640625" style="136" customWidth="1"/>
    <col min="10756" max="10756" width="14.44140625" style="136" customWidth="1"/>
    <col min="10757" max="10758" width="15" style="136" customWidth="1"/>
    <col min="10759" max="10759" width="16.6640625" style="136" customWidth="1"/>
    <col min="10760" max="10760" width="13.109375" style="136" customWidth="1"/>
    <col min="10761" max="10762" width="12.5546875" style="136" customWidth="1"/>
    <col min="10763" max="11009" width="9.109375" style="136"/>
    <col min="11010" max="11010" width="10.5546875" style="136" customWidth="1"/>
    <col min="11011" max="11011" width="27.6640625" style="136" customWidth="1"/>
    <col min="11012" max="11012" width="14.44140625" style="136" customWidth="1"/>
    <col min="11013" max="11014" width="15" style="136" customWidth="1"/>
    <col min="11015" max="11015" width="16.6640625" style="136" customWidth="1"/>
    <col min="11016" max="11016" width="13.109375" style="136" customWidth="1"/>
    <col min="11017" max="11018" width="12.5546875" style="136" customWidth="1"/>
    <col min="11019" max="11265" width="9.109375" style="136"/>
    <col min="11266" max="11266" width="10.5546875" style="136" customWidth="1"/>
    <col min="11267" max="11267" width="27.6640625" style="136" customWidth="1"/>
    <col min="11268" max="11268" width="14.44140625" style="136" customWidth="1"/>
    <col min="11269" max="11270" width="15" style="136" customWidth="1"/>
    <col min="11271" max="11271" width="16.6640625" style="136" customWidth="1"/>
    <col min="11272" max="11272" width="13.109375" style="136" customWidth="1"/>
    <col min="11273" max="11274" width="12.5546875" style="136" customWidth="1"/>
    <col min="11275" max="11521" width="9.109375" style="136"/>
    <col min="11522" max="11522" width="10.5546875" style="136" customWidth="1"/>
    <col min="11523" max="11523" width="27.6640625" style="136" customWidth="1"/>
    <col min="11524" max="11524" width="14.44140625" style="136" customWidth="1"/>
    <col min="11525" max="11526" width="15" style="136" customWidth="1"/>
    <col min="11527" max="11527" width="16.6640625" style="136" customWidth="1"/>
    <col min="11528" max="11528" width="13.109375" style="136" customWidth="1"/>
    <col min="11529" max="11530" width="12.5546875" style="136" customWidth="1"/>
    <col min="11531" max="11777" width="9.109375" style="136"/>
    <col min="11778" max="11778" width="10.5546875" style="136" customWidth="1"/>
    <col min="11779" max="11779" width="27.6640625" style="136" customWidth="1"/>
    <col min="11780" max="11780" width="14.44140625" style="136" customWidth="1"/>
    <col min="11781" max="11782" width="15" style="136" customWidth="1"/>
    <col min="11783" max="11783" width="16.6640625" style="136" customWidth="1"/>
    <col min="11784" max="11784" width="13.109375" style="136" customWidth="1"/>
    <col min="11785" max="11786" width="12.5546875" style="136" customWidth="1"/>
    <col min="11787" max="12033" width="9.109375" style="136"/>
    <col min="12034" max="12034" width="10.5546875" style="136" customWidth="1"/>
    <col min="12035" max="12035" width="27.6640625" style="136" customWidth="1"/>
    <col min="12036" max="12036" width="14.44140625" style="136" customWidth="1"/>
    <col min="12037" max="12038" width="15" style="136" customWidth="1"/>
    <col min="12039" max="12039" width="16.6640625" style="136" customWidth="1"/>
    <col min="12040" max="12040" width="13.109375" style="136" customWidth="1"/>
    <col min="12041" max="12042" width="12.5546875" style="136" customWidth="1"/>
    <col min="12043" max="12289" width="9.109375" style="136"/>
    <col min="12290" max="12290" width="10.5546875" style="136" customWidth="1"/>
    <col min="12291" max="12291" width="27.6640625" style="136" customWidth="1"/>
    <col min="12292" max="12292" width="14.44140625" style="136" customWidth="1"/>
    <col min="12293" max="12294" width="15" style="136" customWidth="1"/>
    <col min="12295" max="12295" width="16.6640625" style="136" customWidth="1"/>
    <col min="12296" max="12296" width="13.109375" style="136" customWidth="1"/>
    <col min="12297" max="12298" width="12.5546875" style="136" customWidth="1"/>
    <col min="12299" max="12545" width="9.109375" style="136"/>
    <col min="12546" max="12546" width="10.5546875" style="136" customWidth="1"/>
    <col min="12547" max="12547" width="27.6640625" style="136" customWidth="1"/>
    <col min="12548" max="12548" width="14.44140625" style="136" customWidth="1"/>
    <col min="12549" max="12550" width="15" style="136" customWidth="1"/>
    <col min="12551" max="12551" width="16.6640625" style="136" customWidth="1"/>
    <col min="12552" max="12552" width="13.109375" style="136" customWidth="1"/>
    <col min="12553" max="12554" width="12.5546875" style="136" customWidth="1"/>
    <col min="12555" max="12801" width="9.109375" style="136"/>
    <col min="12802" max="12802" width="10.5546875" style="136" customWidth="1"/>
    <col min="12803" max="12803" width="27.6640625" style="136" customWidth="1"/>
    <col min="12804" max="12804" width="14.44140625" style="136" customWidth="1"/>
    <col min="12805" max="12806" width="15" style="136" customWidth="1"/>
    <col min="12807" max="12807" width="16.6640625" style="136" customWidth="1"/>
    <col min="12808" max="12808" width="13.109375" style="136" customWidth="1"/>
    <col min="12809" max="12810" width="12.5546875" style="136" customWidth="1"/>
    <col min="12811" max="13057" width="9.109375" style="136"/>
    <col min="13058" max="13058" width="10.5546875" style="136" customWidth="1"/>
    <col min="13059" max="13059" width="27.6640625" style="136" customWidth="1"/>
    <col min="13060" max="13060" width="14.44140625" style="136" customWidth="1"/>
    <col min="13061" max="13062" width="15" style="136" customWidth="1"/>
    <col min="13063" max="13063" width="16.6640625" style="136" customWidth="1"/>
    <col min="13064" max="13064" width="13.109375" style="136" customWidth="1"/>
    <col min="13065" max="13066" width="12.5546875" style="136" customWidth="1"/>
    <col min="13067" max="13313" width="9.109375" style="136"/>
    <col min="13314" max="13314" width="10.5546875" style="136" customWidth="1"/>
    <col min="13315" max="13315" width="27.6640625" style="136" customWidth="1"/>
    <col min="13316" max="13316" width="14.44140625" style="136" customWidth="1"/>
    <col min="13317" max="13318" width="15" style="136" customWidth="1"/>
    <col min="13319" max="13319" width="16.6640625" style="136" customWidth="1"/>
    <col min="13320" max="13320" width="13.109375" style="136" customWidth="1"/>
    <col min="13321" max="13322" width="12.5546875" style="136" customWidth="1"/>
    <col min="13323" max="13569" width="9.109375" style="136"/>
    <col min="13570" max="13570" width="10.5546875" style="136" customWidth="1"/>
    <col min="13571" max="13571" width="27.6640625" style="136" customWidth="1"/>
    <col min="13572" max="13572" width="14.44140625" style="136" customWidth="1"/>
    <col min="13573" max="13574" width="15" style="136" customWidth="1"/>
    <col min="13575" max="13575" width="16.6640625" style="136" customWidth="1"/>
    <col min="13576" max="13576" width="13.109375" style="136" customWidth="1"/>
    <col min="13577" max="13578" width="12.5546875" style="136" customWidth="1"/>
    <col min="13579" max="13825" width="9.109375" style="136"/>
    <col min="13826" max="13826" width="10.5546875" style="136" customWidth="1"/>
    <col min="13827" max="13827" width="27.6640625" style="136" customWidth="1"/>
    <col min="13828" max="13828" width="14.44140625" style="136" customWidth="1"/>
    <col min="13829" max="13830" width="15" style="136" customWidth="1"/>
    <col min="13831" max="13831" width="16.6640625" style="136" customWidth="1"/>
    <col min="13832" max="13832" width="13.109375" style="136" customWidth="1"/>
    <col min="13833" max="13834" width="12.5546875" style="136" customWidth="1"/>
    <col min="13835" max="14081" width="9.109375" style="136"/>
    <col min="14082" max="14082" width="10.5546875" style="136" customWidth="1"/>
    <col min="14083" max="14083" width="27.6640625" style="136" customWidth="1"/>
    <col min="14084" max="14084" width="14.44140625" style="136" customWidth="1"/>
    <col min="14085" max="14086" width="15" style="136" customWidth="1"/>
    <col min="14087" max="14087" width="16.6640625" style="136" customWidth="1"/>
    <col min="14088" max="14088" width="13.109375" style="136" customWidth="1"/>
    <col min="14089" max="14090" width="12.5546875" style="136" customWidth="1"/>
    <col min="14091" max="14337" width="9.109375" style="136"/>
    <col min="14338" max="14338" width="10.5546875" style="136" customWidth="1"/>
    <col min="14339" max="14339" width="27.6640625" style="136" customWidth="1"/>
    <col min="14340" max="14340" width="14.44140625" style="136" customWidth="1"/>
    <col min="14341" max="14342" width="15" style="136" customWidth="1"/>
    <col min="14343" max="14343" width="16.6640625" style="136" customWidth="1"/>
    <col min="14344" max="14344" width="13.109375" style="136" customWidth="1"/>
    <col min="14345" max="14346" width="12.5546875" style="136" customWidth="1"/>
    <col min="14347" max="14593" width="9.109375" style="136"/>
    <col min="14594" max="14594" width="10.5546875" style="136" customWidth="1"/>
    <col min="14595" max="14595" width="27.6640625" style="136" customWidth="1"/>
    <col min="14596" max="14596" width="14.44140625" style="136" customWidth="1"/>
    <col min="14597" max="14598" width="15" style="136" customWidth="1"/>
    <col min="14599" max="14599" width="16.6640625" style="136" customWidth="1"/>
    <col min="14600" max="14600" width="13.109375" style="136" customWidth="1"/>
    <col min="14601" max="14602" width="12.5546875" style="136" customWidth="1"/>
    <col min="14603" max="14849" width="9.109375" style="136"/>
    <col min="14850" max="14850" width="10.5546875" style="136" customWidth="1"/>
    <col min="14851" max="14851" width="27.6640625" style="136" customWidth="1"/>
    <col min="14852" max="14852" width="14.44140625" style="136" customWidth="1"/>
    <col min="14853" max="14854" width="15" style="136" customWidth="1"/>
    <col min="14855" max="14855" width="16.6640625" style="136" customWidth="1"/>
    <col min="14856" max="14856" width="13.109375" style="136" customWidth="1"/>
    <col min="14857" max="14858" width="12.5546875" style="136" customWidth="1"/>
    <col min="14859" max="15105" width="9.109375" style="136"/>
    <col min="15106" max="15106" width="10.5546875" style="136" customWidth="1"/>
    <col min="15107" max="15107" width="27.6640625" style="136" customWidth="1"/>
    <col min="15108" max="15108" width="14.44140625" style="136" customWidth="1"/>
    <col min="15109" max="15110" width="15" style="136" customWidth="1"/>
    <col min="15111" max="15111" width="16.6640625" style="136" customWidth="1"/>
    <col min="15112" max="15112" width="13.109375" style="136" customWidth="1"/>
    <col min="15113" max="15114" width="12.5546875" style="136" customWidth="1"/>
    <col min="15115" max="15361" width="9.109375" style="136"/>
    <col min="15362" max="15362" width="10.5546875" style="136" customWidth="1"/>
    <col min="15363" max="15363" width="27.6640625" style="136" customWidth="1"/>
    <col min="15364" max="15364" width="14.44140625" style="136" customWidth="1"/>
    <col min="15365" max="15366" width="15" style="136" customWidth="1"/>
    <col min="15367" max="15367" width="16.6640625" style="136" customWidth="1"/>
    <col min="15368" max="15368" width="13.109375" style="136" customWidth="1"/>
    <col min="15369" max="15370" width="12.5546875" style="136" customWidth="1"/>
    <col min="15371" max="15617" width="9.109375" style="136"/>
    <col min="15618" max="15618" width="10.5546875" style="136" customWidth="1"/>
    <col min="15619" max="15619" width="27.6640625" style="136" customWidth="1"/>
    <col min="15620" max="15620" width="14.44140625" style="136" customWidth="1"/>
    <col min="15621" max="15622" width="15" style="136" customWidth="1"/>
    <col min="15623" max="15623" width="16.6640625" style="136" customWidth="1"/>
    <col min="15624" max="15624" width="13.109375" style="136" customWidth="1"/>
    <col min="15625" max="15626" width="12.5546875" style="136" customWidth="1"/>
    <col min="15627" max="15873" width="9.109375" style="136"/>
    <col min="15874" max="15874" width="10.5546875" style="136" customWidth="1"/>
    <col min="15875" max="15875" width="27.6640625" style="136" customWidth="1"/>
    <col min="15876" max="15876" width="14.44140625" style="136" customWidth="1"/>
    <col min="15877" max="15878" width="15" style="136" customWidth="1"/>
    <col min="15879" max="15879" width="16.6640625" style="136" customWidth="1"/>
    <col min="15880" max="15880" width="13.109375" style="136" customWidth="1"/>
    <col min="15881" max="15882" width="12.5546875" style="136" customWidth="1"/>
    <col min="15883" max="16129" width="9.109375" style="136"/>
    <col min="16130" max="16130" width="10.5546875" style="136" customWidth="1"/>
    <col min="16131" max="16131" width="27.6640625" style="136" customWidth="1"/>
    <col min="16132" max="16132" width="14.44140625" style="136" customWidth="1"/>
    <col min="16133" max="16134" width="15" style="136" customWidth="1"/>
    <col min="16135" max="16135" width="16.6640625" style="136" customWidth="1"/>
    <col min="16136" max="16136" width="13.109375" style="136" customWidth="1"/>
    <col min="16137" max="16138" width="12.5546875" style="136" customWidth="1"/>
    <col min="16139" max="16384" width="9.109375" style="136"/>
  </cols>
  <sheetData>
    <row r="1" spans="1:10" x14ac:dyDescent="0.3">
      <c r="A1" s="186"/>
      <c r="B1" s="187" t="str">
        <f>INSTRUÇÕES!B1</f>
        <v>Tribunal Regional Federal da 6ª Região</v>
      </c>
      <c r="C1" s="188"/>
      <c r="D1" s="188"/>
      <c r="E1" s="188"/>
      <c r="F1" s="189"/>
      <c r="G1" s="190"/>
      <c r="H1" s="663"/>
      <c r="I1" s="189"/>
      <c r="J1" s="191"/>
    </row>
    <row r="2" spans="1:10" x14ac:dyDescent="0.3">
      <c r="A2" s="192"/>
      <c r="B2" s="193" t="str">
        <f>INSTRUÇÕES!B2</f>
        <v>Seção Judiciária de Minas Gerais</v>
      </c>
      <c r="C2" s="194"/>
      <c r="D2" s="194"/>
      <c r="E2" s="194"/>
      <c r="F2" s="195"/>
      <c r="I2" s="195"/>
      <c r="J2" s="196"/>
    </row>
    <row r="3" spans="1:10" ht="14.4" thickBot="1" x14ac:dyDescent="0.35">
      <c r="A3" s="197"/>
      <c r="B3" s="198" t="str">
        <f>INSTRUÇÕES!B3</f>
        <v>Subseção Judiciária de Sete Lagoas</v>
      </c>
      <c r="C3" s="194"/>
      <c r="D3" s="194"/>
      <c r="E3" s="194"/>
      <c r="F3" s="195"/>
      <c r="I3" s="195"/>
      <c r="J3" s="196"/>
    </row>
    <row r="4" spans="1:10" ht="20.100000000000001" customHeight="1" thickBot="1" x14ac:dyDescent="0.35">
      <c r="A4" s="1206" t="s">
        <v>604</v>
      </c>
      <c r="B4" s="1207"/>
      <c r="C4" s="1207"/>
      <c r="D4" s="1207"/>
      <c r="E4" s="1207"/>
      <c r="F4" s="1207"/>
      <c r="G4" s="1207"/>
      <c r="H4" s="1208"/>
      <c r="I4" s="1207"/>
      <c r="J4" s="1209"/>
    </row>
    <row r="5" spans="1:10" ht="20.100000000000001" customHeight="1" x14ac:dyDescent="0.3">
      <c r="A5" s="1210" t="s">
        <v>419</v>
      </c>
      <c r="B5" s="1211"/>
      <c r="C5" s="1211"/>
      <c r="D5" s="1211"/>
      <c r="E5" s="1211"/>
      <c r="F5" s="1211"/>
      <c r="G5" s="1211"/>
      <c r="H5" s="1212"/>
      <c r="I5" s="1211"/>
      <c r="J5" s="1213"/>
    </row>
    <row r="6" spans="1:10" ht="36" customHeight="1" thickBot="1" x14ac:dyDescent="0.35">
      <c r="A6" s="1214" t="str">
        <f>Dados!A4</f>
        <v>Sindicato utilizado - SINTAPPI/MG. Vigência: 01/04/2023 à 31/03/2024. Sendo a data base da categoria 01º de Abril. Com número de registro no MTE MG001474/2023.</v>
      </c>
      <c r="B6" s="1215"/>
      <c r="C6" s="1215"/>
      <c r="D6" s="1215"/>
      <c r="E6" s="1215"/>
      <c r="F6" s="1215"/>
      <c r="G6" s="1215"/>
      <c r="H6" s="1215"/>
      <c r="I6" s="1215"/>
      <c r="J6" s="1216"/>
    </row>
    <row r="7" spans="1:10" ht="20.100000000000001" customHeight="1" thickBot="1" x14ac:dyDescent="0.35">
      <c r="A7" s="1217" t="str">
        <f>Dados!C8</f>
        <v xml:space="preserve">Servente de Limpeza  </v>
      </c>
      <c r="B7" s="1218"/>
      <c r="C7" s="1218"/>
      <c r="D7" s="1218"/>
      <c r="E7" s="1219"/>
      <c r="F7" s="1220" t="s">
        <v>605</v>
      </c>
      <c r="G7" s="1221" t="s">
        <v>606</v>
      </c>
      <c r="H7" s="1220" t="s">
        <v>756</v>
      </c>
      <c r="I7" s="1220" t="s">
        <v>757</v>
      </c>
      <c r="J7" s="1222" t="s">
        <v>607</v>
      </c>
    </row>
    <row r="8" spans="1:10" ht="20.100000000000001" customHeight="1" thickBot="1" x14ac:dyDescent="0.35">
      <c r="A8" s="1223" t="s">
        <v>608</v>
      </c>
      <c r="B8" s="1224"/>
      <c r="C8" s="1224"/>
      <c r="D8" s="1224"/>
      <c r="E8" s="137" t="s">
        <v>527</v>
      </c>
      <c r="F8" s="1220"/>
      <c r="G8" s="1221"/>
      <c r="H8" s="1220"/>
      <c r="I8" s="1220"/>
      <c r="J8" s="1222"/>
    </row>
    <row r="9" spans="1:10" ht="20.100000000000001" customHeight="1" x14ac:dyDescent="0.3">
      <c r="A9" s="1225" t="s">
        <v>609</v>
      </c>
      <c r="B9" s="1226"/>
      <c r="C9" s="1226"/>
      <c r="D9" s="1226"/>
      <c r="E9" s="1226"/>
      <c r="F9" s="1226"/>
      <c r="G9" s="1226"/>
      <c r="H9" s="1227"/>
      <c r="I9" s="1226"/>
      <c r="J9" s="1228"/>
    </row>
    <row r="10" spans="1:10" ht="24" customHeight="1" x14ac:dyDescent="0.3">
      <c r="A10" s="199" t="s">
        <v>512</v>
      </c>
      <c r="B10" s="1229" t="s">
        <v>610</v>
      </c>
      <c r="C10" s="1229"/>
      <c r="D10" s="138" t="s">
        <v>611</v>
      </c>
      <c r="E10" s="139" t="s">
        <v>612</v>
      </c>
      <c r="F10" s="1230" t="s">
        <v>530</v>
      </c>
      <c r="G10" s="1230"/>
      <c r="H10" s="1231"/>
      <c r="I10" s="1230"/>
      <c r="J10" s="1232"/>
    </row>
    <row r="11" spans="1:10" ht="20.100000000000001" customHeight="1" x14ac:dyDescent="0.3">
      <c r="A11" s="1233">
        <v>1</v>
      </c>
      <c r="B11" s="1235" t="str">
        <f>A7</f>
        <v xml:space="preserve">Servente de Limpeza  </v>
      </c>
      <c r="C11" s="1235"/>
      <c r="D11" s="140">
        <f>Dados!D8</f>
        <v>200</v>
      </c>
      <c r="E11" s="166">
        <f>Dados!E8</f>
        <v>1440</v>
      </c>
      <c r="F11" s="160">
        <f>ROUND(E11/220*D11,2)</f>
        <v>1309.0899999999999</v>
      </c>
      <c r="G11" s="160">
        <f>F11</f>
        <v>1309.0899999999999</v>
      </c>
      <c r="H11" s="664"/>
      <c r="I11" s="160"/>
      <c r="J11" s="200"/>
    </row>
    <row r="12" spans="1:10" ht="20.100000000000001" customHeight="1" x14ac:dyDescent="0.3">
      <c r="A12" s="1233"/>
      <c r="B12" s="1235" t="s">
        <v>613</v>
      </c>
      <c r="C12" s="1235"/>
      <c r="D12" s="213">
        <f>Dados!G8</f>
        <v>0</v>
      </c>
      <c r="E12" s="166">
        <f>Dados!G28</f>
        <v>1320</v>
      </c>
      <c r="F12" s="160">
        <f>D12*E12</f>
        <v>0</v>
      </c>
      <c r="G12" s="160">
        <f>F12</f>
        <v>0</v>
      </c>
      <c r="H12" s="664"/>
      <c r="I12" s="160"/>
      <c r="J12" s="200">
        <f>F12</f>
        <v>0</v>
      </c>
    </row>
    <row r="13" spans="1:10" ht="21" customHeight="1" x14ac:dyDescent="0.3">
      <c r="A13" s="1233"/>
      <c r="B13" s="167" t="s">
        <v>614</v>
      </c>
      <c r="C13" s="168">
        <f>Dados!I8</f>
        <v>0</v>
      </c>
      <c r="D13" s="168">
        <f>Dados!J8</f>
        <v>0</v>
      </c>
      <c r="E13" s="169">
        <f>Dados!K8</f>
        <v>0</v>
      </c>
      <c r="F13" s="163">
        <f>ROUND((E13*D13*C13),2)</f>
        <v>0</v>
      </c>
      <c r="G13" s="163">
        <f>F13</f>
        <v>0</v>
      </c>
      <c r="H13" s="665"/>
      <c r="I13" s="163"/>
      <c r="J13" s="201"/>
    </row>
    <row r="14" spans="1:10" ht="20.100000000000001" customHeight="1" x14ac:dyDescent="0.3">
      <c r="A14" s="1234"/>
      <c r="B14" s="1236" t="s">
        <v>615</v>
      </c>
      <c r="C14" s="1236"/>
      <c r="D14" s="1236"/>
      <c r="E14" s="1236"/>
      <c r="F14" s="171">
        <f>SUM(F11:F13)</f>
        <v>1309.0899999999999</v>
      </c>
      <c r="G14" s="171">
        <f>SUM(G11:G13)</f>
        <v>1309.0899999999999</v>
      </c>
      <c r="H14" s="171">
        <f>SUM(H11:H13)</f>
        <v>0</v>
      </c>
      <c r="I14" s="171">
        <f>SUM(I11:I13)</f>
        <v>0</v>
      </c>
      <c r="J14" s="202">
        <f>SUM(J11:J13)</f>
        <v>0</v>
      </c>
    </row>
    <row r="15" spans="1:10" ht="20.100000000000001" customHeight="1" thickBot="1" x14ac:dyDescent="0.35">
      <c r="A15" s="1233"/>
      <c r="B15" s="1237" t="s">
        <v>616</v>
      </c>
      <c r="C15" s="1237"/>
      <c r="D15" s="1237"/>
      <c r="E15" s="170">
        <f>Encargos!$C$57</f>
        <v>0.79049999999999998</v>
      </c>
      <c r="F15" s="160">
        <f>ROUND((E15*F14),2)</f>
        <v>1034.8399999999999</v>
      </c>
      <c r="G15" s="160">
        <f>F15</f>
        <v>1034.8399999999999</v>
      </c>
      <c r="H15" s="664"/>
      <c r="I15" s="160"/>
      <c r="J15" s="200">
        <f>ROUND((E15*J14),2)</f>
        <v>0</v>
      </c>
    </row>
    <row r="16" spans="1:10" ht="20.100000000000001" customHeight="1" thickBot="1" x14ac:dyDescent="0.35">
      <c r="A16" s="1240" t="s">
        <v>617</v>
      </c>
      <c r="B16" s="1241"/>
      <c r="C16" s="1241"/>
      <c r="D16" s="1241"/>
      <c r="E16" s="1241"/>
      <c r="F16" s="203">
        <f>SUM(F14:F15)</f>
        <v>2343.9299999999998</v>
      </c>
      <c r="G16" s="203">
        <f>SUM(G14:G15)</f>
        <v>2343.9299999999998</v>
      </c>
      <c r="H16" s="203">
        <f>SUM(H14:H15)</f>
        <v>0</v>
      </c>
      <c r="I16" s="203">
        <f>SUM(I14:I15)</f>
        <v>0</v>
      </c>
      <c r="J16" s="204">
        <f>SUM(J14:J15)</f>
        <v>0</v>
      </c>
    </row>
    <row r="17" spans="1:12" ht="20.100000000000001" customHeight="1" x14ac:dyDescent="0.3">
      <c r="A17" s="1242" t="s">
        <v>618</v>
      </c>
      <c r="B17" s="1243"/>
      <c r="C17" s="1243"/>
      <c r="D17" s="1243"/>
      <c r="E17" s="1243"/>
      <c r="F17" s="1243"/>
      <c r="G17" s="1243"/>
      <c r="H17" s="1243"/>
      <c r="I17" s="1243"/>
      <c r="J17" s="1244"/>
    </row>
    <row r="18" spans="1:12" ht="20.100000000000001" customHeight="1" x14ac:dyDescent="0.3">
      <c r="A18" s="1245" t="s">
        <v>619</v>
      </c>
      <c r="B18" s="1246"/>
      <c r="C18" s="109" t="s">
        <v>529</v>
      </c>
      <c r="D18" s="1247" t="s">
        <v>620</v>
      </c>
      <c r="E18" s="1247"/>
      <c r="F18" s="1248" t="s">
        <v>530</v>
      </c>
      <c r="G18" s="1248"/>
      <c r="H18" s="1249"/>
      <c r="I18" s="1248"/>
      <c r="J18" s="1250"/>
    </row>
    <row r="19" spans="1:12" ht="20.100000000000001" customHeight="1" x14ac:dyDescent="0.3">
      <c r="A19" s="1238" t="s">
        <v>621</v>
      </c>
      <c r="B19" s="1239"/>
      <c r="C19" s="152"/>
      <c r="D19" s="152"/>
      <c r="E19" s="152"/>
      <c r="F19" s="160">
        <f>Dados!$N$8</f>
        <v>42.67</v>
      </c>
      <c r="G19" s="160">
        <f>F19</f>
        <v>42.67</v>
      </c>
      <c r="H19" s="664"/>
      <c r="I19" s="160"/>
      <c r="J19" s="200"/>
    </row>
    <row r="20" spans="1:12" ht="20.100000000000001" customHeight="1" x14ac:dyDescent="0.3">
      <c r="A20" s="1238" t="s">
        <v>622</v>
      </c>
      <c r="B20" s="1239"/>
      <c r="C20" s="152"/>
      <c r="D20" s="152"/>
      <c r="E20" s="152"/>
      <c r="F20" s="160">
        <f>Dados!$G$31</f>
        <v>1.55</v>
      </c>
      <c r="G20" s="160">
        <f>F20</f>
        <v>1.55</v>
      </c>
      <c r="H20" s="664"/>
      <c r="I20" s="160"/>
      <c r="J20" s="200"/>
    </row>
    <row r="21" spans="1:12" ht="23.85" customHeight="1" x14ac:dyDescent="0.3">
      <c r="A21" s="1251" t="s">
        <v>340</v>
      </c>
      <c r="B21" s="1252"/>
      <c r="C21" s="152"/>
      <c r="D21" s="152"/>
      <c r="E21" s="152"/>
      <c r="F21" s="160">
        <f>Dados!G32</f>
        <v>0</v>
      </c>
      <c r="G21" s="160">
        <f>F21</f>
        <v>0</v>
      </c>
      <c r="H21" s="664"/>
      <c r="I21" s="160"/>
      <c r="J21" s="200"/>
    </row>
    <row r="22" spans="1:12" ht="20.100000000000001" customHeight="1" x14ac:dyDescent="0.3">
      <c r="A22" s="1238" t="s">
        <v>341</v>
      </c>
      <c r="B22" s="1239"/>
      <c r="C22" s="154">
        <f>Dados!$G$35</f>
        <v>22</v>
      </c>
      <c r="D22" s="154">
        <f>Dados!$G$34</f>
        <v>2</v>
      </c>
      <c r="E22" s="153">
        <f>Dados!$G$33</f>
        <v>4.25</v>
      </c>
      <c r="F22" s="160">
        <f>IF(ROUND((E22*D22*C22)-(F11*Dados!$G$36),2)&lt;0,0,ROUND((E22*D22*C22)-(F11*Dados!$G$36),2))</f>
        <v>108.45</v>
      </c>
      <c r="G22" s="160">
        <f>F22</f>
        <v>108.45</v>
      </c>
      <c r="H22" s="664"/>
      <c r="I22" s="160">
        <f>F22</f>
        <v>108.45</v>
      </c>
      <c r="J22" s="200"/>
    </row>
    <row r="23" spans="1:12" ht="20.100000000000001" customHeight="1" x14ac:dyDescent="0.3">
      <c r="A23" s="1238" t="s">
        <v>342</v>
      </c>
      <c r="B23" s="1239"/>
      <c r="C23" s="154">
        <f>Dados!G38</f>
        <v>22</v>
      </c>
      <c r="D23" s="159">
        <f>Dados!G39</f>
        <v>0.2</v>
      </c>
      <c r="E23" s="153">
        <f>Dados!$G$37</f>
        <v>24</v>
      </c>
      <c r="F23" s="161">
        <f>ROUND((IF(D11&gt;150,((C23*E23)-(C23*(D23*E23))),0)),2)</f>
        <v>422.4</v>
      </c>
      <c r="G23" s="160">
        <f>F23</f>
        <v>422.4</v>
      </c>
      <c r="H23" s="664">
        <f>$F$23</f>
        <v>422.4</v>
      </c>
      <c r="I23" s="161"/>
      <c r="J23" s="200"/>
    </row>
    <row r="24" spans="1:12" ht="20.100000000000001" customHeight="1" x14ac:dyDescent="0.3">
      <c r="A24" s="1238" t="s">
        <v>343</v>
      </c>
      <c r="B24" s="1239"/>
      <c r="C24" s="154"/>
      <c r="D24" s="154"/>
      <c r="E24" s="153"/>
      <c r="F24" s="161">
        <f>Dados!$G$40</f>
        <v>0</v>
      </c>
      <c r="G24" s="160"/>
      <c r="H24" s="664"/>
      <c r="I24" s="161"/>
      <c r="J24" s="200"/>
    </row>
    <row r="25" spans="1:12" ht="20.100000000000001" customHeight="1" x14ac:dyDescent="0.3">
      <c r="A25" s="1238" t="s">
        <v>343</v>
      </c>
      <c r="B25" s="1239"/>
      <c r="C25" s="154"/>
      <c r="D25" s="154"/>
      <c r="E25" s="153"/>
      <c r="F25" s="161">
        <f>Dados!$G$41</f>
        <v>0</v>
      </c>
      <c r="G25" s="160"/>
      <c r="H25" s="664"/>
      <c r="I25" s="161"/>
      <c r="J25" s="200"/>
    </row>
    <row r="26" spans="1:12" ht="20.100000000000001" customHeight="1" x14ac:dyDescent="0.3">
      <c r="A26" s="1238" t="s">
        <v>623</v>
      </c>
      <c r="B26" s="1239"/>
      <c r="C26" s="154"/>
      <c r="D26" s="153"/>
      <c r="E26" s="153"/>
      <c r="F26" s="160">
        <f>Dados!$O$8</f>
        <v>1115.81</v>
      </c>
      <c r="G26" s="160"/>
      <c r="H26" s="664"/>
      <c r="I26" s="160"/>
      <c r="J26" s="200"/>
      <c r="L26" s="142"/>
    </row>
    <row r="27" spans="1:12" ht="20.100000000000001" customHeight="1" x14ac:dyDescent="0.3">
      <c r="A27" s="205" t="s">
        <v>624</v>
      </c>
      <c r="B27" s="143"/>
      <c r="C27" s="154"/>
      <c r="D27" s="153"/>
      <c r="E27" s="153"/>
      <c r="F27" s="160"/>
      <c r="G27" s="160"/>
      <c r="H27" s="664"/>
      <c r="I27" s="160"/>
      <c r="J27" s="200"/>
    </row>
    <row r="28" spans="1:12" ht="20.100000000000001" customHeight="1" x14ac:dyDescent="0.3">
      <c r="A28" s="205" t="s">
        <v>625</v>
      </c>
      <c r="B28" s="143"/>
      <c r="C28" s="155"/>
      <c r="D28" s="156"/>
      <c r="E28" s="156"/>
      <c r="F28" s="162">
        <f>Dados!$S$8</f>
        <v>2.68</v>
      </c>
      <c r="G28" s="160"/>
      <c r="H28" s="664"/>
      <c r="I28" s="162"/>
      <c r="J28" s="200"/>
    </row>
    <row r="29" spans="1:12" ht="20.100000000000001" customHeight="1" thickBot="1" x14ac:dyDescent="0.35">
      <c r="A29" s="1253" t="s">
        <v>626</v>
      </c>
      <c r="B29" s="1254"/>
      <c r="C29" s="157"/>
      <c r="D29" s="158"/>
      <c r="E29" s="158"/>
      <c r="F29" s="163">
        <f>Dados!$R$8</f>
        <v>10.14</v>
      </c>
      <c r="G29" s="163">
        <f>F29</f>
        <v>10.14</v>
      </c>
      <c r="H29" s="665"/>
      <c r="I29" s="163"/>
      <c r="J29" s="201"/>
    </row>
    <row r="30" spans="1:12" ht="20.100000000000001" customHeight="1" thickBot="1" x14ac:dyDescent="0.35">
      <c r="A30" s="1255" t="s">
        <v>627</v>
      </c>
      <c r="B30" s="1256"/>
      <c r="C30" s="1256"/>
      <c r="D30" s="1256"/>
      <c r="E30" s="1256"/>
      <c r="F30" s="203">
        <f>SUM(F19:F29)</f>
        <v>1703.7</v>
      </c>
      <c r="G30" s="203">
        <f t="shared" ref="G30:J30" si="0">SUM(G19:G29)</f>
        <v>585.20999999999992</v>
      </c>
      <c r="H30" s="203">
        <f t="shared" si="0"/>
        <v>422.4</v>
      </c>
      <c r="I30" s="203">
        <f t="shared" si="0"/>
        <v>108.45</v>
      </c>
      <c r="J30" s="204">
        <f t="shared" si="0"/>
        <v>0</v>
      </c>
    </row>
    <row r="31" spans="1:12" ht="20.100000000000001" customHeight="1" thickBot="1" x14ac:dyDescent="0.35">
      <c r="A31" s="1255" t="s">
        <v>628</v>
      </c>
      <c r="B31" s="1256"/>
      <c r="C31" s="1256"/>
      <c r="D31" s="1256"/>
      <c r="E31" s="1256"/>
      <c r="F31" s="203">
        <f>F16+F30</f>
        <v>4047.63</v>
      </c>
      <c r="G31" s="203">
        <f t="shared" ref="G31:J31" si="1">G16+G30</f>
        <v>2929.14</v>
      </c>
      <c r="H31" s="203">
        <f t="shared" si="1"/>
        <v>422.4</v>
      </c>
      <c r="I31" s="203">
        <f t="shared" si="1"/>
        <v>108.45</v>
      </c>
      <c r="J31" s="204">
        <f t="shared" si="1"/>
        <v>0</v>
      </c>
    </row>
    <row r="32" spans="1:12" ht="20.100000000000001" customHeight="1" x14ac:dyDescent="0.3">
      <c r="A32" s="1225" t="s">
        <v>629</v>
      </c>
      <c r="B32" s="1226"/>
      <c r="C32" s="1226"/>
      <c r="D32" s="1226"/>
      <c r="E32" s="1226"/>
      <c r="F32" s="1226"/>
      <c r="G32" s="1226"/>
      <c r="H32" s="1227"/>
      <c r="I32" s="1226"/>
      <c r="J32" s="1228"/>
    </row>
    <row r="33" spans="1:12" ht="20.100000000000001" customHeight="1" x14ac:dyDescent="0.3">
      <c r="A33" s="1245" t="s">
        <v>630</v>
      </c>
      <c r="B33" s="1246"/>
      <c r="C33" s="1246"/>
      <c r="D33" s="144" t="s">
        <v>631</v>
      </c>
      <c r="E33" s="1257" t="s">
        <v>530</v>
      </c>
      <c r="F33" s="1257"/>
      <c r="G33" s="1257"/>
      <c r="H33" s="1258"/>
      <c r="I33" s="1257"/>
      <c r="J33" s="1259"/>
    </row>
    <row r="34" spans="1:12" ht="20.100000000000001" customHeight="1" x14ac:dyDescent="0.3">
      <c r="A34" s="206" t="s">
        <v>632</v>
      </c>
      <c r="B34" s="145"/>
      <c r="C34" s="145"/>
      <c r="D34" s="150">
        <f>Dados!$G$44</f>
        <v>0.03</v>
      </c>
      <c r="E34" s="146"/>
      <c r="F34" s="160">
        <f>ROUND((F31*$D$34),2)</f>
        <v>121.43</v>
      </c>
      <c r="G34" s="160">
        <f t="shared" ref="G34:J34" si="2">ROUND((G31*$D$34),2)</f>
        <v>87.87</v>
      </c>
      <c r="H34" s="160">
        <f t="shared" ref="H34" si="3">ROUND((H31*$D$34),2)</f>
        <v>12.67</v>
      </c>
      <c r="I34" s="160">
        <f t="shared" si="2"/>
        <v>3.25</v>
      </c>
      <c r="J34" s="200">
        <f t="shared" si="2"/>
        <v>0</v>
      </c>
    </row>
    <row r="35" spans="1:12" ht="20.100000000000001" customHeight="1" x14ac:dyDescent="0.3">
      <c r="A35" s="1260" t="s">
        <v>633</v>
      </c>
      <c r="B35" s="1261"/>
      <c r="C35" s="1261"/>
      <c r="D35" s="150"/>
      <c r="E35" s="146"/>
      <c r="F35" s="160">
        <f>F31+F34</f>
        <v>4169.0600000000004</v>
      </c>
      <c r="G35" s="160">
        <f t="shared" ref="G35:J35" si="4">G31+G34</f>
        <v>3017.0099999999998</v>
      </c>
      <c r="H35" s="160">
        <f t="shared" ref="H35" si="5">H31+H34</f>
        <v>435.07</v>
      </c>
      <c r="I35" s="160">
        <f t="shared" si="4"/>
        <v>111.7</v>
      </c>
      <c r="J35" s="200">
        <f t="shared" si="4"/>
        <v>0</v>
      </c>
    </row>
    <row r="36" spans="1:12" ht="20.100000000000001" customHeight="1" thickBot="1" x14ac:dyDescent="0.35">
      <c r="A36" s="207" t="s">
        <v>348</v>
      </c>
      <c r="B36" s="147"/>
      <c r="C36" s="147"/>
      <c r="D36" s="175">
        <f>Dados!$G$45</f>
        <v>6.7900000000000002E-2</v>
      </c>
      <c r="E36" s="148"/>
      <c r="F36" s="163">
        <f>ROUND((F35*$D$36),2)</f>
        <v>283.08</v>
      </c>
      <c r="G36" s="163">
        <f t="shared" ref="G36:J36" si="6">ROUND((G35*$D$36),2)</f>
        <v>204.85</v>
      </c>
      <c r="H36" s="163">
        <f t="shared" ref="H36" si="7">ROUND((H35*$D$36),2)</f>
        <v>29.54</v>
      </c>
      <c r="I36" s="163">
        <f t="shared" si="6"/>
        <v>7.58</v>
      </c>
      <c r="J36" s="201">
        <f t="shared" si="6"/>
        <v>0</v>
      </c>
    </row>
    <row r="37" spans="1:12" ht="20.100000000000001" customHeight="1" thickBot="1" x14ac:dyDescent="0.35">
      <c r="A37" s="176" t="s">
        <v>634</v>
      </c>
      <c r="B37" s="177"/>
      <c r="C37" s="177"/>
      <c r="D37" s="178">
        <f>SUM(D34:D36)</f>
        <v>9.7900000000000001E-2</v>
      </c>
      <c r="E37" s="179"/>
      <c r="F37" s="180">
        <f>F34+F36</f>
        <v>404.51</v>
      </c>
      <c r="G37" s="180">
        <f>G34+G36</f>
        <v>292.72000000000003</v>
      </c>
      <c r="H37" s="180">
        <f>H34+H36</f>
        <v>42.21</v>
      </c>
      <c r="I37" s="180">
        <f>I34+I36</f>
        <v>10.83</v>
      </c>
      <c r="J37" s="181">
        <f>J34+J36</f>
        <v>0</v>
      </c>
    </row>
    <row r="38" spans="1:12" ht="20.100000000000001" customHeight="1" thickBot="1" x14ac:dyDescent="0.35">
      <c r="A38" s="1262" t="s">
        <v>635</v>
      </c>
      <c r="B38" s="1263"/>
      <c r="C38" s="1263"/>
      <c r="D38" s="1263"/>
      <c r="E38" s="1263"/>
      <c r="F38" s="165">
        <f>F31+F37</f>
        <v>4452.1400000000003</v>
      </c>
      <c r="G38" s="165">
        <f t="shared" ref="G38:J38" si="8">G31+G37</f>
        <v>3221.8599999999997</v>
      </c>
      <c r="H38" s="165">
        <f t="shared" ref="H38" si="9">H31+H37</f>
        <v>464.60999999999996</v>
      </c>
      <c r="I38" s="165">
        <f t="shared" si="8"/>
        <v>119.28</v>
      </c>
      <c r="J38" s="208">
        <f t="shared" si="8"/>
        <v>0</v>
      </c>
    </row>
    <row r="39" spans="1:12" ht="20.100000000000001" customHeight="1" x14ac:dyDescent="0.3">
      <c r="A39" s="1264" t="s">
        <v>636</v>
      </c>
      <c r="B39" s="1265"/>
      <c r="C39" s="1265"/>
      <c r="D39" s="1265"/>
      <c r="E39" s="1265"/>
      <c r="F39" s="1265"/>
      <c r="G39" s="1265"/>
      <c r="H39" s="1266"/>
      <c r="I39" s="1265"/>
      <c r="J39" s="1267"/>
    </row>
    <row r="40" spans="1:12" ht="20.100000000000001" customHeight="1" x14ac:dyDescent="0.3">
      <c r="A40" s="1238" t="s">
        <v>353</v>
      </c>
      <c r="B40" s="1239"/>
      <c r="C40" s="1239"/>
      <c r="D40" s="150">
        <f>Dados!G52</f>
        <v>7.5999999999999998E-2</v>
      </c>
      <c r="E40" s="151"/>
      <c r="F40" s="160">
        <f>ROUND(($F$46*D40),2)</f>
        <v>385.6</v>
      </c>
      <c r="G40" s="160">
        <f t="shared" ref="G40:J40" si="10">ROUND((G46*$D$40),2)</f>
        <v>279.04000000000002</v>
      </c>
      <c r="H40" s="160">
        <f t="shared" ref="H40" si="11">ROUND((H46*$D$40),2)</f>
        <v>35.31</v>
      </c>
      <c r="I40" s="160">
        <f t="shared" si="10"/>
        <v>10.33</v>
      </c>
      <c r="J40" s="200">
        <f t="shared" si="10"/>
        <v>0</v>
      </c>
    </row>
    <row r="41" spans="1:12" ht="20.100000000000001" customHeight="1" x14ac:dyDescent="0.3">
      <c r="A41" s="1238" t="s">
        <v>355</v>
      </c>
      <c r="B41" s="1239"/>
      <c r="C41" s="1239"/>
      <c r="D41" s="150">
        <f>Dados!G53</f>
        <v>1.6500000000000001E-2</v>
      </c>
      <c r="E41" s="151"/>
      <c r="F41" s="160">
        <f>ROUND((F46*$D$41),2)</f>
        <v>83.72</v>
      </c>
      <c r="G41" s="160">
        <f t="shared" ref="G41:J41" si="12">ROUND((G46*$D$41),2)</f>
        <v>60.58</v>
      </c>
      <c r="H41" s="160">
        <f t="shared" ref="H41" si="13">ROUND((H46*$D$41),2)</f>
        <v>7.67</v>
      </c>
      <c r="I41" s="160">
        <f t="shared" si="12"/>
        <v>2.2400000000000002</v>
      </c>
      <c r="J41" s="200">
        <f t="shared" si="12"/>
        <v>0</v>
      </c>
    </row>
    <row r="42" spans="1:12" ht="20.100000000000001" customHeight="1" x14ac:dyDescent="0.3">
      <c r="A42" s="1238" t="s">
        <v>356</v>
      </c>
      <c r="B42" s="1239"/>
      <c r="C42" s="1239"/>
      <c r="D42" s="150">
        <f>Dados!G54</f>
        <v>0.03</v>
      </c>
      <c r="E42" s="151"/>
      <c r="F42" s="160">
        <f>ROUND((F46*$D$42),2)</f>
        <v>152.21</v>
      </c>
      <c r="G42" s="160">
        <f t="shared" ref="G42:J42" si="14">ROUND((G46*$D$42),2)</f>
        <v>110.15</v>
      </c>
      <c r="H42" s="160">
        <f t="shared" ref="H42" si="15">ROUND((H46*$D$42),2)</f>
        <v>13.94</v>
      </c>
      <c r="I42" s="160">
        <f t="shared" si="14"/>
        <v>4.08</v>
      </c>
      <c r="J42" s="200">
        <f t="shared" si="14"/>
        <v>0</v>
      </c>
    </row>
    <row r="43" spans="1:12" ht="20.100000000000001" customHeight="1" x14ac:dyDescent="0.3">
      <c r="A43" s="1238" t="s">
        <v>343</v>
      </c>
      <c r="B43" s="1239"/>
      <c r="C43" s="1239"/>
      <c r="D43" s="150">
        <f>Dados!G55</f>
        <v>0</v>
      </c>
      <c r="E43" s="151"/>
      <c r="F43" s="160">
        <f>ROUND((F46*$D$43),2)</f>
        <v>0</v>
      </c>
      <c r="G43" s="160">
        <f t="shared" ref="G43:J43" si="16">ROUND((G46*$D$43),2)</f>
        <v>0</v>
      </c>
      <c r="H43" s="160">
        <f t="shared" ref="H43" si="17">ROUND((H46*$D$43),2)</f>
        <v>0</v>
      </c>
      <c r="I43" s="160">
        <f t="shared" si="16"/>
        <v>0</v>
      </c>
      <c r="J43" s="200">
        <f t="shared" si="16"/>
        <v>0</v>
      </c>
    </row>
    <row r="44" spans="1:12" ht="20.100000000000001" customHeight="1" x14ac:dyDescent="0.3">
      <c r="A44" s="1270" t="s">
        <v>637</v>
      </c>
      <c r="B44" s="1271"/>
      <c r="C44" s="1272"/>
      <c r="D44" s="182">
        <f>SUM(D40:D43)</f>
        <v>0.1225</v>
      </c>
      <c r="E44" s="183"/>
      <c r="F44" s="184">
        <f>SUM(F40:F43)</f>
        <v>621.53000000000009</v>
      </c>
      <c r="G44" s="184">
        <f>SUM(G40:G43)</f>
        <v>449.77</v>
      </c>
      <c r="H44" s="184">
        <f>SUM(H40:H43)</f>
        <v>56.92</v>
      </c>
      <c r="I44" s="184">
        <f>SUM(I40:I43)</f>
        <v>16.649999999999999</v>
      </c>
      <c r="J44" s="209">
        <f>SUM(J40:J42)</f>
        <v>0</v>
      </c>
    </row>
    <row r="45" spans="1:12" ht="20.100000000000001" customHeight="1" x14ac:dyDescent="0.3">
      <c r="A45" s="1273" t="str">
        <f>CONCATENATE("Custo Mensal - ",A7)</f>
        <v xml:space="preserve">Custo Mensal - Servente de Limpeza  </v>
      </c>
      <c r="B45" s="1274"/>
      <c r="C45" s="1274"/>
      <c r="D45" s="1274"/>
      <c r="E45" s="1274"/>
      <c r="F45" s="185">
        <f>ROUND(F38/(1-D44),2)</f>
        <v>5073.66</v>
      </c>
      <c r="G45" s="185">
        <f>ROUND(G38/(1-D44),2)</f>
        <v>3671.64</v>
      </c>
      <c r="H45" s="185">
        <f>ROUND(H38/(1-C44),2)</f>
        <v>464.61</v>
      </c>
      <c r="I45" s="185">
        <f>ROUND(I38/(1-D44),2)</f>
        <v>135.93</v>
      </c>
      <c r="J45" s="210">
        <f>ROUND(J38/(1-D44),2)</f>
        <v>0</v>
      </c>
    </row>
    <row r="46" spans="1:12" ht="20.100000000000001" customHeight="1" x14ac:dyDescent="0.3">
      <c r="A46" s="1275" t="str">
        <f>CONCATENATE("Valor do Custo Mensal - ",A7)</f>
        <v xml:space="preserve">Valor do Custo Mensal - Servente de Limpeza  </v>
      </c>
      <c r="B46" s="1276"/>
      <c r="C46" s="1276"/>
      <c r="D46" s="1276"/>
      <c r="E46" s="1276"/>
      <c r="F46" s="185">
        <f>F45</f>
        <v>5073.66</v>
      </c>
      <c r="G46" s="185">
        <f>G45</f>
        <v>3671.64</v>
      </c>
      <c r="H46" s="185">
        <f>H45</f>
        <v>464.61</v>
      </c>
      <c r="I46" s="185">
        <f>I45</f>
        <v>135.93</v>
      </c>
      <c r="J46" s="210">
        <f>J45</f>
        <v>0</v>
      </c>
      <c r="K46" s="149"/>
      <c r="L46" s="149"/>
    </row>
    <row r="47" spans="1:12" ht="27.75" customHeight="1" thickBot="1" x14ac:dyDescent="0.35">
      <c r="A47" s="1277" t="s">
        <v>683</v>
      </c>
      <c r="B47" s="1278"/>
      <c r="C47" s="1278"/>
      <c r="D47" s="1278"/>
      <c r="E47" s="1278"/>
      <c r="F47" s="211">
        <f>(F46/F14)</f>
        <v>3.875715191468883</v>
      </c>
      <c r="G47" s="211">
        <f>(G46/G14)</f>
        <v>2.8047269477270471</v>
      </c>
      <c r="H47" s="1268" t="s">
        <v>682</v>
      </c>
      <c r="I47" s="1269"/>
      <c r="J47" s="212">
        <v>0</v>
      </c>
    </row>
    <row r="48" spans="1:12" ht="20.100000000000001" customHeight="1" x14ac:dyDescent="0.3"/>
  </sheetData>
  <sheetProtection algorithmName="SHA-512" hashValue="jtPGF8KZlaFjhzAT9/4j1fIST0mi36K/YTTNlT4RLSmlhgJVT0Y5duQnREeB2FMX95TXVdWZgg2MmuhUvhiV4g==" saltValue="LLBd11FTNSJkWdTXtKpCtw==" spinCount="100000" sheet="1" objects="1" scenarios="1"/>
  <mergeCells count="49">
    <mergeCell ref="H47:I47"/>
    <mergeCell ref="A43:C43"/>
    <mergeCell ref="A44:C44"/>
    <mergeCell ref="A45:E45"/>
    <mergeCell ref="A46:E46"/>
    <mergeCell ref="A47:E47"/>
    <mergeCell ref="A42:C42"/>
    <mergeCell ref="A26:B26"/>
    <mergeCell ref="A29:B29"/>
    <mergeCell ref="A30:E30"/>
    <mergeCell ref="A31:E31"/>
    <mergeCell ref="A32:J32"/>
    <mergeCell ref="A33:C33"/>
    <mergeCell ref="E33:J33"/>
    <mergeCell ref="A35:C35"/>
    <mergeCell ref="A38:E38"/>
    <mergeCell ref="A39:J39"/>
    <mergeCell ref="A40:C40"/>
    <mergeCell ref="A41:C41"/>
    <mergeCell ref="A25:B2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I7:I8"/>
    <mergeCell ref="J7:J8"/>
    <mergeCell ref="A8:D8"/>
    <mergeCell ref="H7:H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L48"/>
  <sheetViews>
    <sheetView showGridLines="0" view="pageBreakPreview" topLeftCell="A34" zoomScale="90" zoomScaleNormal="100" zoomScaleSheetLayoutView="90" workbookViewId="0">
      <selection activeCell="D26" sqref="D26"/>
    </sheetView>
  </sheetViews>
  <sheetFormatPr defaultRowHeight="13.8" x14ac:dyDescent="0.3"/>
  <cols>
    <col min="1" max="1" width="10.5546875" style="136" customWidth="1"/>
    <col min="2" max="2" width="27.6640625" style="136" customWidth="1"/>
    <col min="3" max="3" width="14.44140625" style="136" customWidth="1"/>
    <col min="4" max="5" width="15" style="136" customWidth="1"/>
    <col min="6" max="6" width="16.6640625" style="164" customWidth="1"/>
    <col min="7" max="8" width="13.109375" style="164" customWidth="1"/>
    <col min="9" max="10" width="12.5546875" style="164" customWidth="1"/>
    <col min="11" max="257" width="9.109375" style="136"/>
    <col min="258" max="258" width="10.5546875" style="136" customWidth="1"/>
    <col min="259" max="259" width="27.6640625" style="136" customWidth="1"/>
    <col min="260" max="260" width="14.44140625" style="136" customWidth="1"/>
    <col min="261" max="262" width="15" style="136" customWidth="1"/>
    <col min="263" max="263" width="16.6640625" style="136" customWidth="1"/>
    <col min="264" max="264" width="13.109375" style="136" customWidth="1"/>
    <col min="265" max="266" width="12.5546875" style="136" customWidth="1"/>
    <col min="267" max="513" width="9.109375" style="136"/>
    <col min="514" max="514" width="10.5546875" style="136" customWidth="1"/>
    <col min="515" max="515" width="27.6640625" style="136" customWidth="1"/>
    <col min="516" max="516" width="14.44140625" style="136" customWidth="1"/>
    <col min="517" max="518" width="15" style="136" customWidth="1"/>
    <col min="519" max="519" width="16.6640625" style="136" customWidth="1"/>
    <col min="520" max="520" width="13.109375" style="136" customWidth="1"/>
    <col min="521" max="522" width="12.5546875" style="136" customWidth="1"/>
    <col min="523" max="769" width="9.109375" style="136"/>
    <col min="770" max="770" width="10.5546875" style="136" customWidth="1"/>
    <col min="771" max="771" width="27.6640625" style="136" customWidth="1"/>
    <col min="772" max="772" width="14.44140625" style="136" customWidth="1"/>
    <col min="773" max="774" width="15" style="136" customWidth="1"/>
    <col min="775" max="775" width="16.6640625" style="136" customWidth="1"/>
    <col min="776" max="776" width="13.109375" style="136" customWidth="1"/>
    <col min="777" max="778" width="12.5546875" style="136" customWidth="1"/>
    <col min="779" max="1025" width="9.109375" style="136"/>
    <col min="1026" max="1026" width="10.5546875" style="136" customWidth="1"/>
    <col min="1027" max="1027" width="27.6640625" style="136" customWidth="1"/>
    <col min="1028" max="1028" width="14.44140625" style="136" customWidth="1"/>
    <col min="1029" max="1030" width="15" style="136" customWidth="1"/>
    <col min="1031" max="1031" width="16.6640625" style="136" customWidth="1"/>
    <col min="1032" max="1032" width="13.109375" style="136" customWidth="1"/>
    <col min="1033" max="1034" width="12.5546875" style="136" customWidth="1"/>
    <col min="1035" max="1281" width="9.109375" style="136"/>
    <col min="1282" max="1282" width="10.5546875" style="136" customWidth="1"/>
    <col min="1283" max="1283" width="27.6640625" style="136" customWidth="1"/>
    <col min="1284" max="1284" width="14.44140625" style="136" customWidth="1"/>
    <col min="1285" max="1286" width="15" style="136" customWidth="1"/>
    <col min="1287" max="1287" width="16.6640625" style="136" customWidth="1"/>
    <col min="1288" max="1288" width="13.109375" style="136" customWidth="1"/>
    <col min="1289" max="1290" width="12.5546875" style="136" customWidth="1"/>
    <col min="1291" max="1537" width="9.109375" style="136"/>
    <col min="1538" max="1538" width="10.5546875" style="136" customWidth="1"/>
    <col min="1539" max="1539" width="27.6640625" style="136" customWidth="1"/>
    <col min="1540" max="1540" width="14.44140625" style="136" customWidth="1"/>
    <col min="1541" max="1542" width="15" style="136" customWidth="1"/>
    <col min="1543" max="1543" width="16.6640625" style="136" customWidth="1"/>
    <col min="1544" max="1544" width="13.109375" style="136" customWidth="1"/>
    <col min="1545" max="1546" width="12.5546875" style="136" customWidth="1"/>
    <col min="1547" max="1793" width="9.109375" style="136"/>
    <col min="1794" max="1794" width="10.5546875" style="136" customWidth="1"/>
    <col min="1795" max="1795" width="27.6640625" style="136" customWidth="1"/>
    <col min="1796" max="1796" width="14.44140625" style="136" customWidth="1"/>
    <col min="1797" max="1798" width="15" style="136" customWidth="1"/>
    <col min="1799" max="1799" width="16.6640625" style="136" customWidth="1"/>
    <col min="1800" max="1800" width="13.109375" style="136" customWidth="1"/>
    <col min="1801" max="1802" width="12.5546875" style="136" customWidth="1"/>
    <col min="1803" max="2049" width="9.109375" style="136"/>
    <col min="2050" max="2050" width="10.5546875" style="136" customWidth="1"/>
    <col min="2051" max="2051" width="27.6640625" style="136" customWidth="1"/>
    <col min="2052" max="2052" width="14.44140625" style="136" customWidth="1"/>
    <col min="2053" max="2054" width="15" style="136" customWidth="1"/>
    <col min="2055" max="2055" width="16.6640625" style="136" customWidth="1"/>
    <col min="2056" max="2056" width="13.109375" style="136" customWidth="1"/>
    <col min="2057" max="2058" width="12.5546875" style="136" customWidth="1"/>
    <col min="2059" max="2305" width="9.109375" style="136"/>
    <col min="2306" max="2306" width="10.5546875" style="136" customWidth="1"/>
    <col min="2307" max="2307" width="27.6640625" style="136" customWidth="1"/>
    <col min="2308" max="2308" width="14.44140625" style="136" customWidth="1"/>
    <col min="2309" max="2310" width="15" style="136" customWidth="1"/>
    <col min="2311" max="2311" width="16.6640625" style="136" customWidth="1"/>
    <col min="2312" max="2312" width="13.109375" style="136" customWidth="1"/>
    <col min="2313" max="2314" width="12.5546875" style="136" customWidth="1"/>
    <col min="2315" max="2561" width="9.109375" style="136"/>
    <col min="2562" max="2562" width="10.5546875" style="136" customWidth="1"/>
    <col min="2563" max="2563" width="27.6640625" style="136" customWidth="1"/>
    <col min="2564" max="2564" width="14.44140625" style="136" customWidth="1"/>
    <col min="2565" max="2566" width="15" style="136" customWidth="1"/>
    <col min="2567" max="2567" width="16.6640625" style="136" customWidth="1"/>
    <col min="2568" max="2568" width="13.109375" style="136" customWidth="1"/>
    <col min="2569" max="2570" width="12.5546875" style="136" customWidth="1"/>
    <col min="2571" max="2817" width="9.109375" style="136"/>
    <col min="2818" max="2818" width="10.5546875" style="136" customWidth="1"/>
    <col min="2819" max="2819" width="27.6640625" style="136" customWidth="1"/>
    <col min="2820" max="2820" width="14.44140625" style="136" customWidth="1"/>
    <col min="2821" max="2822" width="15" style="136" customWidth="1"/>
    <col min="2823" max="2823" width="16.6640625" style="136" customWidth="1"/>
    <col min="2824" max="2824" width="13.109375" style="136" customWidth="1"/>
    <col min="2825" max="2826" width="12.5546875" style="136" customWidth="1"/>
    <col min="2827" max="3073" width="9.109375" style="136"/>
    <col min="3074" max="3074" width="10.5546875" style="136" customWidth="1"/>
    <col min="3075" max="3075" width="27.6640625" style="136" customWidth="1"/>
    <col min="3076" max="3076" width="14.44140625" style="136" customWidth="1"/>
    <col min="3077" max="3078" width="15" style="136" customWidth="1"/>
    <col min="3079" max="3079" width="16.6640625" style="136" customWidth="1"/>
    <col min="3080" max="3080" width="13.109375" style="136" customWidth="1"/>
    <col min="3081" max="3082" width="12.5546875" style="136" customWidth="1"/>
    <col min="3083" max="3329" width="9.109375" style="136"/>
    <col min="3330" max="3330" width="10.5546875" style="136" customWidth="1"/>
    <col min="3331" max="3331" width="27.6640625" style="136" customWidth="1"/>
    <col min="3332" max="3332" width="14.44140625" style="136" customWidth="1"/>
    <col min="3333" max="3334" width="15" style="136" customWidth="1"/>
    <col min="3335" max="3335" width="16.6640625" style="136" customWidth="1"/>
    <col min="3336" max="3336" width="13.109375" style="136" customWidth="1"/>
    <col min="3337" max="3338" width="12.5546875" style="136" customWidth="1"/>
    <col min="3339" max="3585" width="9.109375" style="136"/>
    <col min="3586" max="3586" width="10.5546875" style="136" customWidth="1"/>
    <col min="3587" max="3587" width="27.6640625" style="136" customWidth="1"/>
    <col min="3588" max="3588" width="14.44140625" style="136" customWidth="1"/>
    <col min="3589" max="3590" width="15" style="136" customWidth="1"/>
    <col min="3591" max="3591" width="16.6640625" style="136" customWidth="1"/>
    <col min="3592" max="3592" width="13.109375" style="136" customWidth="1"/>
    <col min="3593" max="3594" width="12.5546875" style="136" customWidth="1"/>
    <col min="3595" max="3841" width="9.109375" style="136"/>
    <col min="3842" max="3842" width="10.5546875" style="136" customWidth="1"/>
    <col min="3843" max="3843" width="27.6640625" style="136" customWidth="1"/>
    <col min="3844" max="3844" width="14.44140625" style="136" customWidth="1"/>
    <col min="3845" max="3846" width="15" style="136" customWidth="1"/>
    <col min="3847" max="3847" width="16.6640625" style="136" customWidth="1"/>
    <col min="3848" max="3848" width="13.109375" style="136" customWidth="1"/>
    <col min="3849" max="3850" width="12.5546875" style="136" customWidth="1"/>
    <col min="3851" max="4097" width="9.109375" style="136"/>
    <col min="4098" max="4098" width="10.5546875" style="136" customWidth="1"/>
    <col min="4099" max="4099" width="27.6640625" style="136" customWidth="1"/>
    <col min="4100" max="4100" width="14.44140625" style="136" customWidth="1"/>
    <col min="4101" max="4102" width="15" style="136" customWidth="1"/>
    <col min="4103" max="4103" width="16.6640625" style="136" customWidth="1"/>
    <col min="4104" max="4104" width="13.109375" style="136" customWidth="1"/>
    <col min="4105" max="4106" width="12.5546875" style="136" customWidth="1"/>
    <col min="4107" max="4353" width="9.109375" style="136"/>
    <col min="4354" max="4354" width="10.5546875" style="136" customWidth="1"/>
    <col min="4355" max="4355" width="27.6640625" style="136" customWidth="1"/>
    <col min="4356" max="4356" width="14.44140625" style="136" customWidth="1"/>
    <col min="4357" max="4358" width="15" style="136" customWidth="1"/>
    <col min="4359" max="4359" width="16.6640625" style="136" customWidth="1"/>
    <col min="4360" max="4360" width="13.109375" style="136" customWidth="1"/>
    <col min="4361" max="4362" width="12.5546875" style="136" customWidth="1"/>
    <col min="4363" max="4609" width="9.109375" style="136"/>
    <col min="4610" max="4610" width="10.5546875" style="136" customWidth="1"/>
    <col min="4611" max="4611" width="27.6640625" style="136" customWidth="1"/>
    <col min="4612" max="4612" width="14.44140625" style="136" customWidth="1"/>
    <col min="4613" max="4614" width="15" style="136" customWidth="1"/>
    <col min="4615" max="4615" width="16.6640625" style="136" customWidth="1"/>
    <col min="4616" max="4616" width="13.109375" style="136" customWidth="1"/>
    <col min="4617" max="4618" width="12.5546875" style="136" customWidth="1"/>
    <col min="4619" max="4865" width="9.109375" style="136"/>
    <col min="4866" max="4866" width="10.5546875" style="136" customWidth="1"/>
    <col min="4867" max="4867" width="27.6640625" style="136" customWidth="1"/>
    <col min="4868" max="4868" width="14.44140625" style="136" customWidth="1"/>
    <col min="4869" max="4870" width="15" style="136" customWidth="1"/>
    <col min="4871" max="4871" width="16.6640625" style="136" customWidth="1"/>
    <col min="4872" max="4872" width="13.109375" style="136" customWidth="1"/>
    <col min="4873" max="4874" width="12.5546875" style="136" customWidth="1"/>
    <col min="4875" max="5121" width="9.109375" style="136"/>
    <col min="5122" max="5122" width="10.5546875" style="136" customWidth="1"/>
    <col min="5123" max="5123" width="27.6640625" style="136" customWidth="1"/>
    <col min="5124" max="5124" width="14.44140625" style="136" customWidth="1"/>
    <col min="5125" max="5126" width="15" style="136" customWidth="1"/>
    <col min="5127" max="5127" width="16.6640625" style="136" customWidth="1"/>
    <col min="5128" max="5128" width="13.109375" style="136" customWidth="1"/>
    <col min="5129" max="5130" width="12.5546875" style="136" customWidth="1"/>
    <col min="5131" max="5377" width="9.109375" style="136"/>
    <col min="5378" max="5378" width="10.5546875" style="136" customWidth="1"/>
    <col min="5379" max="5379" width="27.6640625" style="136" customWidth="1"/>
    <col min="5380" max="5380" width="14.44140625" style="136" customWidth="1"/>
    <col min="5381" max="5382" width="15" style="136" customWidth="1"/>
    <col min="5383" max="5383" width="16.6640625" style="136" customWidth="1"/>
    <col min="5384" max="5384" width="13.109375" style="136" customWidth="1"/>
    <col min="5385" max="5386" width="12.5546875" style="136" customWidth="1"/>
    <col min="5387" max="5633" width="9.109375" style="136"/>
    <col min="5634" max="5634" width="10.5546875" style="136" customWidth="1"/>
    <col min="5635" max="5635" width="27.6640625" style="136" customWidth="1"/>
    <col min="5636" max="5636" width="14.44140625" style="136" customWidth="1"/>
    <col min="5637" max="5638" width="15" style="136" customWidth="1"/>
    <col min="5639" max="5639" width="16.6640625" style="136" customWidth="1"/>
    <col min="5640" max="5640" width="13.109375" style="136" customWidth="1"/>
    <col min="5641" max="5642" width="12.5546875" style="136" customWidth="1"/>
    <col min="5643" max="5889" width="9.109375" style="136"/>
    <col min="5890" max="5890" width="10.5546875" style="136" customWidth="1"/>
    <col min="5891" max="5891" width="27.6640625" style="136" customWidth="1"/>
    <col min="5892" max="5892" width="14.44140625" style="136" customWidth="1"/>
    <col min="5893" max="5894" width="15" style="136" customWidth="1"/>
    <col min="5895" max="5895" width="16.6640625" style="136" customWidth="1"/>
    <col min="5896" max="5896" width="13.109375" style="136" customWidth="1"/>
    <col min="5897" max="5898" width="12.5546875" style="136" customWidth="1"/>
    <col min="5899" max="6145" width="9.109375" style="136"/>
    <col min="6146" max="6146" width="10.5546875" style="136" customWidth="1"/>
    <col min="6147" max="6147" width="27.6640625" style="136" customWidth="1"/>
    <col min="6148" max="6148" width="14.44140625" style="136" customWidth="1"/>
    <col min="6149" max="6150" width="15" style="136" customWidth="1"/>
    <col min="6151" max="6151" width="16.6640625" style="136" customWidth="1"/>
    <col min="6152" max="6152" width="13.109375" style="136" customWidth="1"/>
    <col min="6153" max="6154" width="12.5546875" style="136" customWidth="1"/>
    <col min="6155" max="6401" width="9.109375" style="136"/>
    <col min="6402" max="6402" width="10.5546875" style="136" customWidth="1"/>
    <col min="6403" max="6403" width="27.6640625" style="136" customWidth="1"/>
    <col min="6404" max="6404" width="14.44140625" style="136" customWidth="1"/>
    <col min="6405" max="6406" width="15" style="136" customWidth="1"/>
    <col min="6407" max="6407" width="16.6640625" style="136" customWidth="1"/>
    <col min="6408" max="6408" width="13.109375" style="136" customWidth="1"/>
    <col min="6409" max="6410" width="12.5546875" style="136" customWidth="1"/>
    <col min="6411" max="6657" width="9.109375" style="136"/>
    <col min="6658" max="6658" width="10.5546875" style="136" customWidth="1"/>
    <col min="6659" max="6659" width="27.6640625" style="136" customWidth="1"/>
    <col min="6660" max="6660" width="14.44140625" style="136" customWidth="1"/>
    <col min="6661" max="6662" width="15" style="136" customWidth="1"/>
    <col min="6663" max="6663" width="16.6640625" style="136" customWidth="1"/>
    <col min="6664" max="6664" width="13.109375" style="136" customWidth="1"/>
    <col min="6665" max="6666" width="12.5546875" style="136" customWidth="1"/>
    <col min="6667" max="6913" width="9.109375" style="136"/>
    <col min="6914" max="6914" width="10.5546875" style="136" customWidth="1"/>
    <col min="6915" max="6915" width="27.6640625" style="136" customWidth="1"/>
    <col min="6916" max="6916" width="14.44140625" style="136" customWidth="1"/>
    <col min="6917" max="6918" width="15" style="136" customWidth="1"/>
    <col min="6919" max="6919" width="16.6640625" style="136" customWidth="1"/>
    <col min="6920" max="6920" width="13.109375" style="136" customWidth="1"/>
    <col min="6921" max="6922" width="12.5546875" style="136" customWidth="1"/>
    <col min="6923" max="7169" width="9.109375" style="136"/>
    <col min="7170" max="7170" width="10.5546875" style="136" customWidth="1"/>
    <col min="7171" max="7171" width="27.6640625" style="136" customWidth="1"/>
    <col min="7172" max="7172" width="14.44140625" style="136" customWidth="1"/>
    <col min="7173" max="7174" width="15" style="136" customWidth="1"/>
    <col min="7175" max="7175" width="16.6640625" style="136" customWidth="1"/>
    <col min="7176" max="7176" width="13.109375" style="136" customWidth="1"/>
    <col min="7177" max="7178" width="12.5546875" style="136" customWidth="1"/>
    <col min="7179" max="7425" width="9.109375" style="136"/>
    <col min="7426" max="7426" width="10.5546875" style="136" customWidth="1"/>
    <col min="7427" max="7427" width="27.6640625" style="136" customWidth="1"/>
    <col min="7428" max="7428" width="14.44140625" style="136" customWidth="1"/>
    <col min="7429" max="7430" width="15" style="136" customWidth="1"/>
    <col min="7431" max="7431" width="16.6640625" style="136" customWidth="1"/>
    <col min="7432" max="7432" width="13.109375" style="136" customWidth="1"/>
    <col min="7433" max="7434" width="12.5546875" style="136" customWidth="1"/>
    <col min="7435" max="7681" width="9.109375" style="136"/>
    <col min="7682" max="7682" width="10.5546875" style="136" customWidth="1"/>
    <col min="7683" max="7683" width="27.6640625" style="136" customWidth="1"/>
    <col min="7684" max="7684" width="14.44140625" style="136" customWidth="1"/>
    <col min="7685" max="7686" width="15" style="136" customWidth="1"/>
    <col min="7687" max="7687" width="16.6640625" style="136" customWidth="1"/>
    <col min="7688" max="7688" width="13.109375" style="136" customWidth="1"/>
    <col min="7689" max="7690" width="12.5546875" style="136" customWidth="1"/>
    <col min="7691" max="7937" width="9.109375" style="136"/>
    <col min="7938" max="7938" width="10.5546875" style="136" customWidth="1"/>
    <col min="7939" max="7939" width="27.6640625" style="136" customWidth="1"/>
    <col min="7940" max="7940" width="14.44140625" style="136" customWidth="1"/>
    <col min="7941" max="7942" width="15" style="136" customWidth="1"/>
    <col min="7943" max="7943" width="16.6640625" style="136" customWidth="1"/>
    <col min="7944" max="7944" width="13.109375" style="136" customWidth="1"/>
    <col min="7945" max="7946" width="12.5546875" style="136" customWidth="1"/>
    <col min="7947" max="8193" width="9.109375" style="136"/>
    <col min="8194" max="8194" width="10.5546875" style="136" customWidth="1"/>
    <col min="8195" max="8195" width="27.6640625" style="136" customWidth="1"/>
    <col min="8196" max="8196" width="14.44140625" style="136" customWidth="1"/>
    <col min="8197" max="8198" width="15" style="136" customWidth="1"/>
    <col min="8199" max="8199" width="16.6640625" style="136" customWidth="1"/>
    <col min="8200" max="8200" width="13.109375" style="136" customWidth="1"/>
    <col min="8201" max="8202" width="12.5546875" style="136" customWidth="1"/>
    <col min="8203" max="8449" width="9.109375" style="136"/>
    <col min="8450" max="8450" width="10.5546875" style="136" customWidth="1"/>
    <col min="8451" max="8451" width="27.6640625" style="136" customWidth="1"/>
    <col min="8452" max="8452" width="14.44140625" style="136" customWidth="1"/>
    <col min="8453" max="8454" width="15" style="136" customWidth="1"/>
    <col min="8455" max="8455" width="16.6640625" style="136" customWidth="1"/>
    <col min="8456" max="8456" width="13.109375" style="136" customWidth="1"/>
    <col min="8457" max="8458" width="12.5546875" style="136" customWidth="1"/>
    <col min="8459" max="8705" width="9.109375" style="136"/>
    <col min="8706" max="8706" width="10.5546875" style="136" customWidth="1"/>
    <col min="8707" max="8707" width="27.6640625" style="136" customWidth="1"/>
    <col min="8708" max="8708" width="14.44140625" style="136" customWidth="1"/>
    <col min="8709" max="8710" width="15" style="136" customWidth="1"/>
    <col min="8711" max="8711" width="16.6640625" style="136" customWidth="1"/>
    <col min="8712" max="8712" width="13.109375" style="136" customWidth="1"/>
    <col min="8713" max="8714" width="12.5546875" style="136" customWidth="1"/>
    <col min="8715" max="8961" width="9.109375" style="136"/>
    <col min="8962" max="8962" width="10.5546875" style="136" customWidth="1"/>
    <col min="8963" max="8963" width="27.6640625" style="136" customWidth="1"/>
    <col min="8964" max="8964" width="14.44140625" style="136" customWidth="1"/>
    <col min="8965" max="8966" width="15" style="136" customWidth="1"/>
    <col min="8967" max="8967" width="16.6640625" style="136" customWidth="1"/>
    <col min="8968" max="8968" width="13.109375" style="136" customWidth="1"/>
    <col min="8969" max="8970" width="12.5546875" style="136" customWidth="1"/>
    <col min="8971" max="9217" width="9.109375" style="136"/>
    <col min="9218" max="9218" width="10.5546875" style="136" customWidth="1"/>
    <col min="9219" max="9219" width="27.6640625" style="136" customWidth="1"/>
    <col min="9220" max="9220" width="14.44140625" style="136" customWidth="1"/>
    <col min="9221" max="9222" width="15" style="136" customWidth="1"/>
    <col min="9223" max="9223" width="16.6640625" style="136" customWidth="1"/>
    <col min="9224" max="9224" width="13.109375" style="136" customWidth="1"/>
    <col min="9225" max="9226" width="12.5546875" style="136" customWidth="1"/>
    <col min="9227" max="9473" width="9.109375" style="136"/>
    <col min="9474" max="9474" width="10.5546875" style="136" customWidth="1"/>
    <col min="9475" max="9475" width="27.6640625" style="136" customWidth="1"/>
    <col min="9476" max="9476" width="14.44140625" style="136" customWidth="1"/>
    <col min="9477" max="9478" width="15" style="136" customWidth="1"/>
    <col min="9479" max="9479" width="16.6640625" style="136" customWidth="1"/>
    <col min="9480" max="9480" width="13.109375" style="136" customWidth="1"/>
    <col min="9481" max="9482" width="12.5546875" style="136" customWidth="1"/>
    <col min="9483" max="9729" width="9.109375" style="136"/>
    <col min="9730" max="9730" width="10.5546875" style="136" customWidth="1"/>
    <col min="9731" max="9731" width="27.6640625" style="136" customWidth="1"/>
    <col min="9732" max="9732" width="14.44140625" style="136" customWidth="1"/>
    <col min="9733" max="9734" width="15" style="136" customWidth="1"/>
    <col min="9735" max="9735" width="16.6640625" style="136" customWidth="1"/>
    <col min="9736" max="9736" width="13.109375" style="136" customWidth="1"/>
    <col min="9737" max="9738" width="12.5546875" style="136" customWidth="1"/>
    <col min="9739" max="9985" width="9.109375" style="136"/>
    <col min="9986" max="9986" width="10.5546875" style="136" customWidth="1"/>
    <col min="9987" max="9987" width="27.6640625" style="136" customWidth="1"/>
    <col min="9988" max="9988" width="14.44140625" style="136" customWidth="1"/>
    <col min="9989" max="9990" width="15" style="136" customWidth="1"/>
    <col min="9991" max="9991" width="16.6640625" style="136" customWidth="1"/>
    <col min="9992" max="9992" width="13.109375" style="136" customWidth="1"/>
    <col min="9993" max="9994" width="12.5546875" style="136" customWidth="1"/>
    <col min="9995" max="10241" width="9.109375" style="136"/>
    <col min="10242" max="10242" width="10.5546875" style="136" customWidth="1"/>
    <col min="10243" max="10243" width="27.6640625" style="136" customWidth="1"/>
    <col min="10244" max="10244" width="14.44140625" style="136" customWidth="1"/>
    <col min="10245" max="10246" width="15" style="136" customWidth="1"/>
    <col min="10247" max="10247" width="16.6640625" style="136" customWidth="1"/>
    <col min="10248" max="10248" width="13.109375" style="136" customWidth="1"/>
    <col min="10249" max="10250" width="12.5546875" style="136" customWidth="1"/>
    <col min="10251" max="10497" width="9.109375" style="136"/>
    <col min="10498" max="10498" width="10.5546875" style="136" customWidth="1"/>
    <col min="10499" max="10499" width="27.6640625" style="136" customWidth="1"/>
    <col min="10500" max="10500" width="14.44140625" style="136" customWidth="1"/>
    <col min="10501" max="10502" width="15" style="136" customWidth="1"/>
    <col min="10503" max="10503" width="16.6640625" style="136" customWidth="1"/>
    <col min="10504" max="10504" width="13.109375" style="136" customWidth="1"/>
    <col min="10505" max="10506" width="12.5546875" style="136" customWidth="1"/>
    <col min="10507" max="10753" width="9.109375" style="136"/>
    <col min="10754" max="10754" width="10.5546875" style="136" customWidth="1"/>
    <col min="10755" max="10755" width="27.6640625" style="136" customWidth="1"/>
    <col min="10756" max="10756" width="14.44140625" style="136" customWidth="1"/>
    <col min="10757" max="10758" width="15" style="136" customWidth="1"/>
    <col min="10759" max="10759" width="16.6640625" style="136" customWidth="1"/>
    <col min="10760" max="10760" width="13.109375" style="136" customWidth="1"/>
    <col min="10761" max="10762" width="12.5546875" style="136" customWidth="1"/>
    <col min="10763" max="11009" width="9.109375" style="136"/>
    <col min="11010" max="11010" width="10.5546875" style="136" customWidth="1"/>
    <col min="11011" max="11011" width="27.6640625" style="136" customWidth="1"/>
    <col min="11012" max="11012" width="14.44140625" style="136" customWidth="1"/>
    <col min="11013" max="11014" width="15" style="136" customWidth="1"/>
    <col min="11015" max="11015" width="16.6640625" style="136" customWidth="1"/>
    <col min="11016" max="11016" width="13.109375" style="136" customWidth="1"/>
    <col min="11017" max="11018" width="12.5546875" style="136" customWidth="1"/>
    <col min="11019" max="11265" width="9.109375" style="136"/>
    <col min="11266" max="11266" width="10.5546875" style="136" customWidth="1"/>
    <col min="11267" max="11267" width="27.6640625" style="136" customWidth="1"/>
    <col min="11268" max="11268" width="14.44140625" style="136" customWidth="1"/>
    <col min="11269" max="11270" width="15" style="136" customWidth="1"/>
    <col min="11271" max="11271" width="16.6640625" style="136" customWidth="1"/>
    <col min="11272" max="11272" width="13.109375" style="136" customWidth="1"/>
    <col min="11273" max="11274" width="12.5546875" style="136" customWidth="1"/>
    <col min="11275" max="11521" width="9.109375" style="136"/>
    <col min="11522" max="11522" width="10.5546875" style="136" customWidth="1"/>
    <col min="11523" max="11523" width="27.6640625" style="136" customWidth="1"/>
    <col min="11524" max="11524" width="14.44140625" style="136" customWidth="1"/>
    <col min="11525" max="11526" width="15" style="136" customWidth="1"/>
    <col min="11527" max="11527" width="16.6640625" style="136" customWidth="1"/>
    <col min="11528" max="11528" width="13.109375" style="136" customWidth="1"/>
    <col min="11529" max="11530" width="12.5546875" style="136" customWidth="1"/>
    <col min="11531" max="11777" width="9.109375" style="136"/>
    <col min="11778" max="11778" width="10.5546875" style="136" customWidth="1"/>
    <col min="11779" max="11779" width="27.6640625" style="136" customWidth="1"/>
    <col min="11780" max="11780" width="14.44140625" style="136" customWidth="1"/>
    <col min="11781" max="11782" width="15" style="136" customWidth="1"/>
    <col min="11783" max="11783" width="16.6640625" style="136" customWidth="1"/>
    <col min="11784" max="11784" width="13.109375" style="136" customWidth="1"/>
    <col min="11785" max="11786" width="12.5546875" style="136" customWidth="1"/>
    <col min="11787" max="12033" width="9.109375" style="136"/>
    <col min="12034" max="12034" width="10.5546875" style="136" customWidth="1"/>
    <col min="12035" max="12035" width="27.6640625" style="136" customWidth="1"/>
    <col min="12036" max="12036" width="14.44140625" style="136" customWidth="1"/>
    <col min="12037" max="12038" width="15" style="136" customWidth="1"/>
    <col min="12039" max="12039" width="16.6640625" style="136" customWidth="1"/>
    <col min="12040" max="12040" width="13.109375" style="136" customWidth="1"/>
    <col min="12041" max="12042" width="12.5546875" style="136" customWidth="1"/>
    <col min="12043" max="12289" width="9.109375" style="136"/>
    <col min="12290" max="12290" width="10.5546875" style="136" customWidth="1"/>
    <col min="12291" max="12291" width="27.6640625" style="136" customWidth="1"/>
    <col min="12292" max="12292" width="14.44140625" style="136" customWidth="1"/>
    <col min="12293" max="12294" width="15" style="136" customWidth="1"/>
    <col min="12295" max="12295" width="16.6640625" style="136" customWidth="1"/>
    <col min="12296" max="12296" width="13.109375" style="136" customWidth="1"/>
    <col min="12297" max="12298" width="12.5546875" style="136" customWidth="1"/>
    <col min="12299" max="12545" width="9.109375" style="136"/>
    <col min="12546" max="12546" width="10.5546875" style="136" customWidth="1"/>
    <col min="12547" max="12547" width="27.6640625" style="136" customWidth="1"/>
    <col min="12548" max="12548" width="14.44140625" style="136" customWidth="1"/>
    <col min="12549" max="12550" width="15" style="136" customWidth="1"/>
    <col min="12551" max="12551" width="16.6640625" style="136" customWidth="1"/>
    <col min="12552" max="12552" width="13.109375" style="136" customWidth="1"/>
    <col min="12553" max="12554" width="12.5546875" style="136" customWidth="1"/>
    <col min="12555" max="12801" width="9.109375" style="136"/>
    <col min="12802" max="12802" width="10.5546875" style="136" customWidth="1"/>
    <col min="12803" max="12803" width="27.6640625" style="136" customWidth="1"/>
    <col min="12804" max="12804" width="14.44140625" style="136" customWidth="1"/>
    <col min="12805" max="12806" width="15" style="136" customWidth="1"/>
    <col min="12807" max="12807" width="16.6640625" style="136" customWidth="1"/>
    <col min="12808" max="12808" width="13.109375" style="136" customWidth="1"/>
    <col min="12809" max="12810" width="12.5546875" style="136" customWidth="1"/>
    <col min="12811" max="13057" width="9.109375" style="136"/>
    <col min="13058" max="13058" width="10.5546875" style="136" customWidth="1"/>
    <col min="13059" max="13059" width="27.6640625" style="136" customWidth="1"/>
    <col min="13060" max="13060" width="14.44140625" style="136" customWidth="1"/>
    <col min="13061" max="13062" width="15" style="136" customWidth="1"/>
    <col min="13063" max="13063" width="16.6640625" style="136" customWidth="1"/>
    <col min="13064" max="13064" width="13.109375" style="136" customWidth="1"/>
    <col min="13065" max="13066" width="12.5546875" style="136" customWidth="1"/>
    <col min="13067" max="13313" width="9.109375" style="136"/>
    <col min="13314" max="13314" width="10.5546875" style="136" customWidth="1"/>
    <col min="13315" max="13315" width="27.6640625" style="136" customWidth="1"/>
    <col min="13316" max="13316" width="14.44140625" style="136" customWidth="1"/>
    <col min="13317" max="13318" width="15" style="136" customWidth="1"/>
    <col min="13319" max="13319" width="16.6640625" style="136" customWidth="1"/>
    <col min="13320" max="13320" width="13.109375" style="136" customWidth="1"/>
    <col min="13321" max="13322" width="12.5546875" style="136" customWidth="1"/>
    <col min="13323" max="13569" width="9.109375" style="136"/>
    <col min="13570" max="13570" width="10.5546875" style="136" customWidth="1"/>
    <col min="13571" max="13571" width="27.6640625" style="136" customWidth="1"/>
    <col min="13572" max="13572" width="14.44140625" style="136" customWidth="1"/>
    <col min="13573" max="13574" width="15" style="136" customWidth="1"/>
    <col min="13575" max="13575" width="16.6640625" style="136" customWidth="1"/>
    <col min="13576" max="13576" width="13.109375" style="136" customWidth="1"/>
    <col min="13577" max="13578" width="12.5546875" style="136" customWidth="1"/>
    <col min="13579" max="13825" width="9.109375" style="136"/>
    <col min="13826" max="13826" width="10.5546875" style="136" customWidth="1"/>
    <col min="13827" max="13827" width="27.6640625" style="136" customWidth="1"/>
    <col min="13828" max="13828" width="14.44140625" style="136" customWidth="1"/>
    <col min="13829" max="13830" width="15" style="136" customWidth="1"/>
    <col min="13831" max="13831" width="16.6640625" style="136" customWidth="1"/>
    <col min="13832" max="13832" width="13.109375" style="136" customWidth="1"/>
    <col min="13833" max="13834" width="12.5546875" style="136" customWidth="1"/>
    <col min="13835" max="14081" width="9.109375" style="136"/>
    <col min="14082" max="14082" width="10.5546875" style="136" customWidth="1"/>
    <col min="14083" max="14083" width="27.6640625" style="136" customWidth="1"/>
    <col min="14084" max="14084" width="14.44140625" style="136" customWidth="1"/>
    <col min="14085" max="14086" width="15" style="136" customWidth="1"/>
    <col min="14087" max="14087" width="16.6640625" style="136" customWidth="1"/>
    <col min="14088" max="14088" width="13.109375" style="136" customWidth="1"/>
    <col min="14089" max="14090" width="12.5546875" style="136" customWidth="1"/>
    <col min="14091" max="14337" width="9.109375" style="136"/>
    <col min="14338" max="14338" width="10.5546875" style="136" customWidth="1"/>
    <col min="14339" max="14339" width="27.6640625" style="136" customWidth="1"/>
    <col min="14340" max="14340" width="14.44140625" style="136" customWidth="1"/>
    <col min="14341" max="14342" width="15" style="136" customWidth="1"/>
    <col min="14343" max="14343" width="16.6640625" style="136" customWidth="1"/>
    <col min="14344" max="14344" width="13.109375" style="136" customWidth="1"/>
    <col min="14345" max="14346" width="12.5546875" style="136" customWidth="1"/>
    <col min="14347" max="14593" width="9.109375" style="136"/>
    <col min="14594" max="14594" width="10.5546875" style="136" customWidth="1"/>
    <col min="14595" max="14595" width="27.6640625" style="136" customWidth="1"/>
    <col min="14596" max="14596" width="14.44140625" style="136" customWidth="1"/>
    <col min="14597" max="14598" width="15" style="136" customWidth="1"/>
    <col min="14599" max="14599" width="16.6640625" style="136" customWidth="1"/>
    <col min="14600" max="14600" width="13.109375" style="136" customWidth="1"/>
    <col min="14601" max="14602" width="12.5546875" style="136" customWidth="1"/>
    <col min="14603" max="14849" width="9.109375" style="136"/>
    <col min="14850" max="14850" width="10.5546875" style="136" customWidth="1"/>
    <col min="14851" max="14851" width="27.6640625" style="136" customWidth="1"/>
    <col min="14852" max="14852" width="14.44140625" style="136" customWidth="1"/>
    <col min="14853" max="14854" width="15" style="136" customWidth="1"/>
    <col min="14855" max="14855" width="16.6640625" style="136" customWidth="1"/>
    <col min="14856" max="14856" width="13.109375" style="136" customWidth="1"/>
    <col min="14857" max="14858" width="12.5546875" style="136" customWidth="1"/>
    <col min="14859" max="15105" width="9.109375" style="136"/>
    <col min="15106" max="15106" width="10.5546875" style="136" customWidth="1"/>
    <col min="15107" max="15107" width="27.6640625" style="136" customWidth="1"/>
    <col min="15108" max="15108" width="14.44140625" style="136" customWidth="1"/>
    <col min="15109" max="15110" width="15" style="136" customWidth="1"/>
    <col min="15111" max="15111" width="16.6640625" style="136" customWidth="1"/>
    <col min="15112" max="15112" width="13.109375" style="136" customWidth="1"/>
    <col min="15113" max="15114" width="12.5546875" style="136" customWidth="1"/>
    <col min="15115" max="15361" width="9.109375" style="136"/>
    <col min="15362" max="15362" width="10.5546875" style="136" customWidth="1"/>
    <col min="15363" max="15363" width="27.6640625" style="136" customWidth="1"/>
    <col min="15364" max="15364" width="14.44140625" style="136" customWidth="1"/>
    <col min="15365" max="15366" width="15" style="136" customWidth="1"/>
    <col min="15367" max="15367" width="16.6640625" style="136" customWidth="1"/>
    <col min="15368" max="15368" width="13.109375" style="136" customWidth="1"/>
    <col min="15369" max="15370" width="12.5546875" style="136" customWidth="1"/>
    <col min="15371" max="15617" width="9.109375" style="136"/>
    <col min="15618" max="15618" width="10.5546875" style="136" customWidth="1"/>
    <col min="15619" max="15619" width="27.6640625" style="136" customWidth="1"/>
    <col min="15620" max="15620" width="14.44140625" style="136" customWidth="1"/>
    <col min="15621" max="15622" width="15" style="136" customWidth="1"/>
    <col min="15623" max="15623" width="16.6640625" style="136" customWidth="1"/>
    <col min="15624" max="15624" width="13.109375" style="136" customWidth="1"/>
    <col min="15625" max="15626" width="12.5546875" style="136" customWidth="1"/>
    <col min="15627" max="15873" width="9.109375" style="136"/>
    <col min="15874" max="15874" width="10.5546875" style="136" customWidth="1"/>
    <col min="15875" max="15875" width="27.6640625" style="136" customWidth="1"/>
    <col min="15876" max="15876" width="14.44140625" style="136" customWidth="1"/>
    <col min="15877" max="15878" width="15" style="136" customWidth="1"/>
    <col min="15879" max="15879" width="16.6640625" style="136" customWidth="1"/>
    <col min="15880" max="15880" width="13.109375" style="136" customWidth="1"/>
    <col min="15881" max="15882" width="12.5546875" style="136" customWidth="1"/>
    <col min="15883" max="16129" width="9.109375" style="136"/>
    <col min="16130" max="16130" width="10.5546875" style="136" customWidth="1"/>
    <col min="16131" max="16131" width="27.6640625" style="136" customWidth="1"/>
    <col min="16132" max="16132" width="14.44140625" style="136" customWidth="1"/>
    <col min="16133" max="16134" width="15" style="136" customWidth="1"/>
    <col min="16135" max="16135" width="16.6640625" style="136" customWidth="1"/>
    <col min="16136" max="16136" width="13.109375" style="136" customWidth="1"/>
    <col min="16137" max="16138" width="12.5546875" style="136" customWidth="1"/>
    <col min="16139" max="16384" width="9.109375" style="136"/>
  </cols>
  <sheetData>
    <row r="1" spans="1:10" x14ac:dyDescent="0.3">
      <c r="A1" s="186"/>
      <c r="B1" s="187" t="str">
        <f>INSTRUÇÕES!B1</f>
        <v>Tribunal Regional Federal da 6ª Região</v>
      </c>
      <c r="C1" s="188"/>
      <c r="D1" s="188"/>
      <c r="E1" s="188"/>
      <c r="F1" s="189"/>
      <c r="G1" s="190"/>
      <c r="H1" s="663"/>
      <c r="I1" s="189"/>
      <c r="J1" s="191"/>
    </row>
    <row r="2" spans="1:10" x14ac:dyDescent="0.3">
      <c r="A2" s="192"/>
      <c r="B2" s="193" t="str">
        <f>INSTRUÇÕES!B2</f>
        <v>Seção Judiciária de Minas Gerais</v>
      </c>
      <c r="C2" s="194"/>
      <c r="D2" s="194"/>
      <c r="E2" s="194"/>
      <c r="F2" s="195"/>
      <c r="I2" s="195"/>
      <c r="J2" s="196"/>
    </row>
    <row r="3" spans="1:10" ht="14.4" thickBot="1" x14ac:dyDescent="0.35">
      <c r="A3" s="197"/>
      <c r="B3" s="198" t="str">
        <f>INSTRUÇÕES!B3</f>
        <v>Subseção Judiciária de Sete Lagoas</v>
      </c>
      <c r="C3" s="194"/>
      <c r="D3" s="194"/>
      <c r="E3" s="194"/>
      <c r="F3" s="195"/>
      <c r="I3" s="195"/>
      <c r="J3" s="196"/>
    </row>
    <row r="4" spans="1:10" ht="20.100000000000001" customHeight="1" thickBot="1" x14ac:dyDescent="0.35">
      <c r="A4" s="1206" t="s">
        <v>604</v>
      </c>
      <c r="B4" s="1207"/>
      <c r="C4" s="1207"/>
      <c r="D4" s="1207"/>
      <c r="E4" s="1207"/>
      <c r="F4" s="1207"/>
      <c r="G4" s="1207"/>
      <c r="H4" s="1208"/>
      <c r="I4" s="1207"/>
      <c r="J4" s="1209"/>
    </row>
    <row r="5" spans="1:10" ht="20.100000000000001" customHeight="1" x14ac:dyDescent="0.3">
      <c r="A5" s="1210" t="s">
        <v>419</v>
      </c>
      <c r="B5" s="1211"/>
      <c r="C5" s="1211"/>
      <c r="D5" s="1211"/>
      <c r="E5" s="1211"/>
      <c r="F5" s="1211"/>
      <c r="G5" s="1211"/>
      <c r="H5" s="1212"/>
      <c r="I5" s="1211"/>
      <c r="J5" s="1213"/>
    </row>
    <row r="6" spans="1:10" ht="36" customHeight="1" thickBot="1" x14ac:dyDescent="0.35">
      <c r="A6" s="1214" t="str">
        <f>Dados!A4</f>
        <v>Sindicato utilizado - SINTAPPI/MG. Vigência: 01/04/2023 à 31/03/2024. Sendo a data base da categoria 01º de Abril. Com número de registro no MTE MG001474/2023.</v>
      </c>
      <c r="B6" s="1215"/>
      <c r="C6" s="1215"/>
      <c r="D6" s="1215"/>
      <c r="E6" s="1215"/>
      <c r="F6" s="1215"/>
      <c r="G6" s="1215"/>
      <c r="H6" s="1215"/>
      <c r="I6" s="1215"/>
      <c r="J6" s="1216"/>
    </row>
    <row r="7" spans="1:10" ht="20.100000000000001" customHeight="1" thickBot="1" x14ac:dyDescent="0.35">
      <c r="A7" s="1217" t="str">
        <f>Resumo!B14</f>
        <v>Copeira</v>
      </c>
      <c r="B7" s="1218"/>
      <c r="C7" s="1218"/>
      <c r="D7" s="1218"/>
      <c r="E7" s="1219"/>
      <c r="F7" s="1220" t="s">
        <v>605</v>
      </c>
      <c r="G7" s="1221" t="s">
        <v>606</v>
      </c>
      <c r="H7" s="1220" t="s">
        <v>756</v>
      </c>
      <c r="I7" s="1220" t="s">
        <v>757</v>
      </c>
      <c r="J7" s="1222" t="s">
        <v>607</v>
      </c>
    </row>
    <row r="8" spans="1:10" ht="20.100000000000001" customHeight="1" thickBot="1" x14ac:dyDescent="0.35">
      <c r="A8" s="1223" t="s">
        <v>608</v>
      </c>
      <c r="B8" s="1224"/>
      <c r="C8" s="1224"/>
      <c r="D8" s="1224"/>
      <c r="E8" s="137" t="s">
        <v>527</v>
      </c>
      <c r="F8" s="1220"/>
      <c r="G8" s="1221"/>
      <c r="H8" s="1220"/>
      <c r="I8" s="1220"/>
      <c r="J8" s="1222"/>
    </row>
    <row r="9" spans="1:10" ht="20.100000000000001" customHeight="1" x14ac:dyDescent="0.3">
      <c r="A9" s="1225" t="s">
        <v>609</v>
      </c>
      <c r="B9" s="1226"/>
      <c r="C9" s="1226"/>
      <c r="D9" s="1226"/>
      <c r="E9" s="1226"/>
      <c r="F9" s="1226"/>
      <c r="G9" s="1226"/>
      <c r="H9" s="1227"/>
      <c r="I9" s="1226"/>
      <c r="J9" s="1228"/>
    </row>
    <row r="10" spans="1:10" ht="24" customHeight="1" x14ac:dyDescent="0.3">
      <c r="A10" s="199" t="s">
        <v>512</v>
      </c>
      <c r="B10" s="1229" t="s">
        <v>610</v>
      </c>
      <c r="C10" s="1229"/>
      <c r="D10" s="138" t="s">
        <v>611</v>
      </c>
      <c r="E10" s="139" t="s">
        <v>612</v>
      </c>
      <c r="F10" s="1230" t="s">
        <v>530</v>
      </c>
      <c r="G10" s="1230"/>
      <c r="H10" s="1231"/>
      <c r="I10" s="1230"/>
      <c r="J10" s="1232"/>
    </row>
    <row r="11" spans="1:10" ht="20.100000000000001" customHeight="1" x14ac:dyDescent="0.3">
      <c r="A11" s="1233">
        <v>1</v>
      </c>
      <c r="B11" s="1235" t="str">
        <f>A7</f>
        <v>Copeira</v>
      </c>
      <c r="C11" s="1235"/>
      <c r="D11" s="140">
        <f>Dados!$D$9</f>
        <v>200</v>
      </c>
      <c r="E11" s="166">
        <f>Dados!$E$9</f>
        <v>1442</v>
      </c>
      <c r="F11" s="160">
        <f>ROUND(E11/220*D11,2)</f>
        <v>1310.91</v>
      </c>
      <c r="G11" s="160">
        <f>F11</f>
        <v>1310.91</v>
      </c>
      <c r="H11" s="664"/>
      <c r="I11" s="160"/>
      <c r="J11" s="200"/>
    </row>
    <row r="12" spans="1:10" ht="20.100000000000001" customHeight="1" x14ac:dyDescent="0.3">
      <c r="A12" s="1233"/>
      <c r="B12" s="1235" t="s">
        <v>613</v>
      </c>
      <c r="C12" s="1235"/>
      <c r="D12" s="213">
        <f>Dados!G8</f>
        <v>0</v>
      </c>
      <c r="E12" s="166">
        <f>Dados!$G$28</f>
        <v>1320</v>
      </c>
      <c r="F12" s="160">
        <f>D12*E12</f>
        <v>0</v>
      </c>
      <c r="G12" s="160">
        <f>F12</f>
        <v>0</v>
      </c>
      <c r="H12" s="664"/>
      <c r="I12" s="160"/>
      <c r="J12" s="200">
        <f>F12</f>
        <v>0</v>
      </c>
    </row>
    <row r="13" spans="1:10" ht="22.5" customHeight="1" x14ac:dyDescent="0.3">
      <c r="A13" s="1233"/>
      <c r="B13" s="167" t="s">
        <v>614</v>
      </c>
      <c r="C13" s="168">
        <f>Dados!$I$9</f>
        <v>0</v>
      </c>
      <c r="D13" s="168">
        <f>Dados!$J$9</f>
        <v>0</v>
      </c>
      <c r="E13" s="169">
        <f>Dados!$K$9</f>
        <v>0</v>
      </c>
      <c r="F13" s="163">
        <f>ROUND((E13*D13*C13),2)</f>
        <v>0</v>
      </c>
      <c r="G13" s="163">
        <f>F13</f>
        <v>0</v>
      </c>
      <c r="H13" s="665"/>
      <c r="I13" s="163"/>
      <c r="J13" s="201"/>
    </row>
    <row r="14" spans="1:10" ht="20.100000000000001" customHeight="1" x14ac:dyDescent="0.3">
      <c r="A14" s="1234"/>
      <c r="B14" s="1236" t="s">
        <v>615</v>
      </c>
      <c r="C14" s="1236"/>
      <c r="D14" s="1236"/>
      <c r="E14" s="1236"/>
      <c r="F14" s="171">
        <f>SUM(F11:F13)</f>
        <v>1310.91</v>
      </c>
      <c r="G14" s="171">
        <f>SUM(G11:G13)</f>
        <v>1310.91</v>
      </c>
      <c r="H14" s="171">
        <f>SUM(H11:H13)</f>
        <v>0</v>
      </c>
      <c r="I14" s="171">
        <f>SUM(I11:I13)</f>
        <v>0</v>
      </c>
      <c r="J14" s="202">
        <f>SUM(J11:J13)</f>
        <v>0</v>
      </c>
    </row>
    <row r="15" spans="1:10" ht="20.100000000000001" customHeight="1" thickBot="1" x14ac:dyDescent="0.35">
      <c r="A15" s="1233"/>
      <c r="B15" s="1237" t="s">
        <v>616</v>
      </c>
      <c r="C15" s="1237"/>
      <c r="D15" s="1237"/>
      <c r="E15" s="170">
        <f>Encargos!$C$57</f>
        <v>0.79049999999999998</v>
      </c>
      <c r="F15" s="160">
        <f>ROUND((E15*F14),2)</f>
        <v>1036.27</v>
      </c>
      <c r="G15" s="160">
        <f>F15</f>
        <v>1036.27</v>
      </c>
      <c r="H15" s="664"/>
      <c r="I15" s="160"/>
      <c r="J15" s="200">
        <f>ROUND((E15*J14),2)</f>
        <v>0</v>
      </c>
    </row>
    <row r="16" spans="1:10" ht="20.100000000000001" customHeight="1" thickBot="1" x14ac:dyDescent="0.35">
      <c r="A16" s="1240" t="s">
        <v>617</v>
      </c>
      <c r="B16" s="1241"/>
      <c r="C16" s="1241"/>
      <c r="D16" s="1241"/>
      <c r="E16" s="1241"/>
      <c r="F16" s="203">
        <f>SUM(F14:F15)</f>
        <v>2347.1800000000003</v>
      </c>
      <c r="G16" s="203">
        <f>SUM(G14:G15)</f>
        <v>2347.1800000000003</v>
      </c>
      <c r="H16" s="203">
        <f>SUM(H14:H15)</f>
        <v>0</v>
      </c>
      <c r="I16" s="203">
        <f>SUM(I14:I15)</f>
        <v>0</v>
      </c>
      <c r="J16" s="204">
        <f>SUM(J14:J15)</f>
        <v>0</v>
      </c>
    </row>
    <row r="17" spans="1:12" ht="20.100000000000001" customHeight="1" x14ac:dyDescent="0.3">
      <c r="A17" s="1242" t="s">
        <v>618</v>
      </c>
      <c r="B17" s="1243"/>
      <c r="C17" s="1243"/>
      <c r="D17" s="1243"/>
      <c r="E17" s="1243"/>
      <c r="F17" s="1243"/>
      <c r="G17" s="1243"/>
      <c r="H17" s="1243"/>
      <c r="I17" s="1243"/>
      <c r="J17" s="1244"/>
    </row>
    <row r="18" spans="1:12" ht="20.100000000000001" customHeight="1" x14ac:dyDescent="0.3">
      <c r="A18" s="1245" t="s">
        <v>619</v>
      </c>
      <c r="B18" s="1246"/>
      <c r="C18" s="109" t="s">
        <v>529</v>
      </c>
      <c r="D18" s="1247" t="s">
        <v>620</v>
      </c>
      <c r="E18" s="1247"/>
      <c r="F18" s="1248" t="s">
        <v>530</v>
      </c>
      <c r="G18" s="1248"/>
      <c r="H18" s="1249"/>
      <c r="I18" s="1248"/>
      <c r="J18" s="1250"/>
    </row>
    <row r="19" spans="1:12" ht="20.100000000000001" customHeight="1" x14ac:dyDescent="0.3">
      <c r="A19" s="1238" t="s">
        <v>621</v>
      </c>
      <c r="B19" s="1239"/>
      <c r="C19" s="152"/>
      <c r="D19" s="152"/>
      <c r="E19" s="152"/>
      <c r="F19" s="160">
        <f>Dados!$N$9</f>
        <v>45.37</v>
      </c>
      <c r="G19" s="160">
        <f>F19</f>
        <v>45.37</v>
      </c>
      <c r="H19" s="664"/>
      <c r="I19" s="160"/>
      <c r="J19" s="200"/>
    </row>
    <row r="20" spans="1:12" ht="20.100000000000001" customHeight="1" x14ac:dyDescent="0.3">
      <c r="A20" s="1238" t="s">
        <v>622</v>
      </c>
      <c r="B20" s="1239"/>
      <c r="C20" s="152"/>
      <c r="D20" s="152"/>
      <c r="E20" s="152"/>
      <c r="F20" s="160">
        <f>Dados!$G$31</f>
        <v>1.55</v>
      </c>
      <c r="G20" s="160">
        <f>F20</f>
        <v>1.55</v>
      </c>
      <c r="H20" s="664"/>
      <c r="I20" s="160"/>
      <c r="J20" s="200"/>
    </row>
    <row r="21" spans="1:12" ht="23.85" customHeight="1" x14ac:dyDescent="0.3">
      <c r="A21" s="1251" t="s">
        <v>340</v>
      </c>
      <c r="B21" s="1252"/>
      <c r="C21" s="152"/>
      <c r="D21" s="152"/>
      <c r="E21" s="152"/>
      <c r="F21" s="160">
        <f>Dados!G32</f>
        <v>0</v>
      </c>
      <c r="G21" s="160">
        <f>F21</f>
        <v>0</v>
      </c>
      <c r="H21" s="664"/>
      <c r="I21" s="160"/>
      <c r="J21" s="200"/>
    </row>
    <row r="22" spans="1:12" ht="20.100000000000001" customHeight="1" x14ac:dyDescent="0.3">
      <c r="A22" s="1238" t="s">
        <v>341</v>
      </c>
      <c r="B22" s="1239"/>
      <c r="C22" s="154">
        <f>Dados!$G$35</f>
        <v>22</v>
      </c>
      <c r="D22" s="154">
        <f>Dados!$G$34</f>
        <v>2</v>
      </c>
      <c r="E22" s="153">
        <f>Dados!$G$33</f>
        <v>4.25</v>
      </c>
      <c r="F22" s="160">
        <f>IF(ROUND((E22*D22*C22)-(F11*Dados!$G$36),2)&lt;0,0,ROUND((E22*D22*C22)-(F11*Dados!$G$36),2))</f>
        <v>108.35</v>
      </c>
      <c r="G22" s="160">
        <f>F22</f>
        <v>108.35</v>
      </c>
      <c r="H22" s="664"/>
      <c r="I22" s="160">
        <f>F22</f>
        <v>108.35</v>
      </c>
      <c r="J22" s="200"/>
    </row>
    <row r="23" spans="1:12" ht="20.100000000000001" customHeight="1" x14ac:dyDescent="0.3">
      <c r="A23" s="1238" t="s">
        <v>342</v>
      </c>
      <c r="B23" s="1239"/>
      <c r="C23" s="154">
        <f>Dados!G38</f>
        <v>22</v>
      </c>
      <c r="D23" s="159">
        <f>Dados!G39</f>
        <v>0.2</v>
      </c>
      <c r="E23" s="153">
        <f>Dados!$G$37</f>
        <v>24</v>
      </c>
      <c r="F23" s="161">
        <f>ROUND((IF(D11&gt;150,((C23*E23)-(C23*(D23*E23))),0)),2)</f>
        <v>422.4</v>
      </c>
      <c r="G23" s="160">
        <f>F23</f>
        <v>422.4</v>
      </c>
      <c r="H23" s="664">
        <f>$F$23</f>
        <v>422.4</v>
      </c>
      <c r="I23" s="161"/>
      <c r="J23" s="200"/>
    </row>
    <row r="24" spans="1:12" ht="20.100000000000001" customHeight="1" x14ac:dyDescent="0.3">
      <c r="A24" s="1238" t="s">
        <v>343</v>
      </c>
      <c r="B24" s="1239"/>
      <c r="C24" s="154"/>
      <c r="D24" s="154"/>
      <c r="E24" s="153"/>
      <c r="F24" s="161">
        <f>Dados!$G$40</f>
        <v>0</v>
      </c>
      <c r="G24" s="160"/>
      <c r="H24" s="664"/>
      <c r="I24" s="161"/>
      <c r="J24" s="200"/>
    </row>
    <row r="25" spans="1:12" ht="20.100000000000001" customHeight="1" x14ac:dyDescent="0.3">
      <c r="A25" s="1238" t="s">
        <v>343</v>
      </c>
      <c r="B25" s="1239"/>
      <c r="C25" s="154"/>
      <c r="D25" s="154"/>
      <c r="E25" s="153"/>
      <c r="F25" s="161">
        <f>Dados!$G$41</f>
        <v>0</v>
      </c>
      <c r="G25" s="160"/>
      <c r="H25" s="664"/>
      <c r="I25" s="161"/>
      <c r="J25" s="200"/>
    </row>
    <row r="26" spans="1:12" ht="20.100000000000001" customHeight="1" x14ac:dyDescent="0.3">
      <c r="A26" s="1238" t="s">
        <v>623</v>
      </c>
      <c r="B26" s="1239"/>
      <c r="C26" s="154"/>
      <c r="D26" s="153"/>
      <c r="E26" s="153"/>
      <c r="F26" s="160"/>
      <c r="G26" s="160"/>
      <c r="H26" s="664"/>
      <c r="I26" s="160"/>
      <c r="J26" s="200"/>
      <c r="L26" s="142"/>
    </row>
    <row r="27" spans="1:12" ht="20.100000000000001" customHeight="1" x14ac:dyDescent="0.3">
      <c r="A27" s="205" t="s">
        <v>624</v>
      </c>
      <c r="B27" s="143"/>
      <c r="C27" s="154"/>
      <c r="D27" s="153"/>
      <c r="E27" s="153"/>
      <c r="F27" s="160">
        <f>Dados!$P$9</f>
        <v>95.650833333333352</v>
      </c>
      <c r="G27" s="160"/>
      <c r="H27" s="664"/>
      <c r="I27" s="160"/>
      <c r="J27" s="200"/>
    </row>
    <row r="28" spans="1:12" ht="20.100000000000001" customHeight="1" x14ac:dyDescent="0.3">
      <c r="A28" s="205" t="s">
        <v>625</v>
      </c>
      <c r="B28" s="143"/>
      <c r="C28" s="155"/>
      <c r="D28" s="156"/>
      <c r="E28" s="156"/>
      <c r="F28" s="162">
        <f>Dados!$S$9</f>
        <v>2.68</v>
      </c>
      <c r="G28" s="160"/>
      <c r="H28" s="664"/>
      <c r="I28" s="162"/>
      <c r="J28" s="200"/>
    </row>
    <row r="29" spans="1:12" ht="20.100000000000001" customHeight="1" thickBot="1" x14ac:dyDescent="0.35">
      <c r="A29" s="1253" t="s">
        <v>626</v>
      </c>
      <c r="B29" s="1254"/>
      <c r="C29" s="157"/>
      <c r="D29" s="158"/>
      <c r="E29" s="158"/>
      <c r="F29" s="163"/>
      <c r="G29" s="163"/>
      <c r="H29" s="665"/>
      <c r="I29" s="163"/>
      <c r="J29" s="201"/>
    </row>
    <row r="30" spans="1:12" ht="20.100000000000001" customHeight="1" thickBot="1" x14ac:dyDescent="0.35">
      <c r="A30" s="1255" t="s">
        <v>627</v>
      </c>
      <c r="B30" s="1256"/>
      <c r="C30" s="1256"/>
      <c r="D30" s="1256"/>
      <c r="E30" s="1256"/>
      <c r="F30" s="203">
        <f>SUM(F19:F29)</f>
        <v>676.00083333333328</v>
      </c>
      <c r="G30" s="203">
        <f t="shared" ref="G30:J30" si="0">SUM(G19:G29)</f>
        <v>577.66999999999996</v>
      </c>
      <c r="H30" s="203">
        <f t="shared" si="0"/>
        <v>422.4</v>
      </c>
      <c r="I30" s="203">
        <f t="shared" si="0"/>
        <v>108.35</v>
      </c>
      <c r="J30" s="204">
        <f t="shared" si="0"/>
        <v>0</v>
      </c>
    </row>
    <row r="31" spans="1:12" ht="20.100000000000001" customHeight="1" thickBot="1" x14ac:dyDescent="0.35">
      <c r="A31" s="1255" t="s">
        <v>628</v>
      </c>
      <c r="B31" s="1256"/>
      <c r="C31" s="1256"/>
      <c r="D31" s="1256"/>
      <c r="E31" s="1256"/>
      <c r="F31" s="203">
        <f>F16+F30</f>
        <v>3023.1808333333338</v>
      </c>
      <c r="G31" s="203">
        <f t="shared" ref="G31:J31" si="1">G16+G30</f>
        <v>2924.8500000000004</v>
      </c>
      <c r="H31" s="203">
        <f t="shared" si="1"/>
        <v>422.4</v>
      </c>
      <c r="I31" s="203">
        <f t="shared" si="1"/>
        <v>108.35</v>
      </c>
      <c r="J31" s="204">
        <f t="shared" si="1"/>
        <v>0</v>
      </c>
    </row>
    <row r="32" spans="1:12" ht="20.100000000000001" customHeight="1" x14ac:dyDescent="0.3">
      <c r="A32" s="1225" t="s">
        <v>629</v>
      </c>
      <c r="B32" s="1226"/>
      <c r="C32" s="1226"/>
      <c r="D32" s="1226"/>
      <c r="E32" s="1226"/>
      <c r="F32" s="1226"/>
      <c r="G32" s="1226"/>
      <c r="H32" s="1227"/>
      <c r="I32" s="1226"/>
      <c r="J32" s="1228"/>
    </row>
    <row r="33" spans="1:12" ht="20.100000000000001" customHeight="1" x14ac:dyDescent="0.3">
      <c r="A33" s="1245" t="s">
        <v>630</v>
      </c>
      <c r="B33" s="1246"/>
      <c r="C33" s="1246"/>
      <c r="D33" s="144" t="s">
        <v>631</v>
      </c>
      <c r="E33" s="1257" t="s">
        <v>530</v>
      </c>
      <c r="F33" s="1257"/>
      <c r="G33" s="1257"/>
      <c r="H33" s="1258"/>
      <c r="I33" s="1257"/>
      <c r="J33" s="1259"/>
    </row>
    <row r="34" spans="1:12" ht="20.100000000000001" customHeight="1" x14ac:dyDescent="0.3">
      <c r="A34" s="206" t="s">
        <v>632</v>
      </c>
      <c r="B34" s="145"/>
      <c r="C34" s="145"/>
      <c r="D34" s="150">
        <f>Dados!$G$44</f>
        <v>0.03</v>
      </c>
      <c r="E34" s="146"/>
      <c r="F34" s="160">
        <f>ROUND((F31*$D$34),2)</f>
        <v>90.7</v>
      </c>
      <c r="G34" s="160">
        <f t="shared" ref="G34:J34" si="2">ROUND((G31*$D$34),2)</f>
        <v>87.75</v>
      </c>
      <c r="H34" s="160">
        <f t="shared" ref="H34" si="3">ROUND((H31*$D$34),2)</f>
        <v>12.67</v>
      </c>
      <c r="I34" s="160">
        <f t="shared" si="2"/>
        <v>3.25</v>
      </c>
      <c r="J34" s="200">
        <f t="shared" si="2"/>
        <v>0</v>
      </c>
    </row>
    <row r="35" spans="1:12" ht="20.100000000000001" customHeight="1" x14ac:dyDescent="0.3">
      <c r="A35" s="1260" t="s">
        <v>633</v>
      </c>
      <c r="B35" s="1261"/>
      <c r="C35" s="1261"/>
      <c r="D35" s="150"/>
      <c r="E35" s="146"/>
      <c r="F35" s="160">
        <f>F31+F34</f>
        <v>3113.8808333333336</v>
      </c>
      <c r="G35" s="160">
        <f t="shared" ref="G35:J35" si="4">G31+G34</f>
        <v>3012.6000000000004</v>
      </c>
      <c r="H35" s="160">
        <f t="shared" ref="H35" si="5">H31+H34</f>
        <v>435.07</v>
      </c>
      <c r="I35" s="160">
        <f t="shared" si="4"/>
        <v>111.6</v>
      </c>
      <c r="J35" s="200">
        <f t="shared" si="4"/>
        <v>0</v>
      </c>
    </row>
    <row r="36" spans="1:12" ht="20.100000000000001" customHeight="1" thickBot="1" x14ac:dyDescent="0.35">
      <c r="A36" s="207" t="s">
        <v>348</v>
      </c>
      <c r="B36" s="147"/>
      <c r="C36" s="147"/>
      <c r="D36" s="175">
        <f>Dados!$G$45</f>
        <v>6.7900000000000002E-2</v>
      </c>
      <c r="E36" s="148"/>
      <c r="F36" s="163">
        <f>ROUND((F35*$D$36),2)</f>
        <v>211.43</v>
      </c>
      <c r="G36" s="163">
        <f t="shared" ref="G36:J36" si="6">ROUND((G35*$D$36),2)</f>
        <v>204.56</v>
      </c>
      <c r="H36" s="163">
        <f t="shared" ref="H36" si="7">ROUND((H35*$D$36),2)</f>
        <v>29.54</v>
      </c>
      <c r="I36" s="163">
        <f t="shared" si="6"/>
        <v>7.58</v>
      </c>
      <c r="J36" s="201">
        <f t="shared" si="6"/>
        <v>0</v>
      </c>
    </row>
    <row r="37" spans="1:12" ht="20.100000000000001" customHeight="1" thickBot="1" x14ac:dyDescent="0.35">
      <c r="A37" s="176" t="s">
        <v>634</v>
      </c>
      <c r="B37" s="177"/>
      <c r="C37" s="177"/>
      <c r="D37" s="178">
        <f>SUM(D34:D36)</f>
        <v>9.7900000000000001E-2</v>
      </c>
      <c r="E37" s="179"/>
      <c r="F37" s="180">
        <f>F34+F36</f>
        <v>302.13</v>
      </c>
      <c r="G37" s="180">
        <f>G34+G36</f>
        <v>292.31</v>
      </c>
      <c r="H37" s="180">
        <f>H34+H36</f>
        <v>42.21</v>
      </c>
      <c r="I37" s="180">
        <f>I34+I36</f>
        <v>10.83</v>
      </c>
      <c r="J37" s="181">
        <f>J34+J36</f>
        <v>0</v>
      </c>
    </row>
    <row r="38" spans="1:12" ht="20.100000000000001" customHeight="1" thickBot="1" x14ac:dyDescent="0.35">
      <c r="A38" s="1262" t="s">
        <v>635</v>
      </c>
      <c r="B38" s="1263"/>
      <c r="C38" s="1263"/>
      <c r="D38" s="1263"/>
      <c r="E38" s="1263"/>
      <c r="F38" s="165">
        <f>F31+F37</f>
        <v>3325.3108333333339</v>
      </c>
      <c r="G38" s="165">
        <f t="shared" ref="G38:J38" si="8">G31+G37</f>
        <v>3217.1600000000003</v>
      </c>
      <c r="H38" s="165">
        <f t="shared" ref="H38" si="9">H31+H37</f>
        <v>464.60999999999996</v>
      </c>
      <c r="I38" s="165">
        <f t="shared" si="8"/>
        <v>119.17999999999999</v>
      </c>
      <c r="J38" s="208">
        <f t="shared" si="8"/>
        <v>0</v>
      </c>
    </row>
    <row r="39" spans="1:12" ht="20.100000000000001" customHeight="1" x14ac:dyDescent="0.3">
      <c r="A39" s="1264" t="s">
        <v>636</v>
      </c>
      <c r="B39" s="1265"/>
      <c r="C39" s="1265"/>
      <c r="D39" s="1265"/>
      <c r="E39" s="1265"/>
      <c r="F39" s="1265"/>
      <c r="G39" s="1265"/>
      <c r="H39" s="1266"/>
      <c r="I39" s="1265"/>
      <c r="J39" s="1267"/>
    </row>
    <row r="40" spans="1:12" ht="20.100000000000001" customHeight="1" x14ac:dyDescent="0.3">
      <c r="A40" s="1238" t="s">
        <v>353</v>
      </c>
      <c r="B40" s="1239"/>
      <c r="C40" s="1239"/>
      <c r="D40" s="150">
        <f>Dados!G52</f>
        <v>7.5999999999999998E-2</v>
      </c>
      <c r="E40" s="151"/>
      <c r="F40" s="160">
        <f>ROUND(($F$46*D40),2)</f>
        <v>288</v>
      </c>
      <c r="G40" s="160">
        <f t="shared" ref="G40:J40" si="10">ROUND((G46*$D$40),2)</f>
        <v>278.64</v>
      </c>
      <c r="H40" s="160">
        <f t="shared" ref="H40" si="11">ROUND((H46*$D$40),2)</f>
        <v>35.31</v>
      </c>
      <c r="I40" s="160">
        <f t="shared" si="10"/>
        <v>10.32</v>
      </c>
      <c r="J40" s="200">
        <f t="shared" si="10"/>
        <v>0</v>
      </c>
    </row>
    <row r="41" spans="1:12" ht="20.100000000000001" customHeight="1" x14ac:dyDescent="0.3">
      <c r="A41" s="1238" t="s">
        <v>355</v>
      </c>
      <c r="B41" s="1239"/>
      <c r="C41" s="1239"/>
      <c r="D41" s="150">
        <f>Dados!G53</f>
        <v>1.6500000000000001E-2</v>
      </c>
      <c r="E41" s="151"/>
      <c r="F41" s="160">
        <f>ROUND((F46*$D$41),2)</f>
        <v>62.53</v>
      </c>
      <c r="G41" s="160">
        <f t="shared" ref="G41:J41" si="12">ROUND((G46*$D$41),2)</f>
        <v>60.49</v>
      </c>
      <c r="H41" s="160">
        <f t="shared" ref="H41" si="13">ROUND((H46*$D$41),2)</f>
        <v>7.67</v>
      </c>
      <c r="I41" s="160">
        <f t="shared" si="12"/>
        <v>2.2400000000000002</v>
      </c>
      <c r="J41" s="200">
        <f t="shared" si="12"/>
        <v>0</v>
      </c>
    </row>
    <row r="42" spans="1:12" ht="20.100000000000001" customHeight="1" x14ac:dyDescent="0.3">
      <c r="A42" s="1238" t="s">
        <v>356</v>
      </c>
      <c r="B42" s="1239"/>
      <c r="C42" s="1239"/>
      <c r="D42" s="150">
        <f>Dados!G54</f>
        <v>0.03</v>
      </c>
      <c r="E42" s="151"/>
      <c r="F42" s="160">
        <f>ROUND((F46*$D$42),2)</f>
        <v>113.69</v>
      </c>
      <c r="G42" s="160">
        <f t="shared" ref="G42:J42" si="14">ROUND((G46*$D$42),2)</f>
        <v>109.99</v>
      </c>
      <c r="H42" s="160">
        <f t="shared" ref="H42" si="15">ROUND((H46*$D$42),2)</f>
        <v>13.94</v>
      </c>
      <c r="I42" s="160">
        <f t="shared" si="14"/>
        <v>4.07</v>
      </c>
      <c r="J42" s="200">
        <f t="shared" si="14"/>
        <v>0</v>
      </c>
    </row>
    <row r="43" spans="1:12" ht="20.100000000000001" customHeight="1" x14ac:dyDescent="0.3">
      <c r="A43" s="1238" t="s">
        <v>343</v>
      </c>
      <c r="B43" s="1239"/>
      <c r="C43" s="1239"/>
      <c r="D43" s="150">
        <f>Dados!G55</f>
        <v>0</v>
      </c>
      <c r="E43" s="151"/>
      <c r="F43" s="160">
        <f>ROUND((F46*$D$43),2)</f>
        <v>0</v>
      </c>
      <c r="G43" s="160">
        <f t="shared" ref="G43:J43" si="16">ROUND((G46*$D$43),2)</f>
        <v>0</v>
      </c>
      <c r="H43" s="160">
        <f t="shared" ref="H43" si="17">ROUND((H46*$D$43),2)</f>
        <v>0</v>
      </c>
      <c r="I43" s="160">
        <f t="shared" si="16"/>
        <v>0</v>
      </c>
      <c r="J43" s="200">
        <f t="shared" si="16"/>
        <v>0</v>
      </c>
    </row>
    <row r="44" spans="1:12" ht="20.100000000000001" customHeight="1" x14ac:dyDescent="0.3">
      <c r="A44" s="1270" t="s">
        <v>637</v>
      </c>
      <c r="B44" s="1271"/>
      <c r="C44" s="1272"/>
      <c r="D44" s="182">
        <f>SUM(D40:D43)</f>
        <v>0.1225</v>
      </c>
      <c r="E44" s="183"/>
      <c r="F44" s="184">
        <f>SUM(F40:F43)</f>
        <v>464.21999999999997</v>
      </c>
      <c r="G44" s="184">
        <f>SUM(G40:G43)</f>
        <v>449.12</v>
      </c>
      <c r="H44" s="184">
        <f>SUM(H40:H43)</f>
        <v>56.92</v>
      </c>
      <c r="I44" s="184">
        <f>SUM(I40:I43)</f>
        <v>16.630000000000003</v>
      </c>
      <c r="J44" s="209">
        <f>SUM(J40:J42)</f>
        <v>0</v>
      </c>
    </row>
    <row r="45" spans="1:12" ht="20.100000000000001" customHeight="1" x14ac:dyDescent="0.3">
      <c r="A45" s="1273" t="str">
        <f>CONCATENATE("Custo Mensal - ",A7)</f>
        <v>Custo Mensal - Copeira</v>
      </c>
      <c r="B45" s="1274"/>
      <c r="C45" s="1274"/>
      <c r="D45" s="1274"/>
      <c r="E45" s="1274"/>
      <c r="F45" s="185">
        <f>ROUND(F38/(1-D44),2)</f>
        <v>3789.53</v>
      </c>
      <c r="G45" s="185">
        <f>ROUND(G38/(1-D44),2)</f>
        <v>3666.28</v>
      </c>
      <c r="H45" s="185">
        <f>ROUND(H38/(1-C44),2)</f>
        <v>464.61</v>
      </c>
      <c r="I45" s="185">
        <f>ROUND(I38/(1-D44),2)</f>
        <v>135.82</v>
      </c>
      <c r="J45" s="210">
        <f>ROUND(J38/(1-D44),2)</f>
        <v>0</v>
      </c>
    </row>
    <row r="46" spans="1:12" ht="20.100000000000001" customHeight="1" x14ac:dyDescent="0.3">
      <c r="A46" s="1275" t="str">
        <f>CONCATENATE("Valor do Custo Mensal - ",A7)</f>
        <v>Valor do Custo Mensal - Copeira</v>
      </c>
      <c r="B46" s="1276"/>
      <c r="C46" s="1276"/>
      <c r="D46" s="1276"/>
      <c r="E46" s="1276"/>
      <c r="F46" s="185">
        <f>F45</f>
        <v>3789.53</v>
      </c>
      <c r="G46" s="185">
        <f>G45</f>
        <v>3666.28</v>
      </c>
      <c r="H46" s="185">
        <f>H45</f>
        <v>464.61</v>
      </c>
      <c r="I46" s="185">
        <f>I45</f>
        <v>135.82</v>
      </c>
      <c r="J46" s="210">
        <f>J45</f>
        <v>0</v>
      </c>
      <c r="K46" s="149"/>
      <c r="L46" s="149"/>
    </row>
    <row r="47" spans="1:12" ht="27.75" customHeight="1" thickBot="1" x14ac:dyDescent="0.35">
      <c r="A47" s="1277" t="s">
        <v>683</v>
      </c>
      <c r="B47" s="1278"/>
      <c r="C47" s="1278"/>
      <c r="D47" s="1278"/>
      <c r="E47" s="1278"/>
      <c r="F47" s="211">
        <f>(F46/F14)</f>
        <v>2.8907629051574859</v>
      </c>
      <c r="G47" s="211">
        <f>(G46/G14)</f>
        <v>2.7967442463632133</v>
      </c>
      <c r="H47" s="1268" t="s">
        <v>682</v>
      </c>
      <c r="I47" s="1269"/>
      <c r="J47" s="212">
        <v>0</v>
      </c>
    </row>
    <row r="48" spans="1:12" ht="20.100000000000001" customHeight="1" x14ac:dyDescent="0.3"/>
  </sheetData>
  <sheetProtection algorithmName="SHA-512" hashValue="ZVby1EmFAUDBgcWlLk/NsRRPxF1n3eku9naPxlNLjlfFPRxc/9W3+x+bLjXhUGfqDpKwM1o6x7WVpi0FpJ+pdA==" saltValue="YKyImrKsMQN0f27eSSRKvg==" spinCount="100000" sheet="1" objects="1" scenarios="1"/>
  <mergeCells count="49">
    <mergeCell ref="H47:I47"/>
    <mergeCell ref="A43:C43"/>
    <mergeCell ref="A44:C44"/>
    <mergeCell ref="A45:E45"/>
    <mergeCell ref="A46:E46"/>
    <mergeCell ref="A47:E47"/>
    <mergeCell ref="A42:C42"/>
    <mergeCell ref="A26:B26"/>
    <mergeCell ref="A29:B29"/>
    <mergeCell ref="A30:E30"/>
    <mergeCell ref="A31:E31"/>
    <mergeCell ref="A32:J32"/>
    <mergeCell ref="A33:C33"/>
    <mergeCell ref="E33:J33"/>
    <mergeCell ref="A35:C35"/>
    <mergeCell ref="A38:E38"/>
    <mergeCell ref="A39:J39"/>
    <mergeCell ref="A40:C40"/>
    <mergeCell ref="A41:C41"/>
    <mergeCell ref="A25:B2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I7:I8"/>
    <mergeCell ref="J7:J8"/>
    <mergeCell ref="A8:D8"/>
    <mergeCell ref="H7:H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  <pageSetUpPr fitToPage="1"/>
  </sheetPr>
  <dimension ref="A1:L48"/>
  <sheetViews>
    <sheetView showGridLines="0" view="pageBreakPreview" topLeftCell="A33" zoomScale="90" zoomScaleNormal="100" zoomScaleSheetLayoutView="90" workbookViewId="0">
      <selection activeCell="D26" sqref="D26"/>
    </sheetView>
  </sheetViews>
  <sheetFormatPr defaultRowHeight="13.8" x14ac:dyDescent="0.3"/>
  <cols>
    <col min="1" max="1" width="10.5546875" style="136" customWidth="1"/>
    <col min="2" max="2" width="27.6640625" style="136" customWidth="1"/>
    <col min="3" max="3" width="14.44140625" style="136" customWidth="1"/>
    <col min="4" max="5" width="15" style="136" customWidth="1"/>
    <col min="6" max="6" width="16.6640625" style="164" customWidth="1"/>
    <col min="7" max="8" width="13.109375" style="164" customWidth="1"/>
    <col min="9" max="10" width="12.5546875" style="164" customWidth="1"/>
    <col min="11" max="257" width="9.109375" style="136"/>
    <col min="258" max="258" width="10.5546875" style="136" customWidth="1"/>
    <col min="259" max="259" width="27.6640625" style="136" customWidth="1"/>
    <col min="260" max="260" width="14.44140625" style="136" customWidth="1"/>
    <col min="261" max="262" width="15" style="136" customWidth="1"/>
    <col min="263" max="263" width="16.6640625" style="136" customWidth="1"/>
    <col min="264" max="264" width="13.109375" style="136" customWidth="1"/>
    <col min="265" max="266" width="12.5546875" style="136" customWidth="1"/>
    <col min="267" max="513" width="9.109375" style="136"/>
    <col min="514" max="514" width="10.5546875" style="136" customWidth="1"/>
    <col min="515" max="515" width="27.6640625" style="136" customWidth="1"/>
    <col min="516" max="516" width="14.44140625" style="136" customWidth="1"/>
    <col min="517" max="518" width="15" style="136" customWidth="1"/>
    <col min="519" max="519" width="16.6640625" style="136" customWidth="1"/>
    <col min="520" max="520" width="13.109375" style="136" customWidth="1"/>
    <col min="521" max="522" width="12.5546875" style="136" customWidth="1"/>
    <col min="523" max="769" width="9.109375" style="136"/>
    <col min="770" max="770" width="10.5546875" style="136" customWidth="1"/>
    <col min="771" max="771" width="27.6640625" style="136" customWidth="1"/>
    <col min="772" max="772" width="14.44140625" style="136" customWidth="1"/>
    <col min="773" max="774" width="15" style="136" customWidth="1"/>
    <col min="775" max="775" width="16.6640625" style="136" customWidth="1"/>
    <col min="776" max="776" width="13.109375" style="136" customWidth="1"/>
    <col min="777" max="778" width="12.5546875" style="136" customWidth="1"/>
    <col min="779" max="1025" width="9.109375" style="136"/>
    <col min="1026" max="1026" width="10.5546875" style="136" customWidth="1"/>
    <col min="1027" max="1027" width="27.6640625" style="136" customWidth="1"/>
    <col min="1028" max="1028" width="14.44140625" style="136" customWidth="1"/>
    <col min="1029" max="1030" width="15" style="136" customWidth="1"/>
    <col min="1031" max="1031" width="16.6640625" style="136" customWidth="1"/>
    <col min="1032" max="1032" width="13.109375" style="136" customWidth="1"/>
    <col min="1033" max="1034" width="12.5546875" style="136" customWidth="1"/>
    <col min="1035" max="1281" width="9.109375" style="136"/>
    <col min="1282" max="1282" width="10.5546875" style="136" customWidth="1"/>
    <col min="1283" max="1283" width="27.6640625" style="136" customWidth="1"/>
    <col min="1284" max="1284" width="14.44140625" style="136" customWidth="1"/>
    <col min="1285" max="1286" width="15" style="136" customWidth="1"/>
    <col min="1287" max="1287" width="16.6640625" style="136" customWidth="1"/>
    <col min="1288" max="1288" width="13.109375" style="136" customWidth="1"/>
    <col min="1289" max="1290" width="12.5546875" style="136" customWidth="1"/>
    <col min="1291" max="1537" width="9.109375" style="136"/>
    <col min="1538" max="1538" width="10.5546875" style="136" customWidth="1"/>
    <col min="1539" max="1539" width="27.6640625" style="136" customWidth="1"/>
    <col min="1540" max="1540" width="14.44140625" style="136" customWidth="1"/>
    <col min="1541" max="1542" width="15" style="136" customWidth="1"/>
    <col min="1543" max="1543" width="16.6640625" style="136" customWidth="1"/>
    <col min="1544" max="1544" width="13.109375" style="136" customWidth="1"/>
    <col min="1545" max="1546" width="12.5546875" style="136" customWidth="1"/>
    <col min="1547" max="1793" width="9.109375" style="136"/>
    <col min="1794" max="1794" width="10.5546875" style="136" customWidth="1"/>
    <col min="1795" max="1795" width="27.6640625" style="136" customWidth="1"/>
    <col min="1796" max="1796" width="14.44140625" style="136" customWidth="1"/>
    <col min="1797" max="1798" width="15" style="136" customWidth="1"/>
    <col min="1799" max="1799" width="16.6640625" style="136" customWidth="1"/>
    <col min="1800" max="1800" width="13.109375" style="136" customWidth="1"/>
    <col min="1801" max="1802" width="12.5546875" style="136" customWidth="1"/>
    <col min="1803" max="2049" width="9.109375" style="136"/>
    <col min="2050" max="2050" width="10.5546875" style="136" customWidth="1"/>
    <col min="2051" max="2051" width="27.6640625" style="136" customWidth="1"/>
    <col min="2052" max="2052" width="14.44140625" style="136" customWidth="1"/>
    <col min="2053" max="2054" width="15" style="136" customWidth="1"/>
    <col min="2055" max="2055" width="16.6640625" style="136" customWidth="1"/>
    <col min="2056" max="2056" width="13.109375" style="136" customWidth="1"/>
    <col min="2057" max="2058" width="12.5546875" style="136" customWidth="1"/>
    <col min="2059" max="2305" width="9.109375" style="136"/>
    <col min="2306" max="2306" width="10.5546875" style="136" customWidth="1"/>
    <col min="2307" max="2307" width="27.6640625" style="136" customWidth="1"/>
    <col min="2308" max="2308" width="14.44140625" style="136" customWidth="1"/>
    <col min="2309" max="2310" width="15" style="136" customWidth="1"/>
    <col min="2311" max="2311" width="16.6640625" style="136" customWidth="1"/>
    <col min="2312" max="2312" width="13.109375" style="136" customWidth="1"/>
    <col min="2313" max="2314" width="12.5546875" style="136" customWidth="1"/>
    <col min="2315" max="2561" width="9.109375" style="136"/>
    <col min="2562" max="2562" width="10.5546875" style="136" customWidth="1"/>
    <col min="2563" max="2563" width="27.6640625" style="136" customWidth="1"/>
    <col min="2564" max="2564" width="14.44140625" style="136" customWidth="1"/>
    <col min="2565" max="2566" width="15" style="136" customWidth="1"/>
    <col min="2567" max="2567" width="16.6640625" style="136" customWidth="1"/>
    <col min="2568" max="2568" width="13.109375" style="136" customWidth="1"/>
    <col min="2569" max="2570" width="12.5546875" style="136" customWidth="1"/>
    <col min="2571" max="2817" width="9.109375" style="136"/>
    <col min="2818" max="2818" width="10.5546875" style="136" customWidth="1"/>
    <col min="2819" max="2819" width="27.6640625" style="136" customWidth="1"/>
    <col min="2820" max="2820" width="14.44140625" style="136" customWidth="1"/>
    <col min="2821" max="2822" width="15" style="136" customWidth="1"/>
    <col min="2823" max="2823" width="16.6640625" style="136" customWidth="1"/>
    <col min="2824" max="2824" width="13.109375" style="136" customWidth="1"/>
    <col min="2825" max="2826" width="12.5546875" style="136" customWidth="1"/>
    <col min="2827" max="3073" width="9.109375" style="136"/>
    <col min="3074" max="3074" width="10.5546875" style="136" customWidth="1"/>
    <col min="3075" max="3075" width="27.6640625" style="136" customWidth="1"/>
    <col min="3076" max="3076" width="14.44140625" style="136" customWidth="1"/>
    <col min="3077" max="3078" width="15" style="136" customWidth="1"/>
    <col min="3079" max="3079" width="16.6640625" style="136" customWidth="1"/>
    <col min="3080" max="3080" width="13.109375" style="136" customWidth="1"/>
    <col min="3081" max="3082" width="12.5546875" style="136" customWidth="1"/>
    <col min="3083" max="3329" width="9.109375" style="136"/>
    <col min="3330" max="3330" width="10.5546875" style="136" customWidth="1"/>
    <col min="3331" max="3331" width="27.6640625" style="136" customWidth="1"/>
    <col min="3332" max="3332" width="14.44140625" style="136" customWidth="1"/>
    <col min="3333" max="3334" width="15" style="136" customWidth="1"/>
    <col min="3335" max="3335" width="16.6640625" style="136" customWidth="1"/>
    <col min="3336" max="3336" width="13.109375" style="136" customWidth="1"/>
    <col min="3337" max="3338" width="12.5546875" style="136" customWidth="1"/>
    <col min="3339" max="3585" width="9.109375" style="136"/>
    <col min="3586" max="3586" width="10.5546875" style="136" customWidth="1"/>
    <col min="3587" max="3587" width="27.6640625" style="136" customWidth="1"/>
    <col min="3588" max="3588" width="14.44140625" style="136" customWidth="1"/>
    <col min="3589" max="3590" width="15" style="136" customWidth="1"/>
    <col min="3591" max="3591" width="16.6640625" style="136" customWidth="1"/>
    <col min="3592" max="3592" width="13.109375" style="136" customWidth="1"/>
    <col min="3593" max="3594" width="12.5546875" style="136" customWidth="1"/>
    <col min="3595" max="3841" width="9.109375" style="136"/>
    <col min="3842" max="3842" width="10.5546875" style="136" customWidth="1"/>
    <col min="3843" max="3843" width="27.6640625" style="136" customWidth="1"/>
    <col min="3844" max="3844" width="14.44140625" style="136" customWidth="1"/>
    <col min="3845" max="3846" width="15" style="136" customWidth="1"/>
    <col min="3847" max="3847" width="16.6640625" style="136" customWidth="1"/>
    <col min="3848" max="3848" width="13.109375" style="136" customWidth="1"/>
    <col min="3849" max="3850" width="12.5546875" style="136" customWidth="1"/>
    <col min="3851" max="4097" width="9.109375" style="136"/>
    <col min="4098" max="4098" width="10.5546875" style="136" customWidth="1"/>
    <col min="4099" max="4099" width="27.6640625" style="136" customWidth="1"/>
    <col min="4100" max="4100" width="14.44140625" style="136" customWidth="1"/>
    <col min="4101" max="4102" width="15" style="136" customWidth="1"/>
    <col min="4103" max="4103" width="16.6640625" style="136" customWidth="1"/>
    <col min="4104" max="4104" width="13.109375" style="136" customWidth="1"/>
    <col min="4105" max="4106" width="12.5546875" style="136" customWidth="1"/>
    <col min="4107" max="4353" width="9.109375" style="136"/>
    <col min="4354" max="4354" width="10.5546875" style="136" customWidth="1"/>
    <col min="4355" max="4355" width="27.6640625" style="136" customWidth="1"/>
    <col min="4356" max="4356" width="14.44140625" style="136" customWidth="1"/>
    <col min="4357" max="4358" width="15" style="136" customWidth="1"/>
    <col min="4359" max="4359" width="16.6640625" style="136" customWidth="1"/>
    <col min="4360" max="4360" width="13.109375" style="136" customWidth="1"/>
    <col min="4361" max="4362" width="12.5546875" style="136" customWidth="1"/>
    <col min="4363" max="4609" width="9.109375" style="136"/>
    <col min="4610" max="4610" width="10.5546875" style="136" customWidth="1"/>
    <col min="4611" max="4611" width="27.6640625" style="136" customWidth="1"/>
    <col min="4612" max="4612" width="14.44140625" style="136" customWidth="1"/>
    <col min="4613" max="4614" width="15" style="136" customWidth="1"/>
    <col min="4615" max="4615" width="16.6640625" style="136" customWidth="1"/>
    <col min="4616" max="4616" width="13.109375" style="136" customWidth="1"/>
    <col min="4617" max="4618" width="12.5546875" style="136" customWidth="1"/>
    <col min="4619" max="4865" width="9.109375" style="136"/>
    <col min="4866" max="4866" width="10.5546875" style="136" customWidth="1"/>
    <col min="4867" max="4867" width="27.6640625" style="136" customWidth="1"/>
    <col min="4868" max="4868" width="14.44140625" style="136" customWidth="1"/>
    <col min="4869" max="4870" width="15" style="136" customWidth="1"/>
    <col min="4871" max="4871" width="16.6640625" style="136" customWidth="1"/>
    <col min="4872" max="4872" width="13.109375" style="136" customWidth="1"/>
    <col min="4873" max="4874" width="12.5546875" style="136" customWidth="1"/>
    <col min="4875" max="5121" width="9.109375" style="136"/>
    <col min="5122" max="5122" width="10.5546875" style="136" customWidth="1"/>
    <col min="5123" max="5123" width="27.6640625" style="136" customWidth="1"/>
    <col min="5124" max="5124" width="14.44140625" style="136" customWidth="1"/>
    <col min="5125" max="5126" width="15" style="136" customWidth="1"/>
    <col min="5127" max="5127" width="16.6640625" style="136" customWidth="1"/>
    <col min="5128" max="5128" width="13.109375" style="136" customWidth="1"/>
    <col min="5129" max="5130" width="12.5546875" style="136" customWidth="1"/>
    <col min="5131" max="5377" width="9.109375" style="136"/>
    <col min="5378" max="5378" width="10.5546875" style="136" customWidth="1"/>
    <col min="5379" max="5379" width="27.6640625" style="136" customWidth="1"/>
    <col min="5380" max="5380" width="14.44140625" style="136" customWidth="1"/>
    <col min="5381" max="5382" width="15" style="136" customWidth="1"/>
    <col min="5383" max="5383" width="16.6640625" style="136" customWidth="1"/>
    <col min="5384" max="5384" width="13.109375" style="136" customWidth="1"/>
    <col min="5385" max="5386" width="12.5546875" style="136" customWidth="1"/>
    <col min="5387" max="5633" width="9.109375" style="136"/>
    <col min="5634" max="5634" width="10.5546875" style="136" customWidth="1"/>
    <col min="5635" max="5635" width="27.6640625" style="136" customWidth="1"/>
    <col min="5636" max="5636" width="14.44140625" style="136" customWidth="1"/>
    <col min="5637" max="5638" width="15" style="136" customWidth="1"/>
    <col min="5639" max="5639" width="16.6640625" style="136" customWidth="1"/>
    <col min="5640" max="5640" width="13.109375" style="136" customWidth="1"/>
    <col min="5641" max="5642" width="12.5546875" style="136" customWidth="1"/>
    <col min="5643" max="5889" width="9.109375" style="136"/>
    <col min="5890" max="5890" width="10.5546875" style="136" customWidth="1"/>
    <col min="5891" max="5891" width="27.6640625" style="136" customWidth="1"/>
    <col min="5892" max="5892" width="14.44140625" style="136" customWidth="1"/>
    <col min="5893" max="5894" width="15" style="136" customWidth="1"/>
    <col min="5895" max="5895" width="16.6640625" style="136" customWidth="1"/>
    <col min="5896" max="5896" width="13.109375" style="136" customWidth="1"/>
    <col min="5897" max="5898" width="12.5546875" style="136" customWidth="1"/>
    <col min="5899" max="6145" width="9.109375" style="136"/>
    <col min="6146" max="6146" width="10.5546875" style="136" customWidth="1"/>
    <col min="6147" max="6147" width="27.6640625" style="136" customWidth="1"/>
    <col min="6148" max="6148" width="14.44140625" style="136" customWidth="1"/>
    <col min="6149" max="6150" width="15" style="136" customWidth="1"/>
    <col min="6151" max="6151" width="16.6640625" style="136" customWidth="1"/>
    <col min="6152" max="6152" width="13.109375" style="136" customWidth="1"/>
    <col min="6153" max="6154" width="12.5546875" style="136" customWidth="1"/>
    <col min="6155" max="6401" width="9.109375" style="136"/>
    <col min="6402" max="6402" width="10.5546875" style="136" customWidth="1"/>
    <col min="6403" max="6403" width="27.6640625" style="136" customWidth="1"/>
    <col min="6404" max="6404" width="14.44140625" style="136" customWidth="1"/>
    <col min="6405" max="6406" width="15" style="136" customWidth="1"/>
    <col min="6407" max="6407" width="16.6640625" style="136" customWidth="1"/>
    <col min="6408" max="6408" width="13.109375" style="136" customWidth="1"/>
    <col min="6409" max="6410" width="12.5546875" style="136" customWidth="1"/>
    <col min="6411" max="6657" width="9.109375" style="136"/>
    <col min="6658" max="6658" width="10.5546875" style="136" customWidth="1"/>
    <col min="6659" max="6659" width="27.6640625" style="136" customWidth="1"/>
    <col min="6660" max="6660" width="14.44140625" style="136" customWidth="1"/>
    <col min="6661" max="6662" width="15" style="136" customWidth="1"/>
    <col min="6663" max="6663" width="16.6640625" style="136" customWidth="1"/>
    <col min="6664" max="6664" width="13.109375" style="136" customWidth="1"/>
    <col min="6665" max="6666" width="12.5546875" style="136" customWidth="1"/>
    <col min="6667" max="6913" width="9.109375" style="136"/>
    <col min="6914" max="6914" width="10.5546875" style="136" customWidth="1"/>
    <col min="6915" max="6915" width="27.6640625" style="136" customWidth="1"/>
    <col min="6916" max="6916" width="14.44140625" style="136" customWidth="1"/>
    <col min="6917" max="6918" width="15" style="136" customWidth="1"/>
    <col min="6919" max="6919" width="16.6640625" style="136" customWidth="1"/>
    <col min="6920" max="6920" width="13.109375" style="136" customWidth="1"/>
    <col min="6921" max="6922" width="12.5546875" style="136" customWidth="1"/>
    <col min="6923" max="7169" width="9.109375" style="136"/>
    <col min="7170" max="7170" width="10.5546875" style="136" customWidth="1"/>
    <col min="7171" max="7171" width="27.6640625" style="136" customWidth="1"/>
    <col min="7172" max="7172" width="14.44140625" style="136" customWidth="1"/>
    <col min="7173" max="7174" width="15" style="136" customWidth="1"/>
    <col min="7175" max="7175" width="16.6640625" style="136" customWidth="1"/>
    <col min="7176" max="7176" width="13.109375" style="136" customWidth="1"/>
    <col min="7177" max="7178" width="12.5546875" style="136" customWidth="1"/>
    <col min="7179" max="7425" width="9.109375" style="136"/>
    <col min="7426" max="7426" width="10.5546875" style="136" customWidth="1"/>
    <col min="7427" max="7427" width="27.6640625" style="136" customWidth="1"/>
    <col min="7428" max="7428" width="14.44140625" style="136" customWidth="1"/>
    <col min="7429" max="7430" width="15" style="136" customWidth="1"/>
    <col min="7431" max="7431" width="16.6640625" style="136" customWidth="1"/>
    <col min="7432" max="7432" width="13.109375" style="136" customWidth="1"/>
    <col min="7433" max="7434" width="12.5546875" style="136" customWidth="1"/>
    <col min="7435" max="7681" width="9.109375" style="136"/>
    <col min="7682" max="7682" width="10.5546875" style="136" customWidth="1"/>
    <col min="7683" max="7683" width="27.6640625" style="136" customWidth="1"/>
    <col min="7684" max="7684" width="14.44140625" style="136" customWidth="1"/>
    <col min="7685" max="7686" width="15" style="136" customWidth="1"/>
    <col min="7687" max="7687" width="16.6640625" style="136" customWidth="1"/>
    <col min="7688" max="7688" width="13.109375" style="136" customWidth="1"/>
    <col min="7689" max="7690" width="12.5546875" style="136" customWidth="1"/>
    <col min="7691" max="7937" width="9.109375" style="136"/>
    <col min="7938" max="7938" width="10.5546875" style="136" customWidth="1"/>
    <col min="7939" max="7939" width="27.6640625" style="136" customWidth="1"/>
    <col min="7940" max="7940" width="14.44140625" style="136" customWidth="1"/>
    <col min="7941" max="7942" width="15" style="136" customWidth="1"/>
    <col min="7943" max="7943" width="16.6640625" style="136" customWidth="1"/>
    <col min="7944" max="7944" width="13.109375" style="136" customWidth="1"/>
    <col min="7945" max="7946" width="12.5546875" style="136" customWidth="1"/>
    <col min="7947" max="8193" width="9.109375" style="136"/>
    <col min="8194" max="8194" width="10.5546875" style="136" customWidth="1"/>
    <col min="8195" max="8195" width="27.6640625" style="136" customWidth="1"/>
    <col min="8196" max="8196" width="14.44140625" style="136" customWidth="1"/>
    <col min="8197" max="8198" width="15" style="136" customWidth="1"/>
    <col min="8199" max="8199" width="16.6640625" style="136" customWidth="1"/>
    <col min="8200" max="8200" width="13.109375" style="136" customWidth="1"/>
    <col min="8201" max="8202" width="12.5546875" style="136" customWidth="1"/>
    <col min="8203" max="8449" width="9.109375" style="136"/>
    <col min="8450" max="8450" width="10.5546875" style="136" customWidth="1"/>
    <col min="8451" max="8451" width="27.6640625" style="136" customWidth="1"/>
    <col min="8452" max="8452" width="14.44140625" style="136" customWidth="1"/>
    <col min="8453" max="8454" width="15" style="136" customWidth="1"/>
    <col min="8455" max="8455" width="16.6640625" style="136" customWidth="1"/>
    <col min="8456" max="8456" width="13.109375" style="136" customWidth="1"/>
    <col min="8457" max="8458" width="12.5546875" style="136" customWidth="1"/>
    <col min="8459" max="8705" width="9.109375" style="136"/>
    <col min="8706" max="8706" width="10.5546875" style="136" customWidth="1"/>
    <col min="8707" max="8707" width="27.6640625" style="136" customWidth="1"/>
    <col min="8708" max="8708" width="14.44140625" style="136" customWidth="1"/>
    <col min="8709" max="8710" width="15" style="136" customWidth="1"/>
    <col min="8711" max="8711" width="16.6640625" style="136" customWidth="1"/>
    <col min="8712" max="8712" width="13.109375" style="136" customWidth="1"/>
    <col min="8713" max="8714" width="12.5546875" style="136" customWidth="1"/>
    <col min="8715" max="8961" width="9.109375" style="136"/>
    <col min="8962" max="8962" width="10.5546875" style="136" customWidth="1"/>
    <col min="8963" max="8963" width="27.6640625" style="136" customWidth="1"/>
    <col min="8964" max="8964" width="14.44140625" style="136" customWidth="1"/>
    <col min="8965" max="8966" width="15" style="136" customWidth="1"/>
    <col min="8967" max="8967" width="16.6640625" style="136" customWidth="1"/>
    <col min="8968" max="8968" width="13.109375" style="136" customWidth="1"/>
    <col min="8969" max="8970" width="12.5546875" style="136" customWidth="1"/>
    <col min="8971" max="9217" width="9.109375" style="136"/>
    <col min="9218" max="9218" width="10.5546875" style="136" customWidth="1"/>
    <col min="9219" max="9219" width="27.6640625" style="136" customWidth="1"/>
    <col min="9220" max="9220" width="14.44140625" style="136" customWidth="1"/>
    <col min="9221" max="9222" width="15" style="136" customWidth="1"/>
    <col min="9223" max="9223" width="16.6640625" style="136" customWidth="1"/>
    <col min="9224" max="9224" width="13.109375" style="136" customWidth="1"/>
    <col min="9225" max="9226" width="12.5546875" style="136" customWidth="1"/>
    <col min="9227" max="9473" width="9.109375" style="136"/>
    <col min="9474" max="9474" width="10.5546875" style="136" customWidth="1"/>
    <col min="9475" max="9475" width="27.6640625" style="136" customWidth="1"/>
    <col min="9476" max="9476" width="14.44140625" style="136" customWidth="1"/>
    <col min="9477" max="9478" width="15" style="136" customWidth="1"/>
    <col min="9479" max="9479" width="16.6640625" style="136" customWidth="1"/>
    <col min="9480" max="9480" width="13.109375" style="136" customWidth="1"/>
    <col min="9481" max="9482" width="12.5546875" style="136" customWidth="1"/>
    <col min="9483" max="9729" width="9.109375" style="136"/>
    <col min="9730" max="9730" width="10.5546875" style="136" customWidth="1"/>
    <col min="9731" max="9731" width="27.6640625" style="136" customWidth="1"/>
    <col min="9732" max="9732" width="14.44140625" style="136" customWidth="1"/>
    <col min="9733" max="9734" width="15" style="136" customWidth="1"/>
    <col min="9735" max="9735" width="16.6640625" style="136" customWidth="1"/>
    <col min="9736" max="9736" width="13.109375" style="136" customWidth="1"/>
    <col min="9737" max="9738" width="12.5546875" style="136" customWidth="1"/>
    <col min="9739" max="9985" width="9.109375" style="136"/>
    <col min="9986" max="9986" width="10.5546875" style="136" customWidth="1"/>
    <col min="9987" max="9987" width="27.6640625" style="136" customWidth="1"/>
    <col min="9988" max="9988" width="14.44140625" style="136" customWidth="1"/>
    <col min="9989" max="9990" width="15" style="136" customWidth="1"/>
    <col min="9991" max="9991" width="16.6640625" style="136" customWidth="1"/>
    <col min="9992" max="9992" width="13.109375" style="136" customWidth="1"/>
    <col min="9993" max="9994" width="12.5546875" style="136" customWidth="1"/>
    <col min="9995" max="10241" width="9.109375" style="136"/>
    <col min="10242" max="10242" width="10.5546875" style="136" customWidth="1"/>
    <col min="10243" max="10243" width="27.6640625" style="136" customWidth="1"/>
    <col min="10244" max="10244" width="14.44140625" style="136" customWidth="1"/>
    <col min="10245" max="10246" width="15" style="136" customWidth="1"/>
    <col min="10247" max="10247" width="16.6640625" style="136" customWidth="1"/>
    <col min="10248" max="10248" width="13.109375" style="136" customWidth="1"/>
    <col min="10249" max="10250" width="12.5546875" style="136" customWidth="1"/>
    <col min="10251" max="10497" width="9.109375" style="136"/>
    <col min="10498" max="10498" width="10.5546875" style="136" customWidth="1"/>
    <col min="10499" max="10499" width="27.6640625" style="136" customWidth="1"/>
    <col min="10500" max="10500" width="14.44140625" style="136" customWidth="1"/>
    <col min="10501" max="10502" width="15" style="136" customWidth="1"/>
    <col min="10503" max="10503" width="16.6640625" style="136" customWidth="1"/>
    <col min="10504" max="10504" width="13.109375" style="136" customWidth="1"/>
    <col min="10505" max="10506" width="12.5546875" style="136" customWidth="1"/>
    <col min="10507" max="10753" width="9.109375" style="136"/>
    <col min="10754" max="10754" width="10.5546875" style="136" customWidth="1"/>
    <col min="10755" max="10755" width="27.6640625" style="136" customWidth="1"/>
    <col min="10756" max="10756" width="14.44140625" style="136" customWidth="1"/>
    <col min="10757" max="10758" width="15" style="136" customWidth="1"/>
    <col min="10759" max="10759" width="16.6640625" style="136" customWidth="1"/>
    <col min="10760" max="10760" width="13.109375" style="136" customWidth="1"/>
    <col min="10761" max="10762" width="12.5546875" style="136" customWidth="1"/>
    <col min="10763" max="11009" width="9.109375" style="136"/>
    <col min="11010" max="11010" width="10.5546875" style="136" customWidth="1"/>
    <col min="11011" max="11011" width="27.6640625" style="136" customWidth="1"/>
    <col min="11012" max="11012" width="14.44140625" style="136" customWidth="1"/>
    <col min="11013" max="11014" width="15" style="136" customWidth="1"/>
    <col min="11015" max="11015" width="16.6640625" style="136" customWidth="1"/>
    <col min="11016" max="11016" width="13.109375" style="136" customWidth="1"/>
    <col min="11017" max="11018" width="12.5546875" style="136" customWidth="1"/>
    <col min="11019" max="11265" width="9.109375" style="136"/>
    <col min="11266" max="11266" width="10.5546875" style="136" customWidth="1"/>
    <col min="11267" max="11267" width="27.6640625" style="136" customWidth="1"/>
    <col min="11268" max="11268" width="14.44140625" style="136" customWidth="1"/>
    <col min="11269" max="11270" width="15" style="136" customWidth="1"/>
    <col min="11271" max="11271" width="16.6640625" style="136" customWidth="1"/>
    <col min="11272" max="11272" width="13.109375" style="136" customWidth="1"/>
    <col min="11273" max="11274" width="12.5546875" style="136" customWidth="1"/>
    <col min="11275" max="11521" width="9.109375" style="136"/>
    <col min="11522" max="11522" width="10.5546875" style="136" customWidth="1"/>
    <col min="11523" max="11523" width="27.6640625" style="136" customWidth="1"/>
    <col min="11524" max="11524" width="14.44140625" style="136" customWidth="1"/>
    <col min="11525" max="11526" width="15" style="136" customWidth="1"/>
    <col min="11527" max="11527" width="16.6640625" style="136" customWidth="1"/>
    <col min="11528" max="11528" width="13.109375" style="136" customWidth="1"/>
    <col min="11529" max="11530" width="12.5546875" style="136" customWidth="1"/>
    <col min="11531" max="11777" width="9.109375" style="136"/>
    <col min="11778" max="11778" width="10.5546875" style="136" customWidth="1"/>
    <col min="11779" max="11779" width="27.6640625" style="136" customWidth="1"/>
    <col min="11780" max="11780" width="14.44140625" style="136" customWidth="1"/>
    <col min="11781" max="11782" width="15" style="136" customWidth="1"/>
    <col min="11783" max="11783" width="16.6640625" style="136" customWidth="1"/>
    <col min="11784" max="11784" width="13.109375" style="136" customWidth="1"/>
    <col min="11785" max="11786" width="12.5546875" style="136" customWidth="1"/>
    <col min="11787" max="12033" width="9.109375" style="136"/>
    <col min="12034" max="12034" width="10.5546875" style="136" customWidth="1"/>
    <col min="12035" max="12035" width="27.6640625" style="136" customWidth="1"/>
    <col min="12036" max="12036" width="14.44140625" style="136" customWidth="1"/>
    <col min="12037" max="12038" width="15" style="136" customWidth="1"/>
    <col min="12039" max="12039" width="16.6640625" style="136" customWidth="1"/>
    <col min="12040" max="12040" width="13.109375" style="136" customWidth="1"/>
    <col min="12041" max="12042" width="12.5546875" style="136" customWidth="1"/>
    <col min="12043" max="12289" width="9.109375" style="136"/>
    <col min="12290" max="12290" width="10.5546875" style="136" customWidth="1"/>
    <col min="12291" max="12291" width="27.6640625" style="136" customWidth="1"/>
    <col min="12292" max="12292" width="14.44140625" style="136" customWidth="1"/>
    <col min="12293" max="12294" width="15" style="136" customWidth="1"/>
    <col min="12295" max="12295" width="16.6640625" style="136" customWidth="1"/>
    <col min="12296" max="12296" width="13.109375" style="136" customWidth="1"/>
    <col min="12297" max="12298" width="12.5546875" style="136" customWidth="1"/>
    <col min="12299" max="12545" width="9.109375" style="136"/>
    <col min="12546" max="12546" width="10.5546875" style="136" customWidth="1"/>
    <col min="12547" max="12547" width="27.6640625" style="136" customWidth="1"/>
    <col min="12548" max="12548" width="14.44140625" style="136" customWidth="1"/>
    <col min="12549" max="12550" width="15" style="136" customWidth="1"/>
    <col min="12551" max="12551" width="16.6640625" style="136" customWidth="1"/>
    <col min="12552" max="12552" width="13.109375" style="136" customWidth="1"/>
    <col min="12553" max="12554" width="12.5546875" style="136" customWidth="1"/>
    <col min="12555" max="12801" width="9.109375" style="136"/>
    <col min="12802" max="12802" width="10.5546875" style="136" customWidth="1"/>
    <col min="12803" max="12803" width="27.6640625" style="136" customWidth="1"/>
    <col min="12804" max="12804" width="14.44140625" style="136" customWidth="1"/>
    <col min="12805" max="12806" width="15" style="136" customWidth="1"/>
    <col min="12807" max="12807" width="16.6640625" style="136" customWidth="1"/>
    <col min="12808" max="12808" width="13.109375" style="136" customWidth="1"/>
    <col min="12809" max="12810" width="12.5546875" style="136" customWidth="1"/>
    <col min="12811" max="13057" width="9.109375" style="136"/>
    <col min="13058" max="13058" width="10.5546875" style="136" customWidth="1"/>
    <col min="13059" max="13059" width="27.6640625" style="136" customWidth="1"/>
    <col min="13060" max="13060" width="14.44140625" style="136" customWidth="1"/>
    <col min="13061" max="13062" width="15" style="136" customWidth="1"/>
    <col min="13063" max="13063" width="16.6640625" style="136" customWidth="1"/>
    <col min="13064" max="13064" width="13.109375" style="136" customWidth="1"/>
    <col min="13065" max="13066" width="12.5546875" style="136" customWidth="1"/>
    <col min="13067" max="13313" width="9.109375" style="136"/>
    <col min="13314" max="13314" width="10.5546875" style="136" customWidth="1"/>
    <col min="13315" max="13315" width="27.6640625" style="136" customWidth="1"/>
    <col min="13316" max="13316" width="14.44140625" style="136" customWidth="1"/>
    <col min="13317" max="13318" width="15" style="136" customWidth="1"/>
    <col min="13319" max="13319" width="16.6640625" style="136" customWidth="1"/>
    <col min="13320" max="13320" width="13.109375" style="136" customWidth="1"/>
    <col min="13321" max="13322" width="12.5546875" style="136" customWidth="1"/>
    <col min="13323" max="13569" width="9.109375" style="136"/>
    <col min="13570" max="13570" width="10.5546875" style="136" customWidth="1"/>
    <col min="13571" max="13571" width="27.6640625" style="136" customWidth="1"/>
    <col min="13572" max="13572" width="14.44140625" style="136" customWidth="1"/>
    <col min="13573" max="13574" width="15" style="136" customWidth="1"/>
    <col min="13575" max="13575" width="16.6640625" style="136" customWidth="1"/>
    <col min="13576" max="13576" width="13.109375" style="136" customWidth="1"/>
    <col min="13577" max="13578" width="12.5546875" style="136" customWidth="1"/>
    <col min="13579" max="13825" width="9.109375" style="136"/>
    <col min="13826" max="13826" width="10.5546875" style="136" customWidth="1"/>
    <col min="13827" max="13827" width="27.6640625" style="136" customWidth="1"/>
    <col min="13828" max="13828" width="14.44140625" style="136" customWidth="1"/>
    <col min="13829" max="13830" width="15" style="136" customWidth="1"/>
    <col min="13831" max="13831" width="16.6640625" style="136" customWidth="1"/>
    <col min="13832" max="13832" width="13.109375" style="136" customWidth="1"/>
    <col min="13833" max="13834" width="12.5546875" style="136" customWidth="1"/>
    <col min="13835" max="14081" width="9.109375" style="136"/>
    <col min="14082" max="14082" width="10.5546875" style="136" customWidth="1"/>
    <col min="14083" max="14083" width="27.6640625" style="136" customWidth="1"/>
    <col min="14084" max="14084" width="14.44140625" style="136" customWidth="1"/>
    <col min="14085" max="14086" width="15" style="136" customWidth="1"/>
    <col min="14087" max="14087" width="16.6640625" style="136" customWidth="1"/>
    <col min="14088" max="14088" width="13.109375" style="136" customWidth="1"/>
    <col min="14089" max="14090" width="12.5546875" style="136" customWidth="1"/>
    <col min="14091" max="14337" width="9.109375" style="136"/>
    <col min="14338" max="14338" width="10.5546875" style="136" customWidth="1"/>
    <col min="14339" max="14339" width="27.6640625" style="136" customWidth="1"/>
    <col min="14340" max="14340" width="14.44140625" style="136" customWidth="1"/>
    <col min="14341" max="14342" width="15" style="136" customWidth="1"/>
    <col min="14343" max="14343" width="16.6640625" style="136" customWidth="1"/>
    <col min="14344" max="14344" width="13.109375" style="136" customWidth="1"/>
    <col min="14345" max="14346" width="12.5546875" style="136" customWidth="1"/>
    <col min="14347" max="14593" width="9.109375" style="136"/>
    <col min="14594" max="14594" width="10.5546875" style="136" customWidth="1"/>
    <col min="14595" max="14595" width="27.6640625" style="136" customWidth="1"/>
    <col min="14596" max="14596" width="14.44140625" style="136" customWidth="1"/>
    <col min="14597" max="14598" width="15" style="136" customWidth="1"/>
    <col min="14599" max="14599" width="16.6640625" style="136" customWidth="1"/>
    <col min="14600" max="14600" width="13.109375" style="136" customWidth="1"/>
    <col min="14601" max="14602" width="12.5546875" style="136" customWidth="1"/>
    <col min="14603" max="14849" width="9.109375" style="136"/>
    <col min="14850" max="14850" width="10.5546875" style="136" customWidth="1"/>
    <col min="14851" max="14851" width="27.6640625" style="136" customWidth="1"/>
    <col min="14852" max="14852" width="14.44140625" style="136" customWidth="1"/>
    <col min="14853" max="14854" width="15" style="136" customWidth="1"/>
    <col min="14855" max="14855" width="16.6640625" style="136" customWidth="1"/>
    <col min="14856" max="14856" width="13.109375" style="136" customWidth="1"/>
    <col min="14857" max="14858" width="12.5546875" style="136" customWidth="1"/>
    <col min="14859" max="15105" width="9.109375" style="136"/>
    <col min="15106" max="15106" width="10.5546875" style="136" customWidth="1"/>
    <col min="15107" max="15107" width="27.6640625" style="136" customWidth="1"/>
    <col min="15108" max="15108" width="14.44140625" style="136" customWidth="1"/>
    <col min="15109" max="15110" width="15" style="136" customWidth="1"/>
    <col min="15111" max="15111" width="16.6640625" style="136" customWidth="1"/>
    <col min="15112" max="15112" width="13.109375" style="136" customWidth="1"/>
    <col min="15113" max="15114" width="12.5546875" style="136" customWidth="1"/>
    <col min="15115" max="15361" width="9.109375" style="136"/>
    <col min="15362" max="15362" width="10.5546875" style="136" customWidth="1"/>
    <col min="15363" max="15363" width="27.6640625" style="136" customWidth="1"/>
    <col min="15364" max="15364" width="14.44140625" style="136" customWidth="1"/>
    <col min="15365" max="15366" width="15" style="136" customWidth="1"/>
    <col min="15367" max="15367" width="16.6640625" style="136" customWidth="1"/>
    <col min="15368" max="15368" width="13.109375" style="136" customWidth="1"/>
    <col min="15369" max="15370" width="12.5546875" style="136" customWidth="1"/>
    <col min="15371" max="15617" width="9.109375" style="136"/>
    <col min="15618" max="15618" width="10.5546875" style="136" customWidth="1"/>
    <col min="15619" max="15619" width="27.6640625" style="136" customWidth="1"/>
    <col min="15620" max="15620" width="14.44140625" style="136" customWidth="1"/>
    <col min="15621" max="15622" width="15" style="136" customWidth="1"/>
    <col min="15623" max="15623" width="16.6640625" style="136" customWidth="1"/>
    <col min="15624" max="15624" width="13.109375" style="136" customWidth="1"/>
    <col min="15625" max="15626" width="12.5546875" style="136" customWidth="1"/>
    <col min="15627" max="15873" width="9.109375" style="136"/>
    <col min="15874" max="15874" width="10.5546875" style="136" customWidth="1"/>
    <col min="15875" max="15875" width="27.6640625" style="136" customWidth="1"/>
    <col min="15876" max="15876" width="14.44140625" style="136" customWidth="1"/>
    <col min="15877" max="15878" width="15" style="136" customWidth="1"/>
    <col min="15879" max="15879" width="16.6640625" style="136" customWidth="1"/>
    <col min="15880" max="15880" width="13.109375" style="136" customWidth="1"/>
    <col min="15881" max="15882" width="12.5546875" style="136" customWidth="1"/>
    <col min="15883" max="16129" width="9.109375" style="136"/>
    <col min="16130" max="16130" width="10.5546875" style="136" customWidth="1"/>
    <col min="16131" max="16131" width="27.6640625" style="136" customWidth="1"/>
    <col min="16132" max="16132" width="14.44140625" style="136" customWidth="1"/>
    <col min="16133" max="16134" width="15" style="136" customWidth="1"/>
    <col min="16135" max="16135" width="16.6640625" style="136" customWidth="1"/>
    <col min="16136" max="16136" width="13.109375" style="136" customWidth="1"/>
    <col min="16137" max="16138" width="12.5546875" style="136" customWidth="1"/>
    <col min="16139" max="16384" width="9.109375" style="136"/>
  </cols>
  <sheetData>
    <row r="1" spans="1:10" x14ac:dyDescent="0.3">
      <c r="A1" s="186"/>
      <c r="B1" s="187" t="str">
        <f>INSTRUÇÕES!B1</f>
        <v>Tribunal Regional Federal da 6ª Região</v>
      </c>
      <c r="C1" s="188"/>
      <c r="D1" s="188"/>
      <c r="E1" s="188"/>
      <c r="F1" s="189"/>
      <c r="G1" s="190"/>
      <c r="H1" s="663"/>
      <c r="I1" s="189"/>
      <c r="J1" s="191"/>
    </row>
    <row r="2" spans="1:10" x14ac:dyDescent="0.3">
      <c r="A2" s="192"/>
      <c r="B2" s="193" t="str">
        <f>INSTRUÇÕES!B2</f>
        <v>Seção Judiciária de Minas Gerais</v>
      </c>
      <c r="C2" s="194"/>
      <c r="D2" s="194"/>
      <c r="E2" s="194"/>
      <c r="F2" s="195"/>
      <c r="I2" s="195"/>
      <c r="J2" s="196"/>
    </row>
    <row r="3" spans="1:10" ht="14.4" thickBot="1" x14ac:dyDescent="0.35">
      <c r="A3" s="197"/>
      <c r="B3" s="198" t="str">
        <f>INSTRUÇÕES!B3</f>
        <v>Subseção Judiciária de Sete Lagoas</v>
      </c>
      <c r="C3" s="194"/>
      <c r="D3" s="194"/>
      <c r="E3" s="194"/>
      <c r="F3" s="195"/>
      <c r="I3" s="195"/>
      <c r="J3" s="196"/>
    </row>
    <row r="4" spans="1:10" ht="20.100000000000001" customHeight="1" thickBot="1" x14ac:dyDescent="0.35">
      <c r="A4" s="1206" t="s">
        <v>604</v>
      </c>
      <c r="B4" s="1207"/>
      <c r="C4" s="1207"/>
      <c r="D4" s="1207"/>
      <c r="E4" s="1207"/>
      <c r="F4" s="1207"/>
      <c r="G4" s="1207"/>
      <c r="H4" s="1208"/>
      <c r="I4" s="1207"/>
      <c r="J4" s="1209"/>
    </row>
    <row r="5" spans="1:10" ht="20.100000000000001" customHeight="1" x14ac:dyDescent="0.3">
      <c r="A5" s="1210" t="s">
        <v>419</v>
      </c>
      <c r="B5" s="1211"/>
      <c r="C5" s="1211"/>
      <c r="D5" s="1211"/>
      <c r="E5" s="1211"/>
      <c r="F5" s="1211"/>
      <c r="G5" s="1211"/>
      <c r="H5" s="1212"/>
      <c r="I5" s="1211"/>
      <c r="J5" s="1213"/>
    </row>
    <row r="6" spans="1:10" ht="36" customHeight="1" thickBot="1" x14ac:dyDescent="0.35">
      <c r="A6" s="1214" t="str">
        <f>Dados!A4</f>
        <v>Sindicato utilizado - SINTAPPI/MG. Vigência: 01/04/2023 à 31/03/2024. Sendo a data base da categoria 01º de Abril. Com número de registro no MTE MG001474/2023.</v>
      </c>
      <c r="B6" s="1215"/>
      <c r="C6" s="1215"/>
      <c r="D6" s="1215"/>
      <c r="E6" s="1215"/>
      <c r="F6" s="1215"/>
      <c r="G6" s="1215"/>
      <c r="H6" s="1215"/>
      <c r="I6" s="1215"/>
      <c r="J6" s="1216"/>
    </row>
    <row r="7" spans="1:10" ht="20.100000000000001" customHeight="1" thickBot="1" x14ac:dyDescent="0.35">
      <c r="A7" s="1217" t="str">
        <f>Dados!C10</f>
        <v>Zelador com Acúmulo de Lavador de Carro</v>
      </c>
      <c r="B7" s="1218"/>
      <c r="C7" s="1218"/>
      <c r="D7" s="1218"/>
      <c r="E7" s="1219"/>
      <c r="F7" s="1220" t="s">
        <v>605</v>
      </c>
      <c r="G7" s="1221" t="s">
        <v>606</v>
      </c>
      <c r="H7" s="1220" t="s">
        <v>756</v>
      </c>
      <c r="I7" s="1220" t="s">
        <v>757</v>
      </c>
      <c r="J7" s="1222" t="s">
        <v>607</v>
      </c>
    </row>
    <row r="8" spans="1:10" ht="20.100000000000001" customHeight="1" thickBot="1" x14ac:dyDescent="0.35">
      <c r="A8" s="1223" t="s">
        <v>608</v>
      </c>
      <c r="B8" s="1224"/>
      <c r="C8" s="1224"/>
      <c r="D8" s="1224"/>
      <c r="E8" s="137" t="s">
        <v>527</v>
      </c>
      <c r="F8" s="1220"/>
      <c r="G8" s="1221"/>
      <c r="H8" s="1220"/>
      <c r="I8" s="1220"/>
      <c r="J8" s="1222"/>
    </row>
    <row r="9" spans="1:10" ht="20.100000000000001" customHeight="1" x14ac:dyDescent="0.3">
      <c r="A9" s="1225" t="s">
        <v>609</v>
      </c>
      <c r="B9" s="1226"/>
      <c r="C9" s="1226"/>
      <c r="D9" s="1226"/>
      <c r="E9" s="1226"/>
      <c r="F9" s="1226"/>
      <c r="G9" s="1226"/>
      <c r="H9" s="1227"/>
      <c r="I9" s="1226"/>
      <c r="J9" s="1228"/>
    </row>
    <row r="10" spans="1:10" ht="24" customHeight="1" x14ac:dyDescent="0.3">
      <c r="A10" s="199" t="s">
        <v>512</v>
      </c>
      <c r="B10" s="1229" t="s">
        <v>610</v>
      </c>
      <c r="C10" s="1229"/>
      <c r="D10" s="138" t="s">
        <v>611</v>
      </c>
      <c r="E10" s="139" t="s">
        <v>612</v>
      </c>
      <c r="F10" s="1230" t="s">
        <v>530</v>
      </c>
      <c r="G10" s="1230"/>
      <c r="H10" s="1231"/>
      <c r="I10" s="1230"/>
      <c r="J10" s="1232"/>
    </row>
    <row r="11" spans="1:10" ht="20.100000000000001" customHeight="1" x14ac:dyDescent="0.3">
      <c r="A11" s="1233">
        <v>1</v>
      </c>
      <c r="B11" s="1235" t="str">
        <f>A7</f>
        <v>Zelador com Acúmulo de Lavador de Carro</v>
      </c>
      <c r="C11" s="1235"/>
      <c r="D11" s="140">
        <f>Dados!$D$10</f>
        <v>200</v>
      </c>
      <c r="E11" s="166">
        <f>Dados!$E$10</f>
        <v>2151</v>
      </c>
      <c r="F11" s="160">
        <f>ROUND(E11/220*D11,2)</f>
        <v>1955.45</v>
      </c>
      <c r="G11" s="160">
        <f>F11</f>
        <v>1955.45</v>
      </c>
      <c r="H11" s="664"/>
      <c r="I11" s="160"/>
      <c r="J11" s="200"/>
    </row>
    <row r="12" spans="1:10" ht="20.100000000000001" customHeight="1" x14ac:dyDescent="0.3">
      <c r="A12" s="1233"/>
      <c r="B12" s="1235" t="s">
        <v>613</v>
      </c>
      <c r="C12" s="1235"/>
      <c r="D12" s="213">
        <f>Dados!G8</f>
        <v>0</v>
      </c>
      <c r="E12" s="166">
        <f>Dados!$G$28</f>
        <v>1320</v>
      </c>
      <c r="F12" s="160">
        <f>D12*E12</f>
        <v>0</v>
      </c>
      <c r="G12" s="160">
        <f>F12</f>
        <v>0</v>
      </c>
      <c r="H12" s="664"/>
      <c r="I12" s="160"/>
      <c r="J12" s="200">
        <f>F12</f>
        <v>0</v>
      </c>
    </row>
    <row r="13" spans="1:10" ht="30.75" customHeight="1" x14ac:dyDescent="0.3">
      <c r="A13" s="1233"/>
      <c r="B13" s="167" t="s">
        <v>614</v>
      </c>
      <c r="C13" s="168">
        <f>Dados!$I$10</f>
        <v>0.12</v>
      </c>
      <c r="D13" s="168">
        <f>Dados!$J$10</f>
        <v>0.1</v>
      </c>
      <c r="E13" s="169">
        <f>Dados!$K$10</f>
        <v>1955.45</v>
      </c>
      <c r="F13" s="163">
        <f>ROUND((E13*D13*C13),2)</f>
        <v>23.47</v>
      </c>
      <c r="G13" s="163">
        <f>F13</f>
        <v>23.47</v>
      </c>
      <c r="H13" s="665"/>
      <c r="I13" s="163"/>
      <c r="J13" s="201"/>
    </row>
    <row r="14" spans="1:10" ht="20.100000000000001" customHeight="1" x14ac:dyDescent="0.3">
      <c r="A14" s="1234"/>
      <c r="B14" s="1236" t="s">
        <v>615</v>
      </c>
      <c r="C14" s="1236"/>
      <c r="D14" s="1236"/>
      <c r="E14" s="1236"/>
      <c r="F14" s="171">
        <f>SUM(F11:F13)</f>
        <v>1978.92</v>
      </c>
      <c r="G14" s="171">
        <f>SUM(G11:G13)</f>
        <v>1978.92</v>
      </c>
      <c r="H14" s="171">
        <f>SUM(H11:H13)</f>
        <v>0</v>
      </c>
      <c r="I14" s="171">
        <f>SUM(I11:I13)</f>
        <v>0</v>
      </c>
      <c r="J14" s="202">
        <f>SUM(J11:J13)</f>
        <v>0</v>
      </c>
    </row>
    <row r="15" spans="1:10" ht="20.100000000000001" customHeight="1" thickBot="1" x14ac:dyDescent="0.35">
      <c r="A15" s="1233"/>
      <c r="B15" s="1237" t="s">
        <v>616</v>
      </c>
      <c r="C15" s="1237"/>
      <c r="D15" s="1237"/>
      <c r="E15" s="170">
        <f>Encargos!$C$57</f>
        <v>0.79049999999999998</v>
      </c>
      <c r="F15" s="160">
        <f>ROUND((E15*F14),2)</f>
        <v>1564.34</v>
      </c>
      <c r="G15" s="160">
        <f>F15</f>
        <v>1564.34</v>
      </c>
      <c r="H15" s="664"/>
      <c r="I15" s="160"/>
      <c r="J15" s="200">
        <f>ROUND((E15*J14),2)</f>
        <v>0</v>
      </c>
    </row>
    <row r="16" spans="1:10" ht="20.100000000000001" customHeight="1" thickBot="1" x14ac:dyDescent="0.35">
      <c r="A16" s="1240" t="s">
        <v>617</v>
      </c>
      <c r="B16" s="1241"/>
      <c r="C16" s="1241"/>
      <c r="D16" s="1241"/>
      <c r="E16" s="1241"/>
      <c r="F16" s="203">
        <f>SUM(F14:F15)</f>
        <v>3543.26</v>
      </c>
      <c r="G16" s="203">
        <f>SUM(G14:G15)</f>
        <v>3543.26</v>
      </c>
      <c r="H16" s="203">
        <f>SUM(H14:H15)</f>
        <v>0</v>
      </c>
      <c r="I16" s="203">
        <f>SUM(I14:I15)</f>
        <v>0</v>
      </c>
      <c r="J16" s="204">
        <f>SUM(J14:J15)</f>
        <v>0</v>
      </c>
    </row>
    <row r="17" spans="1:12" ht="20.100000000000001" customHeight="1" x14ac:dyDescent="0.3">
      <c r="A17" s="1242" t="s">
        <v>618</v>
      </c>
      <c r="B17" s="1243"/>
      <c r="C17" s="1243"/>
      <c r="D17" s="1243"/>
      <c r="E17" s="1243"/>
      <c r="F17" s="1243"/>
      <c r="G17" s="1243"/>
      <c r="H17" s="1243"/>
      <c r="I17" s="1243"/>
      <c r="J17" s="1244"/>
    </row>
    <row r="18" spans="1:12" ht="20.100000000000001" customHeight="1" x14ac:dyDescent="0.3">
      <c r="A18" s="1245" t="s">
        <v>619</v>
      </c>
      <c r="B18" s="1246"/>
      <c r="C18" s="109" t="s">
        <v>529</v>
      </c>
      <c r="D18" s="1247" t="s">
        <v>620</v>
      </c>
      <c r="E18" s="1247"/>
      <c r="F18" s="1248" t="s">
        <v>530</v>
      </c>
      <c r="G18" s="1248"/>
      <c r="H18" s="1249"/>
      <c r="I18" s="1248"/>
      <c r="J18" s="1250"/>
    </row>
    <row r="19" spans="1:12" ht="20.100000000000001" customHeight="1" x14ac:dyDescent="0.3">
      <c r="A19" s="1238" t="s">
        <v>621</v>
      </c>
      <c r="B19" s="1239"/>
      <c r="C19" s="152"/>
      <c r="D19" s="152"/>
      <c r="E19" s="152"/>
      <c r="F19" s="160">
        <f>Dados!$N$10</f>
        <v>46.709999999999994</v>
      </c>
      <c r="G19" s="160">
        <f>F19</f>
        <v>46.709999999999994</v>
      </c>
      <c r="H19" s="664"/>
      <c r="I19" s="160"/>
      <c r="J19" s="200"/>
    </row>
    <row r="20" spans="1:12" ht="20.100000000000001" customHeight="1" x14ac:dyDescent="0.3">
      <c r="A20" s="1238" t="s">
        <v>622</v>
      </c>
      <c r="B20" s="1239"/>
      <c r="C20" s="152"/>
      <c r="D20" s="152"/>
      <c r="E20" s="152"/>
      <c r="F20" s="160">
        <f>Dados!$G$31</f>
        <v>1.55</v>
      </c>
      <c r="G20" s="160">
        <f>F20</f>
        <v>1.55</v>
      </c>
      <c r="H20" s="664"/>
      <c r="I20" s="160"/>
      <c r="J20" s="200"/>
    </row>
    <row r="21" spans="1:12" ht="23.85" customHeight="1" x14ac:dyDescent="0.3">
      <c r="A21" s="1251" t="s">
        <v>340</v>
      </c>
      <c r="B21" s="1252"/>
      <c r="C21" s="152"/>
      <c r="D21" s="152"/>
      <c r="E21" s="152"/>
      <c r="F21" s="160">
        <f>Dados!G32</f>
        <v>0</v>
      </c>
      <c r="G21" s="160">
        <f>F21</f>
        <v>0</v>
      </c>
      <c r="H21" s="664"/>
      <c r="I21" s="160"/>
      <c r="J21" s="200"/>
    </row>
    <row r="22" spans="1:12" ht="20.100000000000001" customHeight="1" x14ac:dyDescent="0.3">
      <c r="A22" s="1238" t="s">
        <v>341</v>
      </c>
      <c r="B22" s="1239"/>
      <c r="C22" s="154">
        <f>Dados!$G$35</f>
        <v>22</v>
      </c>
      <c r="D22" s="154">
        <f>Dados!$G$34</f>
        <v>2</v>
      </c>
      <c r="E22" s="153">
        <f>Dados!$G$33</f>
        <v>4.25</v>
      </c>
      <c r="F22" s="160">
        <f>IF(ROUND((E22*D22*C22)-(F11*Dados!$G$36),2)&lt;0,0,ROUND((E22*D22*C22)-(F11*Dados!$G$36),2))</f>
        <v>69.67</v>
      </c>
      <c r="G22" s="160">
        <f>F22</f>
        <v>69.67</v>
      </c>
      <c r="H22" s="664"/>
      <c r="I22" s="160">
        <f>F22</f>
        <v>69.67</v>
      </c>
      <c r="J22" s="200"/>
    </row>
    <row r="23" spans="1:12" ht="20.100000000000001" customHeight="1" x14ac:dyDescent="0.3">
      <c r="A23" s="1238" t="s">
        <v>342</v>
      </c>
      <c r="B23" s="1239"/>
      <c r="C23" s="154">
        <f>Dados!G38</f>
        <v>22</v>
      </c>
      <c r="D23" s="159">
        <f>Dados!G39</f>
        <v>0.2</v>
      </c>
      <c r="E23" s="153">
        <f>Dados!$G$37</f>
        <v>24</v>
      </c>
      <c r="F23" s="161">
        <f>ROUND((IF(D11&gt;150,((C23*E23)-(C23*(D23*E23))),0)),2)</f>
        <v>422.4</v>
      </c>
      <c r="G23" s="160">
        <f>F23</f>
        <v>422.4</v>
      </c>
      <c r="H23" s="664">
        <f>$F$23</f>
        <v>422.4</v>
      </c>
      <c r="I23" s="161"/>
      <c r="J23" s="200"/>
    </row>
    <row r="24" spans="1:12" ht="20.100000000000001" customHeight="1" x14ac:dyDescent="0.3">
      <c r="A24" s="1238" t="s">
        <v>343</v>
      </c>
      <c r="B24" s="1239"/>
      <c r="C24" s="154"/>
      <c r="D24" s="154"/>
      <c r="E24" s="153"/>
      <c r="F24" s="161">
        <f>Dados!$G$40</f>
        <v>0</v>
      </c>
      <c r="G24" s="160"/>
      <c r="H24" s="664"/>
      <c r="I24" s="161"/>
      <c r="J24" s="200"/>
    </row>
    <row r="25" spans="1:12" ht="20.100000000000001" customHeight="1" x14ac:dyDescent="0.3">
      <c r="A25" s="1238" t="s">
        <v>343</v>
      </c>
      <c r="B25" s="1239"/>
      <c r="C25" s="154"/>
      <c r="D25" s="154"/>
      <c r="E25" s="153"/>
      <c r="F25" s="161">
        <f>Dados!$G$41</f>
        <v>0</v>
      </c>
      <c r="G25" s="160"/>
      <c r="H25" s="664"/>
      <c r="I25" s="161"/>
      <c r="J25" s="200"/>
    </row>
    <row r="26" spans="1:12" ht="20.100000000000001" customHeight="1" x14ac:dyDescent="0.3">
      <c r="A26" s="1238" t="s">
        <v>623</v>
      </c>
      <c r="B26" s="1239"/>
      <c r="C26" s="154"/>
      <c r="D26" s="153"/>
      <c r="E26" s="153"/>
      <c r="F26" s="160">
        <f>Dados!Q10</f>
        <v>125.44000000000003</v>
      </c>
      <c r="G26" s="160"/>
      <c r="H26" s="664"/>
      <c r="I26" s="160"/>
      <c r="J26" s="200"/>
      <c r="L26" s="142"/>
    </row>
    <row r="27" spans="1:12" ht="20.100000000000001" customHeight="1" x14ac:dyDescent="0.3">
      <c r="A27" s="205" t="s">
        <v>624</v>
      </c>
      <c r="B27" s="143"/>
      <c r="C27" s="154"/>
      <c r="D27" s="153"/>
      <c r="E27" s="153"/>
      <c r="F27" s="160"/>
      <c r="G27" s="160"/>
      <c r="H27" s="664"/>
      <c r="I27" s="160"/>
      <c r="J27" s="200"/>
    </row>
    <row r="28" spans="1:12" ht="20.100000000000001" customHeight="1" x14ac:dyDescent="0.3">
      <c r="A28" s="205" t="s">
        <v>625</v>
      </c>
      <c r="B28" s="143"/>
      <c r="C28" s="155"/>
      <c r="D28" s="156"/>
      <c r="E28" s="156"/>
      <c r="F28" s="162">
        <f>Dados!$S$10</f>
        <v>2.68</v>
      </c>
      <c r="G28" s="160"/>
      <c r="H28" s="664"/>
      <c r="I28" s="162"/>
      <c r="J28" s="200"/>
    </row>
    <row r="29" spans="1:12" ht="20.100000000000001" customHeight="1" thickBot="1" x14ac:dyDescent="0.35">
      <c r="A29" s="1253" t="s">
        <v>626</v>
      </c>
      <c r="B29" s="1254"/>
      <c r="C29" s="157"/>
      <c r="D29" s="158"/>
      <c r="E29" s="158"/>
      <c r="F29" s="163"/>
      <c r="G29" s="163"/>
      <c r="H29" s="665"/>
      <c r="I29" s="163"/>
      <c r="J29" s="201"/>
    </row>
    <row r="30" spans="1:12" ht="20.100000000000001" customHeight="1" thickBot="1" x14ac:dyDescent="0.35">
      <c r="A30" s="1255" t="s">
        <v>627</v>
      </c>
      <c r="B30" s="1256"/>
      <c r="C30" s="1256"/>
      <c r="D30" s="1256"/>
      <c r="E30" s="1256"/>
      <c r="F30" s="203">
        <f>SUM(F19:F29)</f>
        <v>668.44999999999993</v>
      </c>
      <c r="G30" s="203">
        <f t="shared" ref="G30:J30" si="0">SUM(G19:G29)</f>
        <v>540.32999999999993</v>
      </c>
      <c r="H30" s="203">
        <f t="shared" si="0"/>
        <v>422.4</v>
      </c>
      <c r="I30" s="203">
        <f t="shared" si="0"/>
        <v>69.67</v>
      </c>
      <c r="J30" s="204">
        <f t="shared" si="0"/>
        <v>0</v>
      </c>
    </row>
    <row r="31" spans="1:12" ht="20.100000000000001" customHeight="1" thickBot="1" x14ac:dyDescent="0.35">
      <c r="A31" s="1255" t="s">
        <v>628</v>
      </c>
      <c r="B31" s="1256"/>
      <c r="C31" s="1256"/>
      <c r="D31" s="1256"/>
      <c r="E31" s="1256"/>
      <c r="F31" s="203">
        <f>F16+F30</f>
        <v>4211.71</v>
      </c>
      <c r="G31" s="203">
        <f t="shared" ref="G31:J31" si="1">G16+G30</f>
        <v>4083.59</v>
      </c>
      <c r="H31" s="203">
        <f t="shared" si="1"/>
        <v>422.4</v>
      </c>
      <c r="I31" s="203">
        <f t="shared" si="1"/>
        <v>69.67</v>
      </c>
      <c r="J31" s="204">
        <f t="shared" si="1"/>
        <v>0</v>
      </c>
    </row>
    <row r="32" spans="1:12" ht="20.100000000000001" customHeight="1" x14ac:dyDescent="0.3">
      <c r="A32" s="1225" t="s">
        <v>629</v>
      </c>
      <c r="B32" s="1226"/>
      <c r="C32" s="1226"/>
      <c r="D32" s="1226"/>
      <c r="E32" s="1226"/>
      <c r="F32" s="1226"/>
      <c r="G32" s="1226"/>
      <c r="H32" s="1227"/>
      <c r="I32" s="1226"/>
      <c r="J32" s="1228"/>
    </row>
    <row r="33" spans="1:12" ht="20.100000000000001" customHeight="1" x14ac:dyDescent="0.3">
      <c r="A33" s="1245" t="s">
        <v>630</v>
      </c>
      <c r="B33" s="1246"/>
      <c r="C33" s="1246"/>
      <c r="D33" s="144" t="s">
        <v>631</v>
      </c>
      <c r="E33" s="1257" t="s">
        <v>530</v>
      </c>
      <c r="F33" s="1257"/>
      <c r="G33" s="1257"/>
      <c r="H33" s="1258"/>
      <c r="I33" s="1257"/>
      <c r="J33" s="1259"/>
    </row>
    <row r="34" spans="1:12" ht="20.100000000000001" customHeight="1" x14ac:dyDescent="0.3">
      <c r="A34" s="206" t="s">
        <v>632</v>
      </c>
      <c r="B34" s="145"/>
      <c r="C34" s="145"/>
      <c r="D34" s="150">
        <f>Dados!$G$44</f>
        <v>0.03</v>
      </c>
      <c r="E34" s="146"/>
      <c r="F34" s="160">
        <f>ROUND((F31*$D$34),2)</f>
        <v>126.35</v>
      </c>
      <c r="G34" s="160">
        <f t="shared" ref="G34:J34" si="2">ROUND((G31*$D$34),2)</f>
        <v>122.51</v>
      </c>
      <c r="H34" s="160">
        <f t="shared" ref="H34" si="3">ROUND((H31*$D$34),2)</f>
        <v>12.67</v>
      </c>
      <c r="I34" s="160">
        <f t="shared" si="2"/>
        <v>2.09</v>
      </c>
      <c r="J34" s="200">
        <f t="shared" si="2"/>
        <v>0</v>
      </c>
    </row>
    <row r="35" spans="1:12" ht="20.100000000000001" customHeight="1" x14ac:dyDescent="0.3">
      <c r="A35" s="1260" t="s">
        <v>633</v>
      </c>
      <c r="B35" s="1261"/>
      <c r="C35" s="1261"/>
      <c r="D35" s="150"/>
      <c r="E35" s="146"/>
      <c r="F35" s="160">
        <f>F31+F34</f>
        <v>4338.0600000000004</v>
      </c>
      <c r="G35" s="160">
        <f t="shared" ref="G35:J35" si="4">G31+G34</f>
        <v>4206.1000000000004</v>
      </c>
      <c r="H35" s="160">
        <f t="shared" ref="H35" si="5">H31+H34</f>
        <v>435.07</v>
      </c>
      <c r="I35" s="160">
        <f t="shared" si="4"/>
        <v>71.760000000000005</v>
      </c>
      <c r="J35" s="200">
        <f t="shared" si="4"/>
        <v>0</v>
      </c>
    </row>
    <row r="36" spans="1:12" ht="20.100000000000001" customHeight="1" thickBot="1" x14ac:dyDescent="0.35">
      <c r="A36" s="207" t="s">
        <v>348</v>
      </c>
      <c r="B36" s="147"/>
      <c r="C36" s="147"/>
      <c r="D36" s="175">
        <f>Dados!$G$45</f>
        <v>6.7900000000000002E-2</v>
      </c>
      <c r="E36" s="148"/>
      <c r="F36" s="163">
        <f>ROUND((F35*$D$36),2)</f>
        <v>294.55</v>
      </c>
      <c r="G36" s="163">
        <f t="shared" ref="G36:J36" si="6">ROUND((G35*$D$36),2)</f>
        <v>285.58999999999997</v>
      </c>
      <c r="H36" s="163">
        <f t="shared" ref="H36" si="7">ROUND((H35*$D$36),2)</f>
        <v>29.54</v>
      </c>
      <c r="I36" s="163">
        <f t="shared" si="6"/>
        <v>4.87</v>
      </c>
      <c r="J36" s="201">
        <f t="shared" si="6"/>
        <v>0</v>
      </c>
    </row>
    <row r="37" spans="1:12" ht="20.100000000000001" customHeight="1" thickBot="1" x14ac:dyDescent="0.35">
      <c r="A37" s="176" t="s">
        <v>634</v>
      </c>
      <c r="B37" s="177"/>
      <c r="C37" s="177"/>
      <c r="D37" s="178">
        <f>SUM(D34:D36)</f>
        <v>9.7900000000000001E-2</v>
      </c>
      <c r="E37" s="179"/>
      <c r="F37" s="180">
        <f>F34+F36</f>
        <v>420.9</v>
      </c>
      <c r="G37" s="180">
        <f>G34+G36</f>
        <v>408.09999999999997</v>
      </c>
      <c r="H37" s="180">
        <f>H34+H36</f>
        <v>42.21</v>
      </c>
      <c r="I37" s="180">
        <f>I34+I36</f>
        <v>6.96</v>
      </c>
      <c r="J37" s="181">
        <f>J34+J36</f>
        <v>0</v>
      </c>
    </row>
    <row r="38" spans="1:12" ht="20.100000000000001" customHeight="1" thickBot="1" x14ac:dyDescent="0.35">
      <c r="A38" s="1262" t="s">
        <v>635</v>
      </c>
      <c r="B38" s="1263"/>
      <c r="C38" s="1263"/>
      <c r="D38" s="1263"/>
      <c r="E38" s="1263"/>
      <c r="F38" s="165">
        <f>F31+F37</f>
        <v>4632.6099999999997</v>
      </c>
      <c r="G38" s="165">
        <f t="shared" ref="G38:J38" si="8">G31+G37</f>
        <v>4491.6900000000005</v>
      </c>
      <c r="H38" s="165">
        <f t="shared" ref="H38" si="9">H31+H37</f>
        <v>464.60999999999996</v>
      </c>
      <c r="I38" s="165">
        <f t="shared" si="8"/>
        <v>76.63</v>
      </c>
      <c r="J38" s="208">
        <f t="shared" si="8"/>
        <v>0</v>
      </c>
    </row>
    <row r="39" spans="1:12" ht="20.100000000000001" customHeight="1" x14ac:dyDescent="0.3">
      <c r="A39" s="1264" t="s">
        <v>636</v>
      </c>
      <c r="B39" s="1265"/>
      <c r="C39" s="1265"/>
      <c r="D39" s="1265"/>
      <c r="E39" s="1265"/>
      <c r="F39" s="1265"/>
      <c r="G39" s="1265"/>
      <c r="H39" s="1266"/>
      <c r="I39" s="1265"/>
      <c r="J39" s="1267"/>
    </row>
    <row r="40" spans="1:12" ht="20.100000000000001" customHeight="1" x14ac:dyDescent="0.3">
      <c r="A40" s="1238" t="s">
        <v>353</v>
      </c>
      <c r="B40" s="1239"/>
      <c r="C40" s="1239"/>
      <c r="D40" s="150">
        <f>Dados!G52</f>
        <v>7.5999999999999998E-2</v>
      </c>
      <c r="E40" s="151"/>
      <c r="F40" s="160">
        <f>ROUND(($F$46*D40),2)</f>
        <v>401.23</v>
      </c>
      <c r="G40" s="160">
        <f t="shared" ref="G40:J40" si="10">ROUND((G46*$D$40),2)</f>
        <v>389.02</v>
      </c>
      <c r="H40" s="160">
        <f t="shared" ref="H40" si="11">ROUND((H46*$D$40),2)</f>
        <v>35.31</v>
      </c>
      <c r="I40" s="160">
        <f t="shared" si="10"/>
        <v>6.64</v>
      </c>
      <c r="J40" s="200">
        <f t="shared" si="10"/>
        <v>0</v>
      </c>
    </row>
    <row r="41" spans="1:12" ht="20.100000000000001" customHeight="1" x14ac:dyDescent="0.3">
      <c r="A41" s="1238" t="s">
        <v>355</v>
      </c>
      <c r="B41" s="1239"/>
      <c r="C41" s="1239"/>
      <c r="D41" s="150">
        <f>Dados!G53</f>
        <v>1.6500000000000001E-2</v>
      </c>
      <c r="E41" s="151"/>
      <c r="F41" s="160">
        <f>ROUND((F46*$D$41),2)</f>
        <v>87.11</v>
      </c>
      <c r="G41" s="160">
        <f t="shared" ref="G41:J41" si="12">ROUND((G46*$D$41),2)</f>
        <v>84.46</v>
      </c>
      <c r="H41" s="160">
        <f t="shared" ref="H41" si="13">ROUND((H46*$D$41),2)</f>
        <v>7.67</v>
      </c>
      <c r="I41" s="160">
        <f t="shared" si="12"/>
        <v>1.44</v>
      </c>
      <c r="J41" s="200">
        <f t="shared" si="12"/>
        <v>0</v>
      </c>
    </row>
    <row r="42" spans="1:12" ht="20.100000000000001" customHeight="1" x14ac:dyDescent="0.3">
      <c r="A42" s="1238" t="s">
        <v>356</v>
      </c>
      <c r="B42" s="1239"/>
      <c r="C42" s="1239"/>
      <c r="D42" s="150">
        <f>Dados!G54</f>
        <v>0.03</v>
      </c>
      <c r="E42" s="151"/>
      <c r="F42" s="160">
        <f>ROUND((F46*$D$42),2)</f>
        <v>158.38</v>
      </c>
      <c r="G42" s="160">
        <f t="shared" ref="G42:J42" si="14">ROUND((G46*$D$42),2)</f>
        <v>153.56</v>
      </c>
      <c r="H42" s="160">
        <f t="shared" ref="H42" si="15">ROUND((H46*$D$42),2)</f>
        <v>13.94</v>
      </c>
      <c r="I42" s="160">
        <f t="shared" si="14"/>
        <v>2.62</v>
      </c>
      <c r="J42" s="200">
        <f t="shared" si="14"/>
        <v>0</v>
      </c>
    </row>
    <row r="43" spans="1:12" ht="20.100000000000001" customHeight="1" x14ac:dyDescent="0.3">
      <c r="A43" s="1238" t="s">
        <v>343</v>
      </c>
      <c r="B43" s="1239"/>
      <c r="C43" s="1239"/>
      <c r="D43" s="150">
        <f>Dados!G55</f>
        <v>0</v>
      </c>
      <c r="E43" s="151"/>
      <c r="F43" s="160">
        <f>ROUND((F46*$D$43),2)</f>
        <v>0</v>
      </c>
      <c r="G43" s="160">
        <f t="shared" ref="G43:J43" si="16">ROUND((G46*$D$43),2)</f>
        <v>0</v>
      </c>
      <c r="H43" s="160">
        <f t="shared" ref="H43" si="17">ROUND((H46*$D$43),2)</f>
        <v>0</v>
      </c>
      <c r="I43" s="160">
        <f t="shared" si="16"/>
        <v>0</v>
      </c>
      <c r="J43" s="200">
        <f t="shared" si="16"/>
        <v>0</v>
      </c>
    </row>
    <row r="44" spans="1:12" ht="20.100000000000001" customHeight="1" x14ac:dyDescent="0.3">
      <c r="A44" s="1270" t="s">
        <v>637</v>
      </c>
      <c r="B44" s="1271"/>
      <c r="C44" s="1272"/>
      <c r="D44" s="182">
        <f>SUM(D40:D43)</f>
        <v>0.1225</v>
      </c>
      <c r="E44" s="183"/>
      <c r="F44" s="184">
        <f>SUM(F40:F43)</f>
        <v>646.72</v>
      </c>
      <c r="G44" s="184">
        <f>SUM(G40:G43)</f>
        <v>627.04</v>
      </c>
      <c r="H44" s="184">
        <f>SUM(H40:H43)</f>
        <v>56.92</v>
      </c>
      <c r="I44" s="184">
        <f>SUM(I40:I43)</f>
        <v>10.7</v>
      </c>
      <c r="J44" s="209">
        <f>SUM(J40:J42)</f>
        <v>0</v>
      </c>
    </row>
    <row r="45" spans="1:12" ht="20.100000000000001" customHeight="1" x14ac:dyDescent="0.3">
      <c r="A45" s="1273" t="str">
        <f>CONCATENATE("Custo Mensal - ",A7)</f>
        <v>Custo Mensal - Zelador com Acúmulo de Lavador de Carro</v>
      </c>
      <c r="B45" s="1274"/>
      <c r="C45" s="1274"/>
      <c r="D45" s="1274"/>
      <c r="E45" s="1274"/>
      <c r="F45" s="185">
        <f>ROUND(F38/(1-D44),2)</f>
        <v>5279.33</v>
      </c>
      <c r="G45" s="185">
        <f>ROUND(G38/(1-D44),2)</f>
        <v>5118.74</v>
      </c>
      <c r="H45" s="185">
        <f>ROUND(H38/(1-C44),2)</f>
        <v>464.61</v>
      </c>
      <c r="I45" s="185">
        <f>ROUND(I38/(1-D44),2)</f>
        <v>87.33</v>
      </c>
      <c r="J45" s="210">
        <f>ROUND(J38/(1-D44),2)</f>
        <v>0</v>
      </c>
    </row>
    <row r="46" spans="1:12" ht="20.100000000000001" customHeight="1" x14ac:dyDescent="0.3">
      <c r="A46" s="1275" t="str">
        <f>CONCATENATE("Valor do Custo Mensal - ",A7)</f>
        <v>Valor do Custo Mensal - Zelador com Acúmulo de Lavador de Carro</v>
      </c>
      <c r="B46" s="1276"/>
      <c r="C46" s="1276"/>
      <c r="D46" s="1276"/>
      <c r="E46" s="1276"/>
      <c r="F46" s="185">
        <f>F45</f>
        <v>5279.33</v>
      </c>
      <c r="G46" s="185">
        <f>G45</f>
        <v>5118.74</v>
      </c>
      <c r="H46" s="185">
        <f>H45</f>
        <v>464.61</v>
      </c>
      <c r="I46" s="185">
        <f>I45</f>
        <v>87.33</v>
      </c>
      <c r="J46" s="210">
        <f>J45</f>
        <v>0</v>
      </c>
      <c r="K46" s="149"/>
      <c r="L46" s="149"/>
    </row>
    <row r="47" spans="1:12" ht="27.75" customHeight="1" thickBot="1" x14ac:dyDescent="0.35">
      <c r="A47" s="1277" t="s">
        <v>683</v>
      </c>
      <c r="B47" s="1278"/>
      <c r="C47" s="1278"/>
      <c r="D47" s="1278"/>
      <c r="E47" s="1278"/>
      <c r="F47" s="211">
        <f>(F46/F14)</f>
        <v>2.6677834374305176</v>
      </c>
      <c r="G47" s="211">
        <f>(G46/G14)</f>
        <v>2.5866331130111373</v>
      </c>
      <c r="H47" s="1268" t="s">
        <v>682</v>
      </c>
      <c r="I47" s="1269"/>
      <c r="J47" s="212">
        <v>0</v>
      </c>
    </row>
    <row r="48" spans="1:12" ht="20.100000000000001" customHeight="1" x14ac:dyDescent="0.3"/>
  </sheetData>
  <sheetProtection algorithmName="SHA-512" hashValue="AKstO7QHakstRuoFyCPct/5tEtM0O+P/cF8ykheTZtJ3qhtN68mFmqWRHmsoQuc+pMMwvmpnjm6rI5juO8+ieg==" saltValue="mQklKUyUBNkbO4uFLwAEvQ==" spinCount="100000" sheet="1" objects="1" scenarios="1"/>
  <mergeCells count="49">
    <mergeCell ref="H47:I47"/>
    <mergeCell ref="A43:C43"/>
    <mergeCell ref="A44:C44"/>
    <mergeCell ref="A45:E45"/>
    <mergeCell ref="A46:E46"/>
    <mergeCell ref="A47:E47"/>
    <mergeCell ref="A42:C42"/>
    <mergeCell ref="A26:B26"/>
    <mergeCell ref="A29:B29"/>
    <mergeCell ref="A30:E30"/>
    <mergeCell ref="A31:E31"/>
    <mergeCell ref="A32:J32"/>
    <mergeCell ref="A33:C33"/>
    <mergeCell ref="E33:J33"/>
    <mergeCell ref="A35:C35"/>
    <mergeCell ref="A38:E38"/>
    <mergeCell ref="A39:J39"/>
    <mergeCell ref="A40:C40"/>
    <mergeCell ref="A41:C41"/>
    <mergeCell ref="A25:B2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I7:I8"/>
    <mergeCell ref="J7:J8"/>
    <mergeCell ref="A8:D8"/>
    <mergeCell ref="H7:H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fitToHeight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  <pageSetUpPr fitToPage="1"/>
  </sheetPr>
  <dimension ref="A1:L48"/>
  <sheetViews>
    <sheetView showGridLines="0" view="pageBreakPreview" topLeftCell="A27" zoomScale="90" zoomScaleNormal="100" zoomScaleSheetLayoutView="90" workbookViewId="0">
      <selection activeCell="D26" sqref="D26"/>
    </sheetView>
  </sheetViews>
  <sheetFormatPr defaultRowHeight="13.8" x14ac:dyDescent="0.3"/>
  <cols>
    <col min="1" max="1" width="10.5546875" style="136" customWidth="1"/>
    <col min="2" max="2" width="27.6640625" style="136" customWidth="1"/>
    <col min="3" max="3" width="14.44140625" style="136" customWidth="1"/>
    <col min="4" max="5" width="15" style="136" customWidth="1"/>
    <col min="6" max="6" width="16.6640625" style="164" customWidth="1"/>
    <col min="7" max="8" width="13.109375" style="164" customWidth="1"/>
    <col min="9" max="10" width="12.5546875" style="164" customWidth="1"/>
    <col min="11" max="257" width="9.109375" style="136"/>
    <col min="258" max="258" width="10.5546875" style="136" customWidth="1"/>
    <col min="259" max="259" width="27.6640625" style="136" customWidth="1"/>
    <col min="260" max="260" width="14.44140625" style="136" customWidth="1"/>
    <col min="261" max="262" width="15" style="136" customWidth="1"/>
    <col min="263" max="263" width="16.6640625" style="136" customWidth="1"/>
    <col min="264" max="264" width="13.109375" style="136" customWidth="1"/>
    <col min="265" max="266" width="12.5546875" style="136" customWidth="1"/>
    <col min="267" max="513" width="9.109375" style="136"/>
    <col min="514" max="514" width="10.5546875" style="136" customWidth="1"/>
    <col min="515" max="515" width="27.6640625" style="136" customWidth="1"/>
    <col min="516" max="516" width="14.44140625" style="136" customWidth="1"/>
    <col min="517" max="518" width="15" style="136" customWidth="1"/>
    <col min="519" max="519" width="16.6640625" style="136" customWidth="1"/>
    <col min="520" max="520" width="13.109375" style="136" customWidth="1"/>
    <col min="521" max="522" width="12.5546875" style="136" customWidth="1"/>
    <col min="523" max="769" width="9.109375" style="136"/>
    <col min="770" max="770" width="10.5546875" style="136" customWidth="1"/>
    <col min="771" max="771" width="27.6640625" style="136" customWidth="1"/>
    <col min="772" max="772" width="14.44140625" style="136" customWidth="1"/>
    <col min="773" max="774" width="15" style="136" customWidth="1"/>
    <col min="775" max="775" width="16.6640625" style="136" customWidth="1"/>
    <col min="776" max="776" width="13.109375" style="136" customWidth="1"/>
    <col min="777" max="778" width="12.5546875" style="136" customWidth="1"/>
    <col min="779" max="1025" width="9.109375" style="136"/>
    <col min="1026" max="1026" width="10.5546875" style="136" customWidth="1"/>
    <col min="1027" max="1027" width="27.6640625" style="136" customWidth="1"/>
    <col min="1028" max="1028" width="14.44140625" style="136" customWidth="1"/>
    <col min="1029" max="1030" width="15" style="136" customWidth="1"/>
    <col min="1031" max="1031" width="16.6640625" style="136" customWidth="1"/>
    <col min="1032" max="1032" width="13.109375" style="136" customWidth="1"/>
    <col min="1033" max="1034" width="12.5546875" style="136" customWidth="1"/>
    <col min="1035" max="1281" width="9.109375" style="136"/>
    <col min="1282" max="1282" width="10.5546875" style="136" customWidth="1"/>
    <col min="1283" max="1283" width="27.6640625" style="136" customWidth="1"/>
    <col min="1284" max="1284" width="14.44140625" style="136" customWidth="1"/>
    <col min="1285" max="1286" width="15" style="136" customWidth="1"/>
    <col min="1287" max="1287" width="16.6640625" style="136" customWidth="1"/>
    <col min="1288" max="1288" width="13.109375" style="136" customWidth="1"/>
    <col min="1289" max="1290" width="12.5546875" style="136" customWidth="1"/>
    <col min="1291" max="1537" width="9.109375" style="136"/>
    <col min="1538" max="1538" width="10.5546875" style="136" customWidth="1"/>
    <col min="1539" max="1539" width="27.6640625" style="136" customWidth="1"/>
    <col min="1540" max="1540" width="14.44140625" style="136" customWidth="1"/>
    <col min="1541" max="1542" width="15" style="136" customWidth="1"/>
    <col min="1543" max="1543" width="16.6640625" style="136" customWidth="1"/>
    <col min="1544" max="1544" width="13.109375" style="136" customWidth="1"/>
    <col min="1545" max="1546" width="12.5546875" style="136" customWidth="1"/>
    <col min="1547" max="1793" width="9.109375" style="136"/>
    <col min="1794" max="1794" width="10.5546875" style="136" customWidth="1"/>
    <col min="1795" max="1795" width="27.6640625" style="136" customWidth="1"/>
    <col min="1796" max="1796" width="14.44140625" style="136" customWidth="1"/>
    <col min="1797" max="1798" width="15" style="136" customWidth="1"/>
    <col min="1799" max="1799" width="16.6640625" style="136" customWidth="1"/>
    <col min="1800" max="1800" width="13.109375" style="136" customWidth="1"/>
    <col min="1801" max="1802" width="12.5546875" style="136" customWidth="1"/>
    <col min="1803" max="2049" width="9.109375" style="136"/>
    <col min="2050" max="2050" width="10.5546875" style="136" customWidth="1"/>
    <col min="2051" max="2051" width="27.6640625" style="136" customWidth="1"/>
    <col min="2052" max="2052" width="14.44140625" style="136" customWidth="1"/>
    <col min="2053" max="2054" width="15" style="136" customWidth="1"/>
    <col min="2055" max="2055" width="16.6640625" style="136" customWidth="1"/>
    <col min="2056" max="2056" width="13.109375" style="136" customWidth="1"/>
    <col min="2057" max="2058" width="12.5546875" style="136" customWidth="1"/>
    <col min="2059" max="2305" width="9.109375" style="136"/>
    <col min="2306" max="2306" width="10.5546875" style="136" customWidth="1"/>
    <col min="2307" max="2307" width="27.6640625" style="136" customWidth="1"/>
    <col min="2308" max="2308" width="14.44140625" style="136" customWidth="1"/>
    <col min="2309" max="2310" width="15" style="136" customWidth="1"/>
    <col min="2311" max="2311" width="16.6640625" style="136" customWidth="1"/>
    <col min="2312" max="2312" width="13.109375" style="136" customWidth="1"/>
    <col min="2313" max="2314" width="12.5546875" style="136" customWidth="1"/>
    <col min="2315" max="2561" width="9.109375" style="136"/>
    <col min="2562" max="2562" width="10.5546875" style="136" customWidth="1"/>
    <col min="2563" max="2563" width="27.6640625" style="136" customWidth="1"/>
    <col min="2564" max="2564" width="14.44140625" style="136" customWidth="1"/>
    <col min="2565" max="2566" width="15" style="136" customWidth="1"/>
    <col min="2567" max="2567" width="16.6640625" style="136" customWidth="1"/>
    <col min="2568" max="2568" width="13.109375" style="136" customWidth="1"/>
    <col min="2569" max="2570" width="12.5546875" style="136" customWidth="1"/>
    <col min="2571" max="2817" width="9.109375" style="136"/>
    <col min="2818" max="2818" width="10.5546875" style="136" customWidth="1"/>
    <col min="2819" max="2819" width="27.6640625" style="136" customWidth="1"/>
    <col min="2820" max="2820" width="14.44140625" style="136" customWidth="1"/>
    <col min="2821" max="2822" width="15" style="136" customWidth="1"/>
    <col min="2823" max="2823" width="16.6640625" style="136" customWidth="1"/>
    <col min="2824" max="2824" width="13.109375" style="136" customWidth="1"/>
    <col min="2825" max="2826" width="12.5546875" style="136" customWidth="1"/>
    <col min="2827" max="3073" width="9.109375" style="136"/>
    <col min="3074" max="3074" width="10.5546875" style="136" customWidth="1"/>
    <col min="3075" max="3075" width="27.6640625" style="136" customWidth="1"/>
    <col min="3076" max="3076" width="14.44140625" style="136" customWidth="1"/>
    <col min="3077" max="3078" width="15" style="136" customWidth="1"/>
    <col min="3079" max="3079" width="16.6640625" style="136" customWidth="1"/>
    <col min="3080" max="3080" width="13.109375" style="136" customWidth="1"/>
    <col min="3081" max="3082" width="12.5546875" style="136" customWidth="1"/>
    <col min="3083" max="3329" width="9.109375" style="136"/>
    <col min="3330" max="3330" width="10.5546875" style="136" customWidth="1"/>
    <col min="3331" max="3331" width="27.6640625" style="136" customWidth="1"/>
    <col min="3332" max="3332" width="14.44140625" style="136" customWidth="1"/>
    <col min="3333" max="3334" width="15" style="136" customWidth="1"/>
    <col min="3335" max="3335" width="16.6640625" style="136" customWidth="1"/>
    <col min="3336" max="3336" width="13.109375" style="136" customWidth="1"/>
    <col min="3337" max="3338" width="12.5546875" style="136" customWidth="1"/>
    <col min="3339" max="3585" width="9.109375" style="136"/>
    <col min="3586" max="3586" width="10.5546875" style="136" customWidth="1"/>
    <col min="3587" max="3587" width="27.6640625" style="136" customWidth="1"/>
    <col min="3588" max="3588" width="14.44140625" style="136" customWidth="1"/>
    <col min="3589" max="3590" width="15" style="136" customWidth="1"/>
    <col min="3591" max="3591" width="16.6640625" style="136" customWidth="1"/>
    <col min="3592" max="3592" width="13.109375" style="136" customWidth="1"/>
    <col min="3593" max="3594" width="12.5546875" style="136" customWidth="1"/>
    <col min="3595" max="3841" width="9.109375" style="136"/>
    <col min="3842" max="3842" width="10.5546875" style="136" customWidth="1"/>
    <col min="3843" max="3843" width="27.6640625" style="136" customWidth="1"/>
    <col min="3844" max="3844" width="14.44140625" style="136" customWidth="1"/>
    <col min="3845" max="3846" width="15" style="136" customWidth="1"/>
    <col min="3847" max="3847" width="16.6640625" style="136" customWidth="1"/>
    <col min="3848" max="3848" width="13.109375" style="136" customWidth="1"/>
    <col min="3849" max="3850" width="12.5546875" style="136" customWidth="1"/>
    <col min="3851" max="4097" width="9.109375" style="136"/>
    <col min="4098" max="4098" width="10.5546875" style="136" customWidth="1"/>
    <col min="4099" max="4099" width="27.6640625" style="136" customWidth="1"/>
    <col min="4100" max="4100" width="14.44140625" style="136" customWidth="1"/>
    <col min="4101" max="4102" width="15" style="136" customWidth="1"/>
    <col min="4103" max="4103" width="16.6640625" style="136" customWidth="1"/>
    <col min="4104" max="4104" width="13.109375" style="136" customWidth="1"/>
    <col min="4105" max="4106" width="12.5546875" style="136" customWidth="1"/>
    <col min="4107" max="4353" width="9.109375" style="136"/>
    <col min="4354" max="4354" width="10.5546875" style="136" customWidth="1"/>
    <col min="4355" max="4355" width="27.6640625" style="136" customWidth="1"/>
    <col min="4356" max="4356" width="14.44140625" style="136" customWidth="1"/>
    <col min="4357" max="4358" width="15" style="136" customWidth="1"/>
    <col min="4359" max="4359" width="16.6640625" style="136" customWidth="1"/>
    <col min="4360" max="4360" width="13.109375" style="136" customWidth="1"/>
    <col min="4361" max="4362" width="12.5546875" style="136" customWidth="1"/>
    <col min="4363" max="4609" width="9.109375" style="136"/>
    <col min="4610" max="4610" width="10.5546875" style="136" customWidth="1"/>
    <col min="4611" max="4611" width="27.6640625" style="136" customWidth="1"/>
    <col min="4612" max="4612" width="14.44140625" style="136" customWidth="1"/>
    <col min="4613" max="4614" width="15" style="136" customWidth="1"/>
    <col min="4615" max="4615" width="16.6640625" style="136" customWidth="1"/>
    <col min="4616" max="4616" width="13.109375" style="136" customWidth="1"/>
    <col min="4617" max="4618" width="12.5546875" style="136" customWidth="1"/>
    <col min="4619" max="4865" width="9.109375" style="136"/>
    <col min="4866" max="4866" width="10.5546875" style="136" customWidth="1"/>
    <col min="4867" max="4867" width="27.6640625" style="136" customWidth="1"/>
    <col min="4868" max="4868" width="14.44140625" style="136" customWidth="1"/>
    <col min="4869" max="4870" width="15" style="136" customWidth="1"/>
    <col min="4871" max="4871" width="16.6640625" style="136" customWidth="1"/>
    <col min="4872" max="4872" width="13.109375" style="136" customWidth="1"/>
    <col min="4873" max="4874" width="12.5546875" style="136" customWidth="1"/>
    <col min="4875" max="5121" width="9.109375" style="136"/>
    <col min="5122" max="5122" width="10.5546875" style="136" customWidth="1"/>
    <col min="5123" max="5123" width="27.6640625" style="136" customWidth="1"/>
    <col min="5124" max="5124" width="14.44140625" style="136" customWidth="1"/>
    <col min="5125" max="5126" width="15" style="136" customWidth="1"/>
    <col min="5127" max="5127" width="16.6640625" style="136" customWidth="1"/>
    <col min="5128" max="5128" width="13.109375" style="136" customWidth="1"/>
    <col min="5129" max="5130" width="12.5546875" style="136" customWidth="1"/>
    <col min="5131" max="5377" width="9.109375" style="136"/>
    <col min="5378" max="5378" width="10.5546875" style="136" customWidth="1"/>
    <col min="5379" max="5379" width="27.6640625" style="136" customWidth="1"/>
    <col min="5380" max="5380" width="14.44140625" style="136" customWidth="1"/>
    <col min="5381" max="5382" width="15" style="136" customWidth="1"/>
    <col min="5383" max="5383" width="16.6640625" style="136" customWidth="1"/>
    <col min="5384" max="5384" width="13.109375" style="136" customWidth="1"/>
    <col min="5385" max="5386" width="12.5546875" style="136" customWidth="1"/>
    <col min="5387" max="5633" width="9.109375" style="136"/>
    <col min="5634" max="5634" width="10.5546875" style="136" customWidth="1"/>
    <col min="5635" max="5635" width="27.6640625" style="136" customWidth="1"/>
    <col min="5636" max="5636" width="14.44140625" style="136" customWidth="1"/>
    <col min="5637" max="5638" width="15" style="136" customWidth="1"/>
    <col min="5639" max="5639" width="16.6640625" style="136" customWidth="1"/>
    <col min="5640" max="5640" width="13.109375" style="136" customWidth="1"/>
    <col min="5641" max="5642" width="12.5546875" style="136" customWidth="1"/>
    <col min="5643" max="5889" width="9.109375" style="136"/>
    <col min="5890" max="5890" width="10.5546875" style="136" customWidth="1"/>
    <col min="5891" max="5891" width="27.6640625" style="136" customWidth="1"/>
    <col min="5892" max="5892" width="14.44140625" style="136" customWidth="1"/>
    <col min="5893" max="5894" width="15" style="136" customWidth="1"/>
    <col min="5895" max="5895" width="16.6640625" style="136" customWidth="1"/>
    <col min="5896" max="5896" width="13.109375" style="136" customWidth="1"/>
    <col min="5897" max="5898" width="12.5546875" style="136" customWidth="1"/>
    <col min="5899" max="6145" width="9.109375" style="136"/>
    <col min="6146" max="6146" width="10.5546875" style="136" customWidth="1"/>
    <col min="6147" max="6147" width="27.6640625" style="136" customWidth="1"/>
    <col min="6148" max="6148" width="14.44140625" style="136" customWidth="1"/>
    <col min="6149" max="6150" width="15" style="136" customWidth="1"/>
    <col min="6151" max="6151" width="16.6640625" style="136" customWidth="1"/>
    <col min="6152" max="6152" width="13.109375" style="136" customWidth="1"/>
    <col min="6153" max="6154" width="12.5546875" style="136" customWidth="1"/>
    <col min="6155" max="6401" width="9.109375" style="136"/>
    <col min="6402" max="6402" width="10.5546875" style="136" customWidth="1"/>
    <col min="6403" max="6403" width="27.6640625" style="136" customWidth="1"/>
    <col min="6404" max="6404" width="14.44140625" style="136" customWidth="1"/>
    <col min="6405" max="6406" width="15" style="136" customWidth="1"/>
    <col min="6407" max="6407" width="16.6640625" style="136" customWidth="1"/>
    <col min="6408" max="6408" width="13.109375" style="136" customWidth="1"/>
    <col min="6409" max="6410" width="12.5546875" style="136" customWidth="1"/>
    <col min="6411" max="6657" width="9.109375" style="136"/>
    <col min="6658" max="6658" width="10.5546875" style="136" customWidth="1"/>
    <col min="6659" max="6659" width="27.6640625" style="136" customWidth="1"/>
    <col min="6660" max="6660" width="14.44140625" style="136" customWidth="1"/>
    <col min="6661" max="6662" width="15" style="136" customWidth="1"/>
    <col min="6663" max="6663" width="16.6640625" style="136" customWidth="1"/>
    <col min="6664" max="6664" width="13.109375" style="136" customWidth="1"/>
    <col min="6665" max="6666" width="12.5546875" style="136" customWidth="1"/>
    <col min="6667" max="6913" width="9.109375" style="136"/>
    <col min="6914" max="6914" width="10.5546875" style="136" customWidth="1"/>
    <col min="6915" max="6915" width="27.6640625" style="136" customWidth="1"/>
    <col min="6916" max="6916" width="14.44140625" style="136" customWidth="1"/>
    <col min="6917" max="6918" width="15" style="136" customWidth="1"/>
    <col min="6919" max="6919" width="16.6640625" style="136" customWidth="1"/>
    <col min="6920" max="6920" width="13.109375" style="136" customWidth="1"/>
    <col min="6921" max="6922" width="12.5546875" style="136" customWidth="1"/>
    <col min="6923" max="7169" width="9.109375" style="136"/>
    <col min="7170" max="7170" width="10.5546875" style="136" customWidth="1"/>
    <col min="7171" max="7171" width="27.6640625" style="136" customWidth="1"/>
    <col min="7172" max="7172" width="14.44140625" style="136" customWidth="1"/>
    <col min="7173" max="7174" width="15" style="136" customWidth="1"/>
    <col min="7175" max="7175" width="16.6640625" style="136" customWidth="1"/>
    <col min="7176" max="7176" width="13.109375" style="136" customWidth="1"/>
    <col min="7177" max="7178" width="12.5546875" style="136" customWidth="1"/>
    <col min="7179" max="7425" width="9.109375" style="136"/>
    <col min="7426" max="7426" width="10.5546875" style="136" customWidth="1"/>
    <col min="7427" max="7427" width="27.6640625" style="136" customWidth="1"/>
    <col min="7428" max="7428" width="14.44140625" style="136" customWidth="1"/>
    <col min="7429" max="7430" width="15" style="136" customWidth="1"/>
    <col min="7431" max="7431" width="16.6640625" style="136" customWidth="1"/>
    <col min="7432" max="7432" width="13.109375" style="136" customWidth="1"/>
    <col min="7433" max="7434" width="12.5546875" style="136" customWidth="1"/>
    <col min="7435" max="7681" width="9.109375" style="136"/>
    <col min="7682" max="7682" width="10.5546875" style="136" customWidth="1"/>
    <col min="7683" max="7683" width="27.6640625" style="136" customWidth="1"/>
    <col min="7684" max="7684" width="14.44140625" style="136" customWidth="1"/>
    <col min="7685" max="7686" width="15" style="136" customWidth="1"/>
    <col min="7687" max="7687" width="16.6640625" style="136" customWidth="1"/>
    <col min="7688" max="7688" width="13.109375" style="136" customWidth="1"/>
    <col min="7689" max="7690" width="12.5546875" style="136" customWidth="1"/>
    <col min="7691" max="7937" width="9.109375" style="136"/>
    <col min="7938" max="7938" width="10.5546875" style="136" customWidth="1"/>
    <col min="7939" max="7939" width="27.6640625" style="136" customWidth="1"/>
    <col min="7940" max="7940" width="14.44140625" style="136" customWidth="1"/>
    <col min="7941" max="7942" width="15" style="136" customWidth="1"/>
    <col min="7943" max="7943" width="16.6640625" style="136" customWidth="1"/>
    <col min="7944" max="7944" width="13.109375" style="136" customWidth="1"/>
    <col min="7945" max="7946" width="12.5546875" style="136" customWidth="1"/>
    <col min="7947" max="8193" width="9.109375" style="136"/>
    <col min="8194" max="8194" width="10.5546875" style="136" customWidth="1"/>
    <col min="8195" max="8195" width="27.6640625" style="136" customWidth="1"/>
    <col min="8196" max="8196" width="14.44140625" style="136" customWidth="1"/>
    <col min="8197" max="8198" width="15" style="136" customWidth="1"/>
    <col min="8199" max="8199" width="16.6640625" style="136" customWidth="1"/>
    <col min="8200" max="8200" width="13.109375" style="136" customWidth="1"/>
    <col min="8201" max="8202" width="12.5546875" style="136" customWidth="1"/>
    <col min="8203" max="8449" width="9.109375" style="136"/>
    <col min="8450" max="8450" width="10.5546875" style="136" customWidth="1"/>
    <col min="8451" max="8451" width="27.6640625" style="136" customWidth="1"/>
    <col min="8452" max="8452" width="14.44140625" style="136" customWidth="1"/>
    <col min="8453" max="8454" width="15" style="136" customWidth="1"/>
    <col min="8455" max="8455" width="16.6640625" style="136" customWidth="1"/>
    <col min="8456" max="8456" width="13.109375" style="136" customWidth="1"/>
    <col min="8457" max="8458" width="12.5546875" style="136" customWidth="1"/>
    <col min="8459" max="8705" width="9.109375" style="136"/>
    <col min="8706" max="8706" width="10.5546875" style="136" customWidth="1"/>
    <col min="8707" max="8707" width="27.6640625" style="136" customWidth="1"/>
    <col min="8708" max="8708" width="14.44140625" style="136" customWidth="1"/>
    <col min="8709" max="8710" width="15" style="136" customWidth="1"/>
    <col min="8711" max="8711" width="16.6640625" style="136" customWidth="1"/>
    <col min="8712" max="8712" width="13.109375" style="136" customWidth="1"/>
    <col min="8713" max="8714" width="12.5546875" style="136" customWidth="1"/>
    <col min="8715" max="8961" width="9.109375" style="136"/>
    <col min="8962" max="8962" width="10.5546875" style="136" customWidth="1"/>
    <col min="8963" max="8963" width="27.6640625" style="136" customWidth="1"/>
    <col min="8964" max="8964" width="14.44140625" style="136" customWidth="1"/>
    <col min="8965" max="8966" width="15" style="136" customWidth="1"/>
    <col min="8967" max="8967" width="16.6640625" style="136" customWidth="1"/>
    <col min="8968" max="8968" width="13.109375" style="136" customWidth="1"/>
    <col min="8969" max="8970" width="12.5546875" style="136" customWidth="1"/>
    <col min="8971" max="9217" width="9.109375" style="136"/>
    <col min="9218" max="9218" width="10.5546875" style="136" customWidth="1"/>
    <col min="9219" max="9219" width="27.6640625" style="136" customWidth="1"/>
    <col min="9220" max="9220" width="14.44140625" style="136" customWidth="1"/>
    <col min="9221" max="9222" width="15" style="136" customWidth="1"/>
    <col min="9223" max="9223" width="16.6640625" style="136" customWidth="1"/>
    <col min="9224" max="9224" width="13.109375" style="136" customWidth="1"/>
    <col min="9225" max="9226" width="12.5546875" style="136" customWidth="1"/>
    <col min="9227" max="9473" width="9.109375" style="136"/>
    <col min="9474" max="9474" width="10.5546875" style="136" customWidth="1"/>
    <col min="9475" max="9475" width="27.6640625" style="136" customWidth="1"/>
    <col min="9476" max="9476" width="14.44140625" style="136" customWidth="1"/>
    <col min="9477" max="9478" width="15" style="136" customWidth="1"/>
    <col min="9479" max="9479" width="16.6640625" style="136" customWidth="1"/>
    <col min="9480" max="9480" width="13.109375" style="136" customWidth="1"/>
    <col min="9481" max="9482" width="12.5546875" style="136" customWidth="1"/>
    <col min="9483" max="9729" width="9.109375" style="136"/>
    <col min="9730" max="9730" width="10.5546875" style="136" customWidth="1"/>
    <col min="9731" max="9731" width="27.6640625" style="136" customWidth="1"/>
    <col min="9732" max="9732" width="14.44140625" style="136" customWidth="1"/>
    <col min="9733" max="9734" width="15" style="136" customWidth="1"/>
    <col min="9735" max="9735" width="16.6640625" style="136" customWidth="1"/>
    <col min="9736" max="9736" width="13.109375" style="136" customWidth="1"/>
    <col min="9737" max="9738" width="12.5546875" style="136" customWidth="1"/>
    <col min="9739" max="9985" width="9.109375" style="136"/>
    <col min="9986" max="9986" width="10.5546875" style="136" customWidth="1"/>
    <col min="9987" max="9987" width="27.6640625" style="136" customWidth="1"/>
    <col min="9988" max="9988" width="14.44140625" style="136" customWidth="1"/>
    <col min="9989" max="9990" width="15" style="136" customWidth="1"/>
    <col min="9991" max="9991" width="16.6640625" style="136" customWidth="1"/>
    <col min="9992" max="9992" width="13.109375" style="136" customWidth="1"/>
    <col min="9993" max="9994" width="12.5546875" style="136" customWidth="1"/>
    <col min="9995" max="10241" width="9.109375" style="136"/>
    <col min="10242" max="10242" width="10.5546875" style="136" customWidth="1"/>
    <col min="10243" max="10243" width="27.6640625" style="136" customWidth="1"/>
    <col min="10244" max="10244" width="14.44140625" style="136" customWidth="1"/>
    <col min="10245" max="10246" width="15" style="136" customWidth="1"/>
    <col min="10247" max="10247" width="16.6640625" style="136" customWidth="1"/>
    <col min="10248" max="10248" width="13.109375" style="136" customWidth="1"/>
    <col min="10249" max="10250" width="12.5546875" style="136" customWidth="1"/>
    <col min="10251" max="10497" width="9.109375" style="136"/>
    <col min="10498" max="10498" width="10.5546875" style="136" customWidth="1"/>
    <col min="10499" max="10499" width="27.6640625" style="136" customWidth="1"/>
    <col min="10500" max="10500" width="14.44140625" style="136" customWidth="1"/>
    <col min="10501" max="10502" width="15" style="136" customWidth="1"/>
    <col min="10503" max="10503" width="16.6640625" style="136" customWidth="1"/>
    <col min="10504" max="10504" width="13.109375" style="136" customWidth="1"/>
    <col min="10505" max="10506" width="12.5546875" style="136" customWidth="1"/>
    <col min="10507" max="10753" width="9.109375" style="136"/>
    <col min="10754" max="10754" width="10.5546875" style="136" customWidth="1"/>
    <col min="10755" max="10755" width="27.6640625" style="136" customWidth="1"/>
    <col min="10756" max="10756" width="14.44140625" style="136" customWidth="1"/>
    <col min="10757" max="10758" width="15" style="136" customWidth="1"/>
    <col min="10759" max="10759" width="16.6640625" style="136" customWidth="1"/>
    <col min="10760" max="10760" width="13.109375" style="136" customWidth="1"/>
    <col min="10761" max="10762" width="12.5546875" style="136" customWidth="1"/>
    <col min="10763" max="11009" width="9.109375" style="136"/>
    <col min="11010" max="11010" width="10.5546875" style="136" customWidth="1"/>
    <col min="11011" max="11011" width="27.6640625" style="136" customWidth="1"/>
    <col min="11012" max="11012" width="14.44140625" style="136" customWidth="1"/>
    <col min="11013" max="11014" width="15" style="136" customWidth="1"/>
    <col min="11015" max="11015" width="16.6640625" style="136" customWidth="1"/>
    <col min="11016" max="11016" width="13.109375" style="136" customWidth="1"/>
    <col min="11017" max="11018" width="12.5546875" style="136" customWidth="1"/>
    <col min="11019" max="11265" width="9.109375" style="136"/>
    <col min="11266" max="11266" width="10.5546875" style="136" customWidth="1"/>
    <col min="11267" max="11267" width="27.6640625" style="136" customWidth="1"/>
    <col min="11268" max="11268" width="14.44140625" style="136" customWidth="1"/>
    <col min="11269" max="11270" width="15" style="136" customWidth="1"/>
    <col min="11271" max="11271" width="16.6640625" style="136" customWidth="1"/>
    <col min="11272" max="11272" width="13.109375" style="136" customWidth="1"/>
    <col min="11273" max="11274" width="12.5546875" style="136" customWidth="1"/>
    <col min="11275" max="11521" width="9.109375" style="136"/>
    <col min="11522" max="11522" width="10.5546875" style="136" customWidth="1"/>
    <col min="11523" max="11523" width="27.6640625" style="136" customWidth="1"/>
    <col min="11524" max="11524" width="14.44140625" style="136" customWidth="1"/>
    <col min="11525" max="11526" width="15" style="136" customWidth="1"/>
    <col min="11527" max="11527" width="16.6640625" style="136" customWidth="1"/>
    <col min="11528" max="11528" width="13.109375" style="136" customWidth="1"/>
    <col min="11529" max="11530" width="12.5546875" style="136" customWidth="1"/>
    <col min="11531" max="11777" width="9.109375" style="136"/>
    <col min="11778" max="11778" width="10.5546875" style="136" customWidth="1"/>
    <col min="11779" max="11779" width="27.6640625" style="136" customWidth="1"/>
    <col min="11780" max="11780" width="14.44140625" style="136" customWidth="1"/>
    <col min="11781" max="11782" width="15" style="136" customWidth="1"/>
    <col min="11783" max="11783" width="16.6640625" style="136" customWidth="1"/>
    <col min="11784" max="11784" width="13.109375" style="136" customWidth="1"/>
    <col min="11785" max="11786" width="12.5546875" style="136" customWidth="1"/>
    <col min="11787" max="12033" width="9.109375" style="136"/>
    <col min="12034" max="12034" width="10.5546875" style="136" customWidth="1"/>
    <col min="12035" max="12035" width="27.6640625" style="136" customWidth="1"/>
    <col min="12036" max="12036" width="14.44140625" style="136" customWidth="1"/>
    <col min="12037" max="12038" width="15" style="136" customWidth="1"/>
    <col min="12039" max="12039" width="16.6640625" style="136" customWidth="1"/>
    <col min="12040" max="12040" width="13.109375" style="136" customWidth="1"/>
    <col min="12041" max="12042" width="12.5546875" style="136" customWidth="1"/>
    <col min="12043" max="12289" width="9.109375" style="136"/>
    <col min="12290" max="12290" width="10.5546875" style="136" customWidth="1"/>
    <col min="12291" max="12291" width="27.6640625" style="136" customWidth="1"/>
    <col min="12292" max="12292" width="14.44140625" style="136" customWidth="1"/>
    <col min="12293" max="12294" width="15" style="136" customWidth="1"/>
    <col min="12295" max="12295" width="16.6640625" style="136" customWidth="1"/>
    <col min="12296" max="12296" width="13.109375" style="136" customWidth="1"/>
    <col min="12297" max="12298" width="12.5546875" style="136" customWidth="1"/>
    <col min="12299" max="12545" width="9.109375" style="136"/>
    <col min="12546" max="12546" width="10.5546875" style="136" customWidth="1"/>
    <col min="12547" max="12547" width="27.6640625" style="136" customWidth="1"/>
    <col min="12548" max="12548" width="14.44140625" style="136" customWidth="1"/>
    <col min="12549" max="12550" width="15" style="136" customWidth="1"/>
    <col min="12551" max="12551" width="16.6640625" style="136" customWidth="1"/>
    <col min="12552" max="12552" width="13.109375" style="136" customWidth="1"/>
    <col min="12553" max="12554" width="12.5546875" style="136" customWidth="1"/>
    <col min="12555" max="12801" width="9.109375" style="136"/>
    <col min="12802" max="12802" width="10.5546875" style="136" customWidth="1"/>
    <col min="12803" max="12803" width="27.6640625" style="136" customWidth="1"/>
    <col min="12804" max="12804" width="14.44140625" style="136" customWidth="1"/>
    <col min="12805" max="12806" width="15" style="136" customWidth="1"/>
    <col min="12807" max="12807" width="16.6640625" style="136" customWidth="1"/>
    <col min="12808" max="12808" width="13.109375" style="136" customWidth="1"/>
    <col min="12809" max="12810" width="12.5546875" style="136" customWidth="1"/>
    <col min="12811" max="13057" width="9.109375" style="136"/>
    <col min="13058" max="13058" width="10.5546875" style="136" customWidth="1"/>
    <col min="13059" max="13059" width="27.6640625" style="136" customWidth="1"/>
    <col min="13060" max="13060" width="14.44140625" style="136" customWidth="1"/>
    <col min="13061" max="13062" width="15" style="136" customWidth="1"/>
    <col min="13063" max="13063" width="16.6640625" style="136" customWidth="1"/>
    <col min="13064" max="13064" width="13.109375" style="136" customWidth="1"/>
    <col min="13065" max="13066" width="12.5546875" style="136" customWidth="1"/>
    <col min="13067" max="13313" width="9.109375" style="136"/>
    <col min="13314" max="13314" width="10.5546875" style="136" customWidth="1"/>
    <col min="13315" max="13315" width="27.6640625" style="136" customWidth="1"/>
    <col min="13316" max="13316" width="14.44140625" style="136" customWidth="1"/>
    <col min="13317" max="13318" width="15" style="136" customWidth="1"/>
    <col min="13319" max="13319" width="16.6640625" style="136" customWidth="1"/>
    <col min="13320" max="13320" width="13.109375" style="136" customWidth="1"/>
    <col min="13321" max="13322" width="12.5546875" style="136" customWidth="1"/>
    <col min="13323" max="13569" width="9.109375" style="136"/>
    <col min="13570" max="13570" width="10.5546875" style="136" customWidth="1"/>
    <col min="13571" max="13571" width="27.6640625" style="136" customWidth="1"/>
    <col min="13572" max="13572" width="14.44140625" style="136" customWidth="1"/>
    <col min="13573" max="13574" width="15" style="136" customWidth="1"/>
    <col min="13575" max="13575" width="16.6640625" style="136" customWidth="1"/>
    <col min="13576" max="13576" width="13.109375" style="136" customWidth="1"/>
    <col min="13577" max="13578" width="12.5546875" style="136" customWidth="1"/>
    <col min="13579" max="13825" width="9.109375" style="136"/>
    <col min="13826" max="13826" width="10.5546875" style="136" customWidth="1"/>
    <col min="13827" max="13827" width="27.6640625" style="136" customWidth="1"/>
    <col min="13828" max="13828" width="14.44140625" style="136" customWidth="1"/>
    <col min="13829" max="13830" width="15" style="136" customWidth="1"/>
    <col min="13831" max="13831" width="16.6640625" style="136" customWidth="1"/>
    <col min="13832" max="13832" width="13.109375" style="136" customWidth="1"/>
    <col min="13833" max="13834" width="12.5546875" style="136" customWidth="1"/>
    <col min="13835" max="14081" width="9.109375" style="136"/>
    <col min="14082" max="14082" width="10.5546875" style="136" customWidth="1"/>
    <col min="14083" max="14083" width="27.6640625" style="136" customWidth="1"/>
    <col min="14084" max="14084" width="14.44140625" style="136" customWidth="1"/>
    <col min="14085" max="14086" width="15" style="136" customWidth="1"/>
    <col min="14087" max="14087" width="16.6640625" style="136" customWidth="1"/>
    <col min="14088" max="14088" width="13.109375" style="136" customWidth="1"/>
    <col min="14089" max="14090" width="12.5546875" style="136" customWidth="1"/>
    <col min="14091" max="14337" width="9.109375" style="136"/>
    <col min="14338" max="14338" width="10.5546875" style="136" customWidth="1"/>
    <col min="14339" max="14339" width="27.6640625" style="136" customWidth="1"/>
    <col min="14340" max="14340" width="14.44140625" style="136" customWidth="1"/>
    <col min="14341" max="14342" width="15" style="136" customWidth="1"/>
    <col min="14343" max="14343" width="16.6640625" style="136" customWidth="1"/>
    <col min="14344" max="14344" width="13.109375" style="136" customWidth="1"/>
    <col min="14345" max="14346" width="12.5546875" style="136" customWidth="1"/>
    <col min="14347" max="14593" width="9.109375" style="136"/>
    <col min="14594" max="14594" width="10.5546875" style="136" customWidth="1"/>
    <col min="14595" max="14595" width="27.6640625" style="136" customWidth="1"/>
    <col min="14596" max="14596" width="14.44140625" style="136" customWidth="1"/>
    <col min="14597" max="14598" width="15" style="136" customWidth="1"/>
    <col min="14599" max="14599" width="16.6640625" style="136" customWidth="1"/>
    <col min="14600" max="14600" width="13.109375" style="136" customWidth="1"/>
    <col min="14601" max="14602" width="12.5546875" style="136" customWidth="1"/>
    <col min="14603" max="14849" width="9.109375" style="136"/>
    <col min="14850" max="14850" width="10.5546875" style="136" customWidth="1"/>
    <col min="14851" max="14851" width="27.6640625" style="136" customWidth="1"/>
    <col min="14852" max="14852" width="14.44140625" style="136" customWidth="1"/>
    <col min="14853" max="14854" width="15" style="136" customWidth="1"/>
    <col min="14855" max="14855" width="16.6640625" style="136" customWidth="1"/>
    <col min="14856" max="14856" width="13.109375" style="136" customWidth="1"/>
    <col min="14857" max="14858" width="12.5546875" style="136" customWidth="1"/>
    <col min="14859" max="15105" width="9.109375" style="136"/>
    <col min="15106" max="15106" width="10.5546875" style="136" customWidth="1"/>
    <col min="15107" max="15107" width="27.6640625" style="136" customWidth="1"/>
    <col min="15108" max="15108" width="14.44140625" style="136" customWidth="1"/>
    <col min="15109" max="15110" width="15" style="136" customWidth="1"/>
    <col min="15111" max="15111" width="16.6640625" style="136" customWidth="1"/>
    <col min="15112" max="15112" width="13.109375" style="136" customWidth="1"/>
    <col min="15113" max="15114" width="12.5546875" style="136" customWidth="1"/>
    <col min="15115" max="15361" width="9.109375" style="136"/>
    <col min="15362" max="15362" width="10.5546875" style="136" customWidth="1"/>
    <col min="15363" max="15363" width="27.6640625" style="136" customWidth="1"/>
    <col min="15364" max="15364" width="14.44140625" style="136" customWidth="1"/>
    <col min="15365" max="15366" width="15" style="136" customWidth="1"/>
    <col min="15367" max="15367" width="16.6640625" style="136" customWidth="1"/>
    <col min="15368" max="15368" width="13.109375" style="136" customWidth="1"/>
    <col min="15369" max="15370" width="12.5546875" style="136" customWidth="1"/>
    <col min="15371" max="15617" width="9.109375" style="136"/>
    <col min="15618" max="15618" width="10.5546875" style="136" customWidth="1"/>
    <col min="15619" max="15619" width="27.6640625" style="136" customWidth="1"/>
    <col min="15620" max="15620" width="14.44140625" style="136" customWidth="1"/>
    <col min="15621" max="15622" width="15" style="136" customWidth="1"/>
    <col min="15623" max="15623" width="16.6640625" style="136" customWidth="1"/>
    <col min="15624" max="15624" width="13.109375" style="136" customWidth="1"/>
    <col min="15625" max="15626" width="12.5546875" style="136" customWidth="1"/>
    <col min="15627" max="15873" width="9.109375" style="136"/>
    <col min="15874" max="15874" width="10.5546875" style="136" customWidth="1"/>
    <col min="15875" max="15875" width="27.6640625" style="136" customWidth="1"/>
    <col min="15876" max="15876" width="14.44140625" style="136" customWidth="1"/>
    <col min="15877" max="15878" width="15" style="136" customWidth="1"/>
    <col min="15879" max="15879" width="16.6640625" style="136" customWidth="1"/>
    <col min="15880" max="15880" width="13.109375" style="136" customWidth="1"/>
    <col min="15881" max="15882" width="12.5546875" style="136" customWidth="1"/>
    <col min="15883" max="16129" width="9.109375" style="136"/>
    <col min="16130" max="16130" width="10.5546875" style="136" customWidth="1"/>
    <col min="16131" max="16131" width="27.6640625" style="136" customWidth="1"/>
    <col min="16132" max="16132" width="14.44140625" style="136" customWidth="1"/>
    <col min="16133" max="16134" width="15" style="136" customWidth="1"/>
    <col min="16135" max="16135" width="16.6640625" style="136" customWidth="1"/>
    <col min="16136" max="16136" width="13.109375" style="136" customWidth="1"/>
    <col min="16137" max="16138" width="12.5546875" style="136" customWidth="1"/>
    <col min="16139" max="16384" width="9.109375" style="136"/>
  </cols>
  <sheetData>
    <row r="1" spans="1:10" x14ac:dyDescent="0.3">
      <c r="A1" s="186"/>
      <c r="B1" s="187" t="str">
        <f>INSTRUÇÕES!B1</f>
        <v>Tribunal Regional Federal da 6ª Região</v>
      </c>
      <c r="C1" s="188"/>
      <c r="D1" s="188"/>
      <c r="E1" s="188"/>
      <c r="F1" s="189"/>
      <c r="G1" s="190"/>
      <c r="H1" s="663"/>
      <c r="I1" s="189"/>
      <c r="J1" s="191"/>
    </row>
    <row r="2" spans="1:10" x14ac:dyDescent="0.3">
      <c r="A2" s="192"/>
      <c r="B2" s="193" t="str">
        <f>INSTRUÇÕES!B2</f>
        <v>Seção Judiciária de Minas Gerais</v>
      </c>
      <c r="C2" s="194"/>
      <c r="D2" s="194"/>
      <c r="E2" s="194"/>
      <c r="F2" s="195"/>
      <c r="I2" s="195"/>
      <c r="J2" s="196"/>
    </row>
    <row r="3" spans="1:10" ht="14.4" thickBot="1" x14ac:dyDescent="0.35">
      <c r="A3" s="197"/>
      <c r="B3" s="198" t="str">
        <f>INSTRUÇÕES!B3</f>
        <v>Subseção Judiciária de Sete Lagoas</v>
      </c>
      <c r="C3" s="194"/>
      <c r="D3" s="194"/>
      <c r="E3" s="194"/>
      <c r="F3" s="195"/>
      <c r="I3" s="195"/>
      <c r="J3" s="196"/>
    </row>
    <row r="4" spans="1:10" ht="20.100000000000001" customHeight="1" thickBot="1" x14ac:dyDescent="0.35">
      <c r="A4" s="1206" t="s">
        <v>604</v>
      </c>
      <c r="B4" s="1207"/>
      <c r="C4" s="1207"/>
      <c r="D4" s="1207"/>
      <c r="E4" s="1207"/>
      <c r="F4" s="1207"/>
      <c r="G4" s="1207"/>
      <c r="H4" s="1208"/>
      <c r="I4" s="1207"/>
      <c r="J4" s="1209"/>
    </row>
    <row r="5" spans="1:10" ht="20.100000000000001" customHeight="1" x14ac:dyDescent="0.3">
      <c r="A5" s="1210" t="s">
        <v>419</v>
      </c>
      <c r="B5" s="1211"/>
      <c r="C5" s="1211"/>
      <c r="D5" s="1211"/>
      <c r="E5" s="1211"/>
      <c r="F5" s="1211"/>
      <c r="G5" s="1211"/>
      <c r="H5" s="1212"/>
      <c r="I5" s="1211"/>
      <c r="J5" s="1213"/>
    </row>
    <row r="6" spans="1:10" s="363" customFormat="1" ht="36" customHeight="1" thickBot="1" x14ac:dyDescent="0.35">
      <c r="A6" s="1214" t="str">
        <f>Dados!A4</f>
        <v>Sindicato utilizado - SINTAPPI/MG. Vigência: 01/04/2023 à 31/03/2024. Sendo a data base da categoria 01º de Abril. Com número de registro no MTE MG001474/2023.</v>
      </c>
      <c r="B6" s="1215"/>
      <c r="C6" s="1215"/>
      <c r="D6" s="1215"/>
      <c r="E6" s="1215"/>
      <c r="F6" s="1215"/>
      <c r="G6" s="1215"/>
      <c r="H6" s="1215"/>
      <c r="I6" s="1215"/>
      <c r="J6" s="1216"/>
    </row>
    <row r="7" spans="1:10" ht="20.100000000000001" customHeight="1" thickBot="1" x14ac:dyDescent="0.35">
      <c r="A7" s="1217" t="str">
        <f>Dados!C11</f>
        <v>Auxiliar Administrativo</v>
      </c>
      <c r="B7" s="1218"/>
      <c r="C7" s="1218"/>
      <c r="D7" s="1218"/>
      <c r="E7" s="1219"/>
      <c r="F7" s="1220" t="s">
        <v>605</v>
      </c>
      <c r="G7" s="1221" t="s">
        <v>606</v>
      </c>
      <c r="H7" s="1220" t="s">
        <v>756</v>
      </c>
      <c r="I7" s="1220" t="s">
        <v>757</v>
      </c>
      <c r="J7" s="1222" t="s">
        <v>607</v>
      </c>
    </row>
    <row r="8" spans="1:10" ht="20.100000000000001" customHeight="1" thickBot="1" x14ac:dyDescent="0.35">
      <c r="A8" s="1223" t="s">
        <v>608</v>
      </c>
      <c r="B8" s="1224"/>
      <c r="C8" s="1224"/>
      <c r="D8" s="1224"/>
      <c r="E8" s="137" t="s">
        <v>527</v>
      </c>
      <c r="F8" s="1220"/>
      <c r="G8" s="1221"/>
      <c r="H8" s="1220"/>
      <c r="I8" s="1220"/>
      <c r="J8" s="1222"/>
    </row>
    <row r="9" spans="1:10" ht="20.100000000000001" customHeight="1" x14ac:dyDescent="0.3">
      <c r="A9" s="1225" t="s">
        <v>609</v>
      </c>
      <c r="B9" s="1226"/>
      <c r="C9" s="1226"/>
      <c r="D9" s="1226"/>
      <c r="E9" s="1226"/>
      <c r="F9" s="1226"/>
      <c r="G9" s="1226"/>
      <c r="H9" s="1227"/>
      <c r="I9" s="1226"/>
      <c r="J9" s="1228"/>
    </row>
    <row r="10" spans="1:10" ht="24" customHeight="1" x14ac:dyDescent="0.3">
      <c r="A10" s="199" t="s">
        <v>512</v>
      </c>
      <c r="B10" s="1229" t="s">
        <v>610</v>
      </c>
      <c r="C10" s="1229"/>
      <c r="D10" s="138" t="s">
        <v>611</v>
      </c>
      <c r="E10" s="139" t="s">
        <v>612</v>
      </c>
      <c r="F10" s="1230" t="s">
        <v>530</v>
      </c>
      <c r="G10" s="1230"/>
      <c r="H10" s="1231"/>
      <c r="I10" s="1230"/>
      <c r="J10" s="1232"/>
    </row>
    <row r="11" spans="1:10" ht="20.100000000000001" customHeight="1" x14ac:dyDescent="0.3">
      <c r="A11" s="1233">
        <v>1</v>
      </c>
      <c r="B11" s="1235" t="str">
        <f>A7</f>
        <v>Auxiliar Administrativo</v>
      </c>
      <c r="C11" s="1235"/>
      <c r="D11" s="140">
        <f>Dados!$D$11</f>
        <v>200</v>
      </c>
      <c r="E11" s="166">
        <f>Dados!$E$11</f>
        <v>1788.06</v>
      </c>
      <c r="F11" s="160">
        <f>ROUND(E11/220*D11,2)</f>
        <v>1625.51</v>
      </c>
      <c r="G11" s="160">
        <f>F11</f>
        <v>1625.51</v>
      </c>
      <c r="H11" s="664"/>
      <c r="I11" s="160"/>
      <c r="J11" s="200"/>
    </row>
    <row r="12" spans="1:10" ht="20.100000000000001" customHeight="1" x14ac:dyDescent="0.3">
      <c r="A12" s="1233"/>
      <c r="B12" s="1235" t="s">
        <v>613</v>
      </c>
      <c r="C12" s="1235"/>
      <c r="D12" s="213">
        <f>Dados!G8</f>
        <v>0</v>
      </c>
      <c r="E12" s="166">
        <f>Dados!$G$28</f>
        <v>1320</v>
      </c>
      <c r="F12" s="160">
        <f>D12*E12</f>
        <v>0</v>
      </c>
      <c r="G12" s="160">
        <f>F12</f>
        <v>0</v>
      </c>
      <c r="H12" s="664"/>
      <c r="I12" s="160"/>
      <c r="J12" s="200">
        <f>F12</f>
        <v>0</v>
      </c>
    </row>
    <row r="13" spans="1:10" ht="21.75" customHeight="1" x14ac:dyDescent="0.3">
      <c r="A13" s="1233"/>
      <c r="B13" s="167" t="s">
        <v>614</v>
      </c>
      <c r="C13" s="168">
        <f>Dados!$I$11</f>
        <v>0</v>
      </c>
      <c r="D13" s="168">
        <f>Dados!$J$11</f>
        <v>0</v>
      </c>
      <c r="E13" s="169">
        <f>Dados!$K$11</f>
        <v>0</v>
      </c>
      <c r="F13" s="163">
        <f>ROUND((E13*D13*C13),2)</f>
        <v>0</v>
      </c>
      <c r="G13" s="163">
        <f>F13</f>
        <v>0</v>
      </c>
      <c r="H13" s="665"/>
      <c r="I13" s="163"/>
      <c r="J13" s="201"/>
    </row>
    <row r="14" spans="1:10" ht="20.100000000000001" customHeight="1" x14ac:dyDescent="0.3">
      <c r="A14" s="1234"/>
      <c r="B14" s="1236" t="s">
        <v>615</v>
      </c>
      <c r="C14" s="1236"/>
      <c r="D14" s="1236"/>
      <c r="E14" s="1236"/>
      <c r="F14" s="171">
        <f>SUM(F11:F13)</f>
        <v>1625.51</v>
      </c>
      <c r="G14" s="171">
        <f>SUM(G11:G13)</f>
        <v>1625.51</v>
      </c>
      <c r="H14" s="171">
        <f>SUM(H11:H13)</f>
        <v>0</v>
      </c>
      <c r="I14" s="171">
        <f>SUM(I11:I13)</f>
        <v>0</v>
      </c>
      <c r="J14" s="202">
        <f>SUM(J11:J13)</f>
        <v>0</v>
      </c>
    </row>
    <row r="15" spans="1:10" ht="20.100000000000001" customHeight="1" thickBot="1" x14ac:dyDescent="0.35">
      <c r="A15" s="1233"/>
      <c r="B15" s="1237" t="s">
        <v>616</v>
      </c>
      <c r="C15" s="1237"/>
      <c r="D15" s="1237"/>
      <c r="E15" s="170">
        <f>Encargos!$C$57</f>
        <v>0.79049999999999998</v>
      </c>
      <c r="F15" s="160">
        <f>ROUND((E15*F14),2)</f>
        <v>1284.97</v>
      </c>
      <c r="G15" s="160">
        <f>F15</f>
        <v>1284.97</v>
      </c>
      <c r="H15" s="664"/>
      <c r="I15" s="160"/>
      <c r="J15" s="200">
        <f>ROUND((E15*J14),2)</f>
        <v>0</v>
      </c>
    </row>
    <row r="16" spans="1:10" ht="20.100000000000001" customHeight="1" thickBot="1" x14ac:dyDescent="0.35">
      <c r="A16" s="1240" t="s">
        <v>617</v>
      </c>
      <c r="B16" s="1241"/>
      <c r="C16" s="1241"/>
      <c r="D16" s="1241"/>
      <c r="E16" s="1241"/>
      <c r="F16" s="203">
        <f>SUM(F14:F15)</f>
        <v>2910.48</v>
      </c>
      <c r="G16" s="203">
        <f>SUM(G14:G15)</f>
        <v>2910.48</v>
      </c>
      <c r="H16" s="203">
        <f>SUM(H14:H15)</f>
        <v>0</v>
      </c>
      <c r="I16" s="203">
        <f>SUM(I14:I15)</f>
        <v>0</v>
      </c>
      <c r="J16" s="204">
        <f>SUM(J14:J15)</f>
        <v>0</v>
      </c>
    </row>
    <row r="17" spans="1:12" ht="20.100000000000001" customHeight="1" x14ac:dyDescent="0.3">
      <c r="A17" s="1242" t="s">
        <v>618</v>
      </c>
      <c r="B17" s="1243"/>
      <c r="C17" s="1243"/>
      <c r="D17" s="1243"/>
      <c r="E17" s="1243"/>
      <c r="F17" s="1243"/>
      <c r="G17" s="1243"/>
      <c r="H17" s="1243"/>
      <c r="I17" s="1243"/>
      <c r="J17" s="1244"/>
    </row>
    <row r="18" spans="1:12" ht="20.100000000000001" customHeight="1" x14ac:dyDescent="0.3">
      <c r="A18" s="1245" t="s">
        <v>619</v>
      </c>
      <c r="B18" s="1246"/>
      <c r="C18" s="109" t="s">
        <v>529</v>
      </c>
      <c r="D18" s="1247" t="s">
        <v>620</v>
      </c>
      <c r="E18" s="1247"/>
      <c r="F18" s="1248" t="s">
        <v>530</v>
      </c>
      <c r="G18" s="1248"/>
      <c r="H18" s="1249"/>
      <c r="I18" s="1248"/>
      <c r="J18" s="1250"/>
    </row>
    <row r="19" spans="1:12" ht="20.100000000000001" customHeight="1" x14ac:dyDescent="0.3">
      <c r="A19" s="1238" t="s">
        <v>621</v>
      </c>
      <c r="B19" s="1239"/>
      <c r="C19" s="152"/>
      <c r="D19" s="152"/>
      <c r="E19" s="152"/>
      <c r="F19" s="160">
        <f>Dados!$N$11</f>
        <v>41.7</v>
      </c>
      <c r="G19" s="160">
        <f>F19</f>
        <v>41.7</v>
      </c>
      <c r="H19" s="664"/>
      <c r="I19" s="160"/>
      <c r="J19" s="200"/>
    </row>
    <row r="20" spans="1:12" ht="20.100000000000001" customHeight="1" x14ac:dyDescent="0.3">
      <c r="A20" s="1238" t="s">
        <v>622</v>
      </c>
      <c r="B20" s="1239"/>
      <c r="C20" s="152"/>
      <c r="D20" s="152"/>
      <c r="E20" s="152"/>
      <c r="F20" s="160">
        <f>Dados!$G$31</f>
        <v>1.55</v>
      </c>
      <c r="G20" s="160">
        <f>F20</f>
        <v>1.55</v>
      </c>
      <c r="H20" s="664"/>
      <c r="I20" s="160"/>
      <c r="J20" s="200"/>
    </row>
    <row r="21" spans="1:12" ht="23.85" customHeight="1" x14ac:dyDescent="0.3">
      <c r="A21" s="1251" t="s">
        <v>340</v>
      </c>
      <c r="B21" s="1252"/>
      <c r="C21" s="152"/>
      <c r="D21" s="152"/>
      <c r="E21" s="152"/>
      <c r="F21" s="160">
        <f>Dados!G32</f>
        <v>0</v>
      </c>
      <c r="G21" s="160">
        <f>F21</f>
        <v>0</v>
      </c>
      <c r="H21" s="664"/>
      <c r="I21" s="160"/>
      <c r="J21" s="200"/>
    </row>
    <row r="22" spans="1:12" ht="20.100000000000001" customHeight="1" x14ac:dyDescent="0.3">
      <c r="A22" s="1238" t="s">
        <v>341</v>
      </c>
      <c r="B22" s="1239"/>
      <c r="C22" s="154">
        <f>Dados!$G$35</f>
        <v>22</v>
      </c>
      <c r="D22" s="154">
        <f>Dados!$G$34</f>
        <v>2</v>
      </c>
      <c r="E22" s="153">
        <f>Dados!$G$33</f>
        <v>4.25</v>
      </c>
      <c r="F22" s="160">
        <f>IF(ROUND((E22*D22*C22)-(F11*Dados!$G$36),2)&lt;0,0,ROUND((E22*D22*C22)-(F11*Dados!$G$36),2))</f>
        <v>89.47</v>
      </c>
      <c r="G22" s="160">
        <f>F22</f>
        <v>89.47</v>
      </c>
      <c r="H22" s="664"/>
      <c r="I22" s="160">
        <f>F22</f>
        <v>89.47</v>
      </c>
      <c r="J22" s="200"/>
    </row>
    <row r="23" spans="1:12" ht="20.100000000000001" customHeight="1" x14ac:dyDescent="0.3">
      <c r="A23" s="1238" t="s">
        <v>342</v>
      </c>
      <c r="B23" s="1239"/>
      <c r="C23" s="154">
        <f>Dados!G38</f>
        <v>22</v>
      </c>
      <c r="D23" s="159">
        <f>Dados!G39</f>
        <v>0.2</v>
      </c>
      <c r="E23" s="153">
        <f>Dados!$G$37</f>
        <v>24</v>
      </c>
      <c r="F23" s="161">
        <f>ROUND((IF(D11&gt;150,((C23*E23)-(C23*(D23*E23))),0)),2)</f>
        <v>422.4</v>
      </c>
      <c r="G23" s="160">
        <f>F23</f>
        <v>422.4</v>
      </c>
      <c r="H23" s="664">
        <f>$F$23</f>
        <v>422.4</v>
      </c>
      <c r="I23" s="161"/>
      <c r="J23" s="200"/>
    </row>
    <row r="24" spans="1:12" ht="20.100000000000001" customHeight="1" x14ac:dyDescent="0.3">
      <c r="A24" s="1238" t="s">
        <v>343</v>
      </c>
      <c r="B24" s="1239"/>
      <c r="C24" s="154"/>
      <c r="D24" s="154"/>
      <c r="E24" s="153"/>
      <c r="F24" s="161">
        <f>Dados!$G$40</f>
        <v>0</v>
      </c>
      <c r="G24" s="160"/>
      <c r="H24" s="664"/>
      <c r="I24" s="161"/>
      <c r="J24" s="200"/>
    </row>
    <row r="25" spans="1:12" ht="20.100000000000001" customHeight="1" x14ac:dyDescent="0.3">
      <c r="A25" s="1238" t="s">
        <v>343</v>
      </c>
      <c r="B25" s="1239"/>
      <c r="C25" s="154"/>
      <c r="D25" s="154"/>
      <c r="E25" s="153"/>
      <c r="F25" s="161">
        <f>Dados!$G$41</f>
        <v>0</v>
      </c>
      <c r="G25" s="160"/>
      <c r="H25" s="664"/>
      <c r="I25" s="161"/>
      <c r="J25" s="200"/>
    </row>
    <row r="26" spans="1:12" ht="20.100000000000001" customHeight="1" x14ac:dyDescent="0.3">
      <c r="A26" s="1238" t="s">
        <v>623</v>
      </c>
      <c r="B26" s="1239"/>
      <c r="C26" s="154"/>
      <c r="D26" s="153"/>
      <c r="E26" s="153"/>
      <c r="F26" s="160"/>
      <c r="G26" s="160"/>
      <c r="H26" s="664"/>
      <c r="I26" s="160"/>
      <c r="J26" s="200"/>
      <c r="L26" s="142"/>
    </row>
    <row r="27" spans="1:12" ht="20.100000000000001" customHeight="1" x14ac:dyDescent="0.3">
      <c r="A27" s="205" t="s">
        <v>624</v>
      </c>
      <c r="B27" s="143"/>
      <c r="C27" s="154"/>
      <c r="D27" s="153"/>
      <c r="E27" s="153"/>
      <c r="F27" s="160"/>
      <c r="G27" s="160"/>
      <c r="H27" s="664"/>
      <c r="I27" s="160"/>
      <c r="J27" s="200"/>
    </row>
    <row r="28" spans="1:12" ht="20.100000000000001" customHeight="1" x14ac:dyDescent="0.3">
      <c r="A28" s="205" t="s">
        <v>625</v>
      </c>
      <c r="B28" s="143"/>
      <c r="C28" s="155"/>
      <c r="D28" s="156"/>
      <c r="E28" s="156"/>
      <c r="F28" s="162">
        <f>Dados!$S$11</f>
        <v>2.68</v>
      </c>
      <c r="G28" s="160"/>
      <c r="H28" s="664"/>
      <c r="I28" s="162"/>
      <c r="J28" s="200"/>
    </row>
    <row r="29" spans="1:12" ht="20.100000000000001" customHeight="1" thickBot="1" x14ac:dyDescent="0.35">
      <c r="A29" s="1253" t="s">
        <v>626</v>
      </c>
      <c r="B29" s="1254"/>
      <c r="C29" s="157"/>
      <c r="D29" s="158"/>
      <c r="E29" s="158"/>
      <c r="F29" s="163"/>
      <c r="G29" s="163"/>
      <c r="H29" s="665"/>
      <c r="I29" s="163"/>
      <c r="J29" s="201"/>
    </row>
    <row r="30" spans="1:12" ht="20.100000000000001" customHeight="1" thickBot="1" x14ac:dyDescent="0.35">
      <c r="A30" s="1255" t="s">
        <v>627</v>
      </c>
      <c r="B30" s="1256"/>
      <c r="C30" s="1256"/>
      <c r="D30" s="1256"/>
      <c r="E30" s="1256"/>
      <c r="F30" s="203">
        <f>SUM(F19:F29)</f>
        <v>557.79999999999995</v>
      </c>
      <c r="G30" s="203">
        <f t="shared" ref="G30:J30" si="0">SUM(G19:G29)</f>
        <v>555.12</v>
      </c>
      <c r="H30" s="203">
        <f t="shared" si="0"/>
        <v>422.4</v>
      </c>
      <c r="I30" s="203">
        <f t="shared" si="0"/>
        <v>89.47</v>
      </c>
      <c r="J30" s="204">
        <f t="shared" si="0"/>
        <v>0</v>
      </c>
    </row>
    <row r="31" spans="1:12" ht="20.100000000000001" customHeight="1" thickBot="1" x14ac:dyDescent="0.35">
      <c r="A31" s="1255" t="s">
        <v>628</v>
      </c>
      <c r="B31" s="1256"/>
      <c r="C31" s="1256"/>
      <c r="D31" s="1256"/>
      <c r="E31" s="1256"/>
      <c r="F31" s="203">
        <f>F16+F30</f>
        <v>3468.2799999999997</v>
      </c>
      <c r="G31" s="203">
        <f t="shared" ref="G31:J31" si="1">G16+G30</f>
        <v>3465.6</v>
      </c>
      <c r="H31" s="203">
        <f t="shared" si="1"/>
        <v>422.4</v>
      </c>
      <c r="I31" s="203">
        <f t="shared" si="1"/>
        <v>89.47</v>
      </c>
      <c r="J31" s="204">
        <f t="shared" si="1"/>
        <v>0</v>
      </c>
    </row>
    <row r="32" spans="1:12" ht="20.100000000000001" customHeight="1" x14ac:dyDescent="0.3">
      <c r="A32" s="1225" t="s">
        <v>629</v>
      </c>
      <c r="B32" s="1226"/>
      <c r="C32" s="1226"/>
      <c r="D32" s="1226"/>
      <c r="E32" s="1226"/>
      <c r="F32" s="1226"/>
      <c r="G32" s="1226"/>
      <c r="H32" s="1227"/>
      <c r="I32" s="1226"/>
      <c r="J32" s="1228"/>
    </row>
    <row r="33" spans="1:12" ht="20.100000000000001" customHeight="1" x14ac:dyDescent="0.3">
      <c r="A33" s="1245" t="s">
        <v>630</v>
      </c>
      <c r="B33" s="1246"/>
      <c r="C33" s="1246"/>
      <c r="D33" s="144" t="s">
        <v>631</v>
      </c>
      <c r="E33" s="1257" t="s">
        <v>530</v>
      </c>
      <c r="F33" s="1257"/>
      <c r="G33" s="1257"/>
      <c r="H33" s="1258"/>
      <c r="I33" s="1257"/>
      <c r="J33" s="1259"/>
    </row>
    <row r="34" spans="1:12" ht="20.100000000000001" customHeight="1" x14ac:dyDescent="0.3">
      <c r="A34" s="206" t="s">
        <v>632</v>
      </c>
      <c r="B34" s="145"/>
      <c r="C34" s="145"/>
      <c r="D34" s="150">
        <f>Dados!$G$44</f>
        <v>0.03</v>
      </c>
      <c r="E34" s="146"/>
      <c r="F34" s="160">
        <f>ROUND((F31*$D$34),2)</f>
        <v>104.05</v>
      </c>
      <c r="G34" s="160">
        <f t="shared" ref="G34:J34" si="2">ROUND((G31*$D$34),2)</f>
        <v>103.97</v>
      </c>
      <c r="H34" s="160">
        <f t="shared" ref="H34" si="3">ROUND((H31*$D$34),2)</f>
        <v>12.67</v>
      </c>
      <c r="I34" s="160">
        <f t="shared" si="2"/>
        <v>2.68</v>
      </c>
      <c r="J34" s="200">
        <f t="shared" si="2"/>
        <v>0</v>
      </c>
    </row>
    <row r="35" spans="1:12" ht="20.100000000000001" customHeight="1" x14ac:dyDescent="0.3">
      <c r="A35" s="1260" t="s">
        <v>633</v>
      </c>
      <c r="B35" s="1261"/>
      <c r="C35" s="1261"/>
      <c r="D35" s="150"/>
      <c r="E35" s="146"/>
      <c r="F35" s="160">
        <f>F31+F34</f>
        <v>3572.33</v>
      </c>
      <c r="G35" s="160">
        <f t="shared" ref="G35:J35" si="4">G31+G34</f>
        <v>3569.5699999999997</v>
      </c>
      <c r="H35" s="160">
        <f t="shared" ref="H35" si="5">H31+H34</f>
        <v>435.07</v>
      </c>
      <c r="I35" s="160">
        <f t="shared" si="4"/>
        <v>92.15</v>
      </c>
      <c r="J35" s="200">
        <f t="shared" si="4"/>
        <v>0</v>
      </c>
    </row>
    <row r="36" spans="1:12" ht="20.100000000000001" customHeight="1" thickBot="1" x14ac:dyDescent="0.35">
      <c r="A36" s="207" t="s">
        <v>348</v>
      </c>
      <c r="B36" s="147"/>
      <c r="C36" s="147"/>
      <c r="D36" s="175">
        <f>Dados!$G$45</f>
        <v>6.7900000000000002E-2</v>
      </c>
      <c r="E36" s="148"/>
      <c r="F36" s="163">
        <f>ROUND((F35*$D$36),2)</f>
        <v>242.56</v>
      </c>
      <c r="G36" s="163">
        <f t="shared" ref="G36:J36" si="6">ROUND((G35*$D$36),2)</f>
        <v>242.37</v>
      </c>
      <c r="H36" s="163">
        <f t="shared" ref="H36" si="7">ROUND((H35*$D$36),2)</f>
        <v>29.54</v>
      </c>
      <c r="I36" s="163">
        <f t="shared" si="6"/>
        <v>6.26</v>
      </c>
      <c r="J36" s="201">
        <f t="shared" si="6"/>
        <v>0</v>
      </c>
    </row>
    <row r="37" spans="1:12" ht="20.100000000000001" customHeight="1" thickBot="1" x14ac:dyDescent="0.35">
      <c r="A37" s="176" t="s">
        <v>634</v>
      </c>
      <c r="B37" s="177"/>
      <c r="C37" s="177"/>
      <c r="D37" s="178">
        <f>SUM(D34:D36)</f>
        <v>9.7900000000000001E-2</v>
      </c>
      <c r="E37" s="179"/>
      <c r="F37" s="180">
        <f>F34+F36</f>
        <v>346.61</v>
      </c>
      <c r="G37" s="180">
        <f>G34+G36</f>
        <v>346.34000000000003</v>
      </c>
      <c r="H37" s="180">
        <f>H34+H36</f>
        <v>42.21</v>
      </c>
      <c r="I37" s="180">
        <f>I34+I36</f>
        <v>8.94</v>
      </c>
      <c r="J37" s="181">
        <f>J34+J36</f>
        <v>0</v>
      </c>
    </row>
    <row r="38" spans="1:12" ht="20.100000000000001" customHeight="1" thickBot="1" x14ac:dyDescent="0.35">
      <c r="A38" s="1262" t="s">
        <v>635</v>
      </c>
      <c r="B38" s="1263"/>
      <c r="C38" s="1263"/>
      <c r="D38" s="1263"/>
      <c r="E38" s="1263"/>
      <c r="F38" s="165">
        <f>F31+F37</f>
        <v>3814.89</v>
      </c>
      <c r="G38" s="165">
        <f t="shared" ref="G38:J38" si="8">G31+G37</f>
        <v>3811.94</v>
      </c>
      <c r="H38" s="165">
        <f t="shared" ref="H38" si="9">H31+H37</f>
        <v>464.60999999999996</v>
      </c>
      <c r="I38" s="165">
        <f t="shared" si="8"/>
        <v>98.41</v>
      </c>
      <c r="J38" s="208">
        <f t="shared" si="8"/>
        <v>0</v>
      </c>
    </row>
    <row r="39" spans="1:12" ht="20.100000000000001" customHeight="1" x14ac:dyDescent="0.3">
      <c r="A39" s="1264" t="s">
        <v>636</v>
      </c>
      <c r="B39" s="1265"/>
      <c r="C39" s="1265"/>
      <c r="D39" s="1265"/>
      <c r="E39" s="1265"/>
      <c r="F39" s="1265"/>
      <c r="G39" s="1265"/>
      <c r="H39" s="1266"/>
      <c r="I39" s="1265"/>
      <c r="J39" s="1267"/>
    </row>
    <row r="40" spans="1:12" ht="20.100000000000001" customHeight="1" x14ac:dyDescent="0.3">
      <c r="A40" s="1238" t="s">
        <v>353</v>
      </c>
      <c r="B40" s="1239"/>
      <c r="C40" s="1239"/>
      <c r="D40" s="150">
        <f>Dados!G52</f>
        <v>7.5999999999999998E-2</v>
      </c>
      <c r="E40" s="151"/>
      <c r="F40" s="160">
        <f>ROUND(($F$46*D40),2)</f>
        <v>330.41</v>
      </c>
      <c r="G40" s="160">
        <f t="shared" ref="G40:J40" si="10">ROUND((G46*$D$40),2)</f>
        <v>330.15</v>
      </c>
      <c r="H40" s="160">
        <f t="shared" ref="H40" si="11">ROUND((H46*$D$40),2)</f>
        <v>35.31</v>
      </c>
      <c r="I40" s="160">
        <f t="shared" si="10"/>
        <v>8.52</v>
      </c>
      <c r="J40" s="200">
        <f t="shared" si="10"/>
        <v>0</v>
      </c>
    </row>
    <row r="41" spans="1:12" ht="20.100000000000001" customHeight="1" x14ac:dyDescent="0.3">
      <c r="A41" s="1238" t="s">
        <v>355</v>
      </c>
      <c r="B41" s="1239"/>
      <c r="C41" s="1239"/>
      <c r="D41" s="150">
        <f>Dados!G53</f>
        <v>1.6500000000000001E-2</v>
      </c>
      <c r="E41" s="151"/>
      <c r="F41" s="160">
        <f>ROUND((F46*$D$41),2)</f>
        <v>71.73</v>
      </c>
      <c r="G41" s="160">
        <f t="shared" ref="G41:J41" si="12">ROUND((G46*$D$41),2)</f>
        <v>71.680000000000007</v>
      </c>
      <c r="H41" s="160">
        <f t="shared" ref="H41" si="13">ROUND((H46*$D$41),2)</f>
        <v>7.67</v>
      </c>
      <c r="I41" s="160">
        <f t="shared" si="12"/>
        <v>1.85</v>
      </c>
      <c r="J41" s="200">
        <f t="shared" si="12"/>
        <v>0</v>
      </c>
    </row>
    <row r="42" spans="1:12" ht="20.100000000000001" customHeight="1" x14ac:dyDescent="0.3">
      <c r="A42" s="1238" t="s">
        <v>356</v>
      </c>
      <c r="B42" s="1239"/>
      <c r="C42" s="1239"/>
      <c r="D42" s="150">
        <f>Dados!G54</f>
        <v>0.03</v>
      </c>
      <c r="E42" s="151"/>
      <c r="F42" s="160">
        <f>ROUND((F46*$D$42),2)</f>
        <v>130.41999999999999</v>
      </c>
      <c r="G42" s="160">
        <f t="shared" ref="G42:J42" si="14">ROUND((G46*$D$42),2)</f>
        <v>130.32</v>
      </c>
      <c r="H42" s="160">
        <f t="shared" ref="H42" si="15">ROUND((H46*$D$42),2)</f>
        <v>13.94</v>
      </c>
      <c r="I42" s="160">
        <f t="shared" si="14"/>
        <v>3.36</v>
      </c>
      <c r="J42" s="200">
        <f t="shared" si="14"/>
        <v>0</v>
      </c>
    </row>
    <row r="43" spans="1:12" ht="20.100000000000001" customHeight="1" x14ac:dyDescent="0.3">
      <c r="A43" s="1238" t="s">
        <v>343</v>
      </c>
      <c r="B43" s="1239"/>
      <c r="C43" s="1239"/>
      <c r="D43" s="150">
        <f>Dados!G55</f>
        <v>0</v>
      </c>
      <c r="E43" s="151"/>
      <c r="F43" s="160">
        <f>ROUND((F46*$D$43),2)</f>
        <v>0</v>
      </c>
      <c r="G43" s="160">
        <f t="shared" ref="G43:J43" si="16">ROUND((G46*$D$43),2)</f>
        <v>0</v>
      </c>
      <c r="H43" s="160">
        <f t="shared" ref="H43" si="17">ROUND((H46*$D$43),2)</f>
        <v>0</v>
      </c>
      <c r="I43" s="160">
        <f t="shared" si="16"/>
        <v>0</v>
      </c>
      <c r="J43" s="200">
        <f t="shared" si="16"/>
        <v>0</v>
      </c>
    </row>
    <row r="44" spans="1:12" ht="20.100000000000001" customHeight="1" x14ac:dyDescent="0.3">
      <c r="A44" s="1270" t="s">
        <v>637</v>
      </c>
      <c r="B44" s="1271"/>
      <c r="C44" s="1272"/>
      <c r="D44" s="182">
        <f>SUM(D40:D43)</f>
        <v>0.1225</v>
      </c>
      <c r="E44" s="183"/>
      <c r="F44" s="184">
        <f>SUM(F40:F43)</f>
        <v>532.56000000000006</v>
      </c>
      <c r="G44" s="184">
        <f>SUM(G40:G43)</f>
        <v>532.15</v>
      </c>
      <c r="H44" s="184">
        <f>SUM(H40:H43)</f>
        <v>56.92</v>
      </c>
      <c r="I44" s="184">
        <f>SUM(I40:I43)</f>
        <v>13.729999999999999</v>
      </c>
      <c r="J44" s="209">
        <f>SUM(J40:J42)</f>
        <v>0</v>
      </c>
    </row>
    <row r="45" spans="1:12" ht="20.100000000000001" customHeight="1" x14ac:dyDescent="0.3">
      <c r="A45" s="1273" t="str">
        <f>CONCATENATE("Custo Mensal - ",A7)</f>
        <v>Custo Mensal - Auxiliar Administrativo</v>
      </c>
      <c r="B45" s="1274"/>
      <c r="C45" s="1274"/>
      <c r="D45" s="1274"/>
      <c r="E45" s="1274"/>
      <c r="F45" s="185">
        <f>ROUND(F38/(1-D44),2)</f>
        <v>4347.45</v>
      </c>
      <c r="G45" s="185">
        <f>ROUND(G38/(1-D44),2)</f>
        <v>4344.09</v>
      </c>
      <c r="H45" s="185">
        <f>ROUND(H38/(1-C44),2)</f>
        <v>464.61</v>
      </c>
      <c r="I45" s="185">
        <f>ROUND(I38/(1-D44),2)</f>
        <v>112.15</v>
      </c>
      <c r="J45" s="210">
        <f>ROUND(J38/(1-D44),2)</f>
        <v>0</v>
      </c>
    </row>
    <row r="46" spans="1:12" ht="20.100000000000001" customHeight="1" x14ac:dyDescent="0.3">
      <c r="A46" s="1275" t="str">
        <f>CONCATENATE("Valor do Custo Mensal - ",A7)</f>
        <v>Valor do Custo Mensal - Auxiliar Administrativo</v>
      </c>
      <c r="B46" s="1276"/>
      <c r="C46" s="1276"/>
      <c r="D46" s="1276"/>
      <c r="E46" s="1276"/>
      <c r="F46" s="185">
        <f>F45</f>
        <v>4347.45</v>
      </c>
      <c r="G46" s="185">
        <f>G45</f>
        <v>4344.09</v>
      </c>
      <c r="H46" s="185">
        <f>H45</f>
        <v>464.61</v>
      </c>
      <c r="I46" s="185">
        <f>I45</f>
        <v>112.15</v>
      </c>
      <c r="J46" s="210">
        <f>J45</f>
        <v>0</v>
      </c>
      <c r="K46" s="149"/>
      <c r="L46" s="149"/>
    </row>
    <row r="47" spans="1:12" ht="27.75" customHeight="1" thickBot="1" x14ac:dyDescent="0.35">
      <c r="A47" s="1277" t="s">
        <v>683</v>
      </c>
      <c r="B47" s="1278"/>
      <c r="C47" s="1278"/>
      <c r="D47" s="1278"/>
      <c r="E47" s="1278"/>
      <c r="F47" s="211">
        <f>(F46/F14)</f>
        <v>2.6745144600771451</v>
      </c>
      <c r="G47" s="211">
        <f>(G46/G14)</f>
        <v>2.6724474165031284</v>
      </c>
      <c r="H47" s="1268" t="s">
        <v>682</v>
      </c>
      <c r="I47" s="1269"/>
      <c r="J47" s="212">
        <v>0</v>
      </c>
    </row>
    <row r="48" spans="1:12" ht="20.100000000000001" customHeight="1" x14ac:dyDescent="0.3"/>
  </sheetData>
  <sheetProtection algorithmName="SHA-512" hashValue="DrBr3SfUiW2klrIHIzsIGMTPOD1yyJ7dQ4vWsANNh2DWIfBKHoF7AzmWYIN/RmNqqAKVrg03LCE0tCdZUsdZfQ==" saltValue="+XjW+6kej9uf3Y2HbemsAw==" spinCount="100000" sheet="1" objects="1" scenarios="1"/>
  <mergeCells count="49">
    <mergeCell ref="H47:I47"/>
    <mergeCell ref="A43:C43"/>
    <mergeCell ref="A44:C44"/>
    <mergeCell ref="A45:E45"/>
    <mergeCell ref="A46:E46"/>
    <mergeCell ref="A47:E47"/>
    <mergeCell ref="A42:C42"/>
    <mergeCell ref="A26:B26"/>
    <mergeCell ref="A29:B29"/>
    <mergeCell ref="A30:E30"/>
    <mergeCell ref="A31:E31"/>
    <mergeCell ref="A32:J32"/>
    <mergeCell ref="A33:C33"/>
    <mergeCell ref="E33:J33"/>
    <mergeCell ref="A35:C35"/>
    <mergeCell ref="A38:E38"/>
    <mergeCell ref="A39:J39"/>
    <mergeCell ref="A40:C40"/>
    <mergeCell ref="A41:C41"/>
    <mergeCell ref="A25:B2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I7:I8"/>
    <mergeCell ref="J7:J8"/>
    <mergeCell ref="A8:D8"/>
    <mergeCell ref="H7:H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Y24"/>
  <sheetViews>
    <sheetView showGridLines="0" view="pageBreakPreview" topLeftCell="A4" zoomScale="90" zoomScaleNormal="100" zoomScaleSheetLayoutView="90" workbookViewId="0">
      <selection activeCell="D26" sqref="D26"/>
    </sheetView>
  </sheetViews>
  <sheetFormatPr defaultRowHeight="14.4" x14ac:dyDescent="0.3"/>
  <cols>
    <col min="1" max="1" width="13.109375" style="2" customWidth="1"/>
    <col min="2" max="2" width="44.44140625" style="2" customWidth="1"/>
    <col min="3" max="3" width="7.109375" style="2" customWidth="1"/>
    <col min="4" max="4" width="6.6640625" style="2" customWidth="1"/>
    <col min="5" max="5" width="10.109375" style="2" customWidth="1"/>
    <col min="6" max="6" width="12.5546875" style="2" customWidth="1"/>
    <col min="7" max="7" width="12.33203125" style="2" customWidth="1"/>
    <col min="8" max="8" width="13.44140625" style="2" customWidth="1"/>
    <col min="9" max="9" width="11.88671875" style="2" customWidth="1"/>
    <col min="10" max="10" width="13.6640625" style="2" customWidth="1"/>
    <col min="11" max="11" width="11.33203125" style="2" customWidth="1"/>
    <col min="12" max="12" width="15.5546875" style="2" customWidth="1"/>
    <col min="13" max="13" width="12.33203125" style="2" customWidth="1"/>
    <col min="14" max="14" width="7.44140625" style="2" customWidth="1"/>
    <col min="15" max="15" width="13.33203125" style="2" customWidth="1"/>
    <col min="16" max="16" width="12" style="2" customWidth="1"/>
    <col min="17" max="17" width="9.5546875" style="2" customWidth="1"/>
    <col min="18" max="18" width="11.33203125" style="2" customWidth="1"/>
    <col min="19" max="19" width="16.109375" style="2" customWidth="1"/>
    <col min="20" max="20" width="12.109375" style="2" customWidth="1"/>
    <col min="21" max="21" width="10.109375" style="2" customWidth="1"/>
    <col min="22" max="22" width="10.109375" style="2" bestFit="1" customWidth="1"/>
    <col min="23" max="23" width="16.44140625" style="2" customWidth="1"/>
    <col min="24" max="259" width="9.109375" style="2"/>
    <col min="260" max="260" width="13.109375" style="2" customWidth="1"/>
    <col min="261" max="261" width="38.44140625" style="2" customWidth="1"/>
    <col min="262" max="262" width="7.109375" style="2" customWidth="1"/>
    <col min="263" max="263" width="6.6640625" style="2" customWidth="1"/>
    <col min="264" max="264" width="10.109375" style="2" customWidth="1"/>
    <col min="265" max="265" width="12.5546875" style="2" customWidth="1"/>
    <col min="266" max="266" width="12.33203125" style="2" customWidth="1"/>
    <col min="267" max="267" width="13.44140625" style="2" customWidth="1"/>
    <col min="268" max="268" width="12.109375" style="2" customWidth="1"/>
    <col min="269" max="269" width="13.6640625" style="2" customWidth="1"/>
    <col min="270" max="270" width="11.33203125" style="2" customWidth="1"/>
    <col min="271" max="271" width="15.5546875" style="2" customWidth="1"/>
    <col min="272" max="272" width="12.33203125" style="2" customWidth="1"/>
    <col min="273" max="273" width="7.44140625" style="2" customWidth="1"/>
    <col min="274" max="274" width="13.33203125" style="2" customWidth="1"/>
    <col min="275" max="275" width="14" style="2" customWidth="1"/>
    <col min="276" max="276" width="12.109375" style="2" customWidth="1"/>
    <col min="277" max="277" width="10.109375" style="2" customWidth="1"/>
    <col min="278" max="278" width="10.109375" style="2" bestFit="1" customWidth="1"/>
    <col min="279" max="279" width="16.44140625" style="2" customWidth="1"/>
    <col min="280" max="515" width="9.109375" style="2"/>
    <col min="516" max="516" width="13.109375" style="2" customWidth="1"/>
    <col min="517" max="517" width="38.44140625" style="2" customWidth="1"/>
    <col min="518" max="518" width="7.109375" style="2" customWidth="1"/>
    <col min="519" max="519" width="6.6640625" style="2" customWidth="1"/>
    <col min="520" max="520" width="10.109375" style="2" customWidth="1"/>
    <col min="521" max="521" width="12.5546875" style="2" customWidth="1"/>
    <col min="522" max="522" width="12.33203125" style="2" customWidth="1"/>
    <col min="523" max="523" width="13.44140625" style="2" customWidth="1"/>
    <col min="524" max="524" width="12.109375" style="2" customWidth="1"/>
    <col min="525" max="525" width="13.6640625" style="2" customWidth="1"/>
    <col min="526" max="526" width="11.33203125" style="2" customWidth="1"/>
    <col min="527" max="527" width="15.5546875" style="2" customWidth="1"/>
    <col min="528" max="528" width="12.33203125" style="2" customWidth="1"/>
    <col min="529" max="529" width="7.44140625" style="2" customWidth="1"/>
    <col min="530" max="530" width="13.33203125" style="2" customWidth="1"/>
    <col min="531" max="531" width="14" style="2" customWidth="1"/>
    <col min="532" max="532" width="12.109375" style="2" customWidth="1"/>
    <col min="533" max="533" width="10.109375" style="2" customWidth="1"/>
    <col min="534" max="534" width="10.109375" style="2" bestFit="1" customWidth="1"/>
    <col min="535" max="535" width="16.44140625" style="2" customWidth="1"/>
    <col min="536" max="771" width="9.109375" style="2"/>
    <col min="772" max="772" width="13.109375" style="2" customWidth="1"/>
    <col min="773" max="773" width="38.44140625" style="2" customWidth="1"/>
    <col min="774" max="774" width="7.109375" style="2" customWidth="1"/>
    <col min="775" max="775" width="6.6640625" style="2" customWidth="1"/>
    <col min="776" max="776" width="10.109375" style="2" customWidth="1"/>
    <col min="777" max="777" width="12.5546875" style="2" customWidth="1"/>
    <col min="778" max="778" width="12.33203125" style="2" customWidth="1"/>
    <col min="779" max="779" width="13.44140625" style="2" customWidth="1"/>
    <col min="780" max="780" width="12.109375" style="2" customWidth="1"/>
    <col min="781" max="781" width="13.6640625" style="2" customWidth="1"/>
    <col min="782" max="782" width="11.33203125" style="2" customWidth="1"/>
    <col min="783" max="783" width="15.5546875" style="2" customWidth="1"/>
    <col min="784" max="784" width="12.33203125" style="2" customWidth="1"/>
    <col min="785" max="785" width="7.44140625" style="2" customWidth="1"/>
    <col min="786" max="786" width="13.33203125" style="2" customWidth="1"/>
    <col min="787" max="787" width="14" style="2" customWidth="1"/>
    <col min="788" max="788" width="12.109375" style="2" customWidth="1"/>
    <col min="789" max="789" width="10.109375" style="2" customWidth="1"/>
    <col min="790" max="790" width="10.109375" style="2" bestFit="1" customWidth="1"/>
    <col min="791" max="791" width="16.44140625" style="2" customWidth="1"/>
    <col min="792" max="1027" width="9.109375" style="2"/>
    <col min="1028" max="1028" width="13.109375" style="2" customWidth="1"/>
    <col min="1029" max="1029" width="38.44140625" style="2" customWidth="1"/>
    <col min="1030" max="1030" width="7.109375" style="2" customWidth="1"/>
    <col min="1031" max="1031" width="6.6640625" style="2" customWidth="1"/>
    <col min="1032" max="1032" width="10.109375" style="2" customWidth="1"/>
    <col min="1033" max="1033" width="12.5546875" style="2" customWidth="1"/>
    <col min="1034" max="1034" width="12.33203125" style="2" customWidth="1"/>
    <col min="1035" max="1035" width="13.44140625" style="2" customWidth="1"/>
    <col min="1036" max="1036" width="12.109375" style="2" customWidth="1"/>
    <col min="1037" max="1037" width="13.6640625" style="2" customWidth="1"/>
    <col min="1038" max="1038" width="11.33203125" style="2" customWidth="1"/>
    <col min="1039" max="1039" width="15.5546875" style="2" customWidth="1"/>
    <col min="1040" max="1040" width="12.33203125" style="2" customWidth="1"/>
    <col min="1041" max="1041" width="7.44140625" style="2" customWidth="1"/>
    <col min="1042" max="1042" width="13.33203125" style="2" customWidth="1"/>
    <col min="1043" max="1043" width="14" style="2" customWidth="1"/>
    <col min="1044" max="1044" width="12.109375" style="2" customWidth="1"/>
    <col min="1045" max="1045" width="10.109375" style="2" customWidth="1"/>
    <col min="1046" max="1046" width="10.109375" style="2" bestFit="1" customWidth="1"/>
    <col min="1047" max="1047" width="16.44140625" style="2" customWidth="1"/>
    <col min="1048" max="1283" width="9.109375" style="2"/>
    <col min="1284" max="1284" width="13.109375" style="2" customWidth="1"/>
    <col min="1285" max="1285" width="38.44140625" style="2" customWidth="1"/>
    <col min="1286" max="1286" width="7.109375" style="2" customWidth="1"/>
    <col min="1287" max="1287" width="6.6640625" style="2" customWidth="1"/>
    <col min="1288" max="1288" width="10.109375" style="2" customWidth="1"/>
    <col min="1289" max="1289" width="12.5546875" style="2" customWidth="1"/>
    <col min="1290" max="1290" width="12.33203125" style="2" customWidth="1"/>
    <col min="1291" max="1291" width="13.44140625" style="2" customWidth="1"/>
    <col min="1292" max="1292" width="12.109375" style="2" customWidth="1"/>
    <col min="1293" max="1293" width="13.6640625" style="2" customWidth="1"/>
    <col min="1294" max="1294" width="11.33203125" style="2" customWidth="1"/>
    <col min="1295" max="1295" width="15.5546875" style="2" customWidth="1"/>
    <col min="1296" max="1296" width="12.33203125" style="2" customWidth="1"/>
    <col min="1297" max="1297" width="7.44140625" style="2" customWidth="1"/>
    <col min="1298" max="1298" width="13.33203125" style="2" customWidth="1"/>
    <col min="1299" max="1299" width="14" style="2" customWidth="1"/>
    <col min="1300" max="1300" width="12.109375" style="2" customWidth="1"/>
    <col min="1301" max="1301" width="10.109375" style="2" customWidth="1"/>
    <col min="1302" max="1302" width="10.109375" style="2" bestFit="1" customWidth="1"/>
    <col min="1303" max="1303" width="16.44140625" style="2" customWidth="1"/>
    <col min="1304" max="1539" width="9.109375" style="2"/>
    <col min="1540" max="1540" width="13.109375" style="2" customWidth="1"/>
    <col min="1541" max="1541" width="38.44140625" style="2" customWidth="1"/>
    <col min="1542" max="1542" width="7.109375" style="2" customWidth="1"/>
    <col min="1543" max="1543" width="6.6640625" style="2" customWidth="1"/>
    <col min="1544" max="1544" width="10.109375" style="2" customWidth="1"/>
    <col min="1545" max="1545" width="12.5546875" style="2" customWidth="1"/>
    <col min="1546" max="1546" width="12.33203125" style="2" customWidth="1"/>
    <col min="1547" max="1547" width="13.44140625" style="2" customWidth="1"/>
    <col min="1548" max="1548" width="12.109375" style="2" customWidth="1"/>
    <col min="1549" max="1549" width="13.6640625" style="2" customWidth="1"/>
    <col min="1550" max="1550" width="11.33203125" style="2" customWidth="1"/>
    <col min="1551" max="1551" width="15.5546875" style="2" customWidth="1"/>
    <col min="1552" max="1552" width="12.33203125" style="2" customWidth="1"/>
    <col min="1553" max="1553" width="7.44140625" style="2" customWidth="1"/>
    <col min="1554" max="1554" width="13.33203125" style="2" customWidth="1"/>
    <col min="1555" max="1555" width="14" style="2" customWidth="1"/>
    <col min="1556" max="1556" width="12.109375" style="2" customWidth="1"/>
    <col min="1557" max="1557" width="10.109375" style="2" customWidth="1"/>
    <col min="1558" max="1558" width="10.109375" style="2" bestFit="1" customWidth="1"/>
    <col min="1559" max="1559" width="16.44140625" style="2" customWidth="1"/>
    <col min="1560" max="1795" width="9.109375" style="2"/>
    <col min="1796" max="1796" width="13.109375" style="2" customWidth="1"/>
    <col min="1797" max="1797" width="38.44140625" style="2" customWidth="1"/>
    <col min="1798" max="1798" width="7.109375" style="2" customWidth="1"/>
    <col min="1799" max="1799" width="6.6640625" style="2" customWidth="1"/>
    <col min="1800" max="1800" width="10.109375" style="2" customWidth="1"/>
    <col min="1801" max="1801" width="12.5546875" style="2" customWidth="1"/>
    <col min="1802" max="1802" width="12.33203125" style="2" customWidth="1"/>
    <col min="1803" max="1803" width="13.44140625" style="2" customWidth="1"/>
    <col min="1804" max="1804" width="12.109375" style="2" customWidth="1"/>
    <col min="1805" max="1805" width="13.6640625" style="2" customWidth="1"/>
    <col min="1806" max="1806" width="11.33203125" style="2" customWidth="1"/>
    <col min="1807" max="1807" width="15.5546875" style="2" customWidth="1"/>
    <col min="1808" max="1808" width="12.33203125" style="2" customWidth="1"/>
    <col min="1809" max="1809" width="7.44140625" style="2" customWidth="1"/>
    <col min="1810" max="1810" width="13.33203125" style="2" customWidth="1"/>
    <col min="1811" max="1811" width="14" style="2" customWidth="1"/>
    <col min="1812" max="1812" width="12.109375" style="2" customWidth="1"/>
    <col min="1813" max="1813" width="10.109375" style="2" customWidth="1"/>
    <col min="1814" max="1814" width="10.109375" style="2" bestFit="1" customWidth="1"/>
    <col min="1815" max="1815" width="16.44140625" style="2" customWidth="1"/>
    <col min="1816" max="2051" width="9.109375" style="2"/>
    <col min="2052" max="2052" width="13.109375" style="2" customWidth="1"/>
    <col min="2053" max="2053" width="38.44140625" style="2" customWidth="1"/>
    <col min="2054" max="2054" width="7.109375" style="2" customWidth="1"/>
    <col min="2055" max="2055" width="6.6640625" style="2" customWidth="1"/>
    <col min="2056" max="2056" width="10.109375" style="2" customWidth="1"/>
    <col min="2057" max="2057" width="12.5546875" style="2" customWidth="1"/>
    <col min="2058" max="2058" width="12.33203125" style="2" customWidth="1"/>
    <col min="2059" max="2059" width="13.44140625" style="2" customWidth="1"/>
    <col min="2060" max="2060" width="12.109375" style="2" customWidth="1"/>
    <col min="2061" max="2061" width="13.6640625" style="2" customWidth="1"/>
    <col min="2062" max="2062" width="11.33203125" style="2" customWidth="1"/>
    <col min="2063" max="2063" width="15.5546875" style="2" customWidth="1"/>
    <col min="2064" max="2064" width="12.33203125" style="2" customWidth="1"/>
    <col min="2065" max="2065" width="7.44140625" style="2" customWidth="1"/>
    <col min="2066" max="2066" width="13.33203125" style="2" customWidth="1"/>
    <col min="2067" max="2067" width="14" style="2" customWidth="1"/>
    <col min="2068" max="2068" width="12.109375" style="2" customWidth="1"/>
    <col min="2069" max="2069" width="10.109375" style="2" customWidth="1"/>
    <col min="2070" max="2070" width="10.109375" style="2" bestFit="1" customWidth="1"/>
    <col min="2071" max="2071" width="16.44140625" style="2" customWidth="1"/>
    <col min="2072" max="2307" width="9.109375" style="2"/>
    <col min="2308" max="2308" width="13.109375" style="2" customWidth="1"/>
    <col min="2309" max="2309" width="38.44140625" style="2" customWidth="1"/>
    <col min="2310" max="2310" width="7.109375" style="2" customWidth="1"/>
    <col min="2311" max="2311" width="6.6640625" style="2" customWidth="1"/>
    <col min="2312" max="2312" width="10.109375" style="2" customWidth="1"/>
    <col min="2313" max="2313" width="12.5546875" style="2" customWidth="1"/>
    <col min="2314" max="2314" width="12.33203125" style="2" customWidth="1"/>
    <col min="2315" max="2315" width="13.44140625" style="2" customWidth="1"/>
    <col min="2316" max="2316" width="12.109375" style="2" customWidth="1"/>
    <col min="2317" max="2317" width="13.6640625" style="2" customWidth="1"/>
    <col min="2318" max="2318" width="11.33203125" style="2" customWidth="1"/>
    <col min="2319" max="2319" width="15.5546875" style="2" customWidth="1"/>
    <col min="2320" max="2320" width="12.33203125" style="2" customWidth="1"/>
    <col min="2321" max="2321" width="7.44140625" style="2" customWidth="1"/>
    <col min="2322" max="2322" width="13.33203125" style="2" customWidth="1"/>
    <col min="2323" max="2323" width="14" style="2" customWidth="1"/>
    <col min="2324" max="2324" width="12.109375" style="2" customWidth="1"/>
    <col min="2325" max="2325" width="10.109375" style="2" customWidth="1"/>
    <col min="2326" max="2326" width="10.109375" style="2" bestFit="1" customWidth="1"/>
    <col min="2327" max="2327" width="16.44140625" style="2" customWidth="1"/>
    <col min="2328" max="2563" width="9.109375" style="2"/>
    <col min="2564" max="2564" width="13.109375" style="2" customWidth="1"/>
    <col min="2565" max="2565" width="38.44140625" style="2" customWidth="1"/>
    <col min="2566" max="2566" width="7.109375" style="2" customWidth="1"/>
    <col min="2567" max="2567" width="6.6640625" style="2" customWidth="1"/>
    <col min="2568" max="2568" width="10.109375" style="2" customWidth="1"/>
    <col min="2569" max="2569" width="12.5546875" style="2" customWidth="1"/>
    <col min="2570" max="2570" width="12.33203125" style="2" customWidth="1"/>
    <col min="2571" max="2571" width="13.44140625" style="2" customWidth="1"/>
    <col min="2572" max="2572" width="12.109375" style="2" customWidth="1"/>
    <col min="2573" max="2573" width="13.6640625" style="2" customWidth="1"/>
    <col min="2574" max="2574" width="11.33203125" style="2" customWidth="1"/>
    <col min="2575" max="2575" width="15.5546875" style="2" customWidth="1"/>
    <col min="2576" max="2576" width="12.33203125" style="2" customWidth="1"/>
    <col min="2577" max="2577" width="7.44140625" style="2" customWidth="1"/>
    <col min="2578" max="2578" width="13.33203125" style="2" customWidth="1"/>
    <col min="2579" max="2579" width="14" style="2" customWidth="1"/>
    <col min="2580" max="2580" width="12.109375" style="2" customWidth="1"/>
    <col min="2581" max="2581" width="10.109375" style="2" customWidth="1"/>
    <col min="2582" max="2582" width="10.109375" style="2" bestFit="1" customWidth="1"/>
    <col min="2583" max="2583" width="16.44140625" style="2" customWidth="1"/>
    <col min="2584" max="2819" width="9.109375" style="2"/>
    <col min="2820" max="2820" width="13.109375" style="2" customWidth="1"/>
    <col min="2821" max="2821" width="38.44140625" style="2" customWidth="1"/>
    <col min="2822" max="2822" width="7.109375" style="2" customWidth="1"/>
    <col min="2823" max="2823" width="6.6640625" style="2" customWidth="1"/>
    <col min="2824" max="2824" width="10.109375" style="2" customWidth="1"/>
    <col min="2825" max="2825" width="12.5546875" style="2" customWidth="1"/>
    <col min="2826" max="2826" width="12.33203125" style="2" customWidth="1"/>
    <col min="2827" max="2827" width="13.44140625" style="2" customWidth="1"/>
    <col min="2828" max="2828" width="12.109375" style="2" customWidth="1"/>
    <col min="2829" max="2829" width="13.6640625" style="2" customWidth="1"/>
    <col min="2830" max="2830" width="11.33203125" style="2" customWidth="1"/>
    <col min="2831" max="2831" width="15.5546875" style="2" customWidth="1"/>
    <col min="2832" max="2832" width="12.33203125" style="2" customWidth="1"/>
    <col min="2833" max="2833" width="7.44140625" style="2" customWidth="1"/>
    <col min="2834" max="2834" width="13.33203125" style="2" customWidth="1"/>
    <col min="2835" max="2835" width="14" style="2" customWidth="1"/>
    <col min="2836" max="2836" width="12.109375" style="2" customWidth="1"/>
    <col min="2837" max="2837" width="10.109375" style="2" customWidth="1"/>
    <col min="2838" max="2838" width="10.109375" style="2" bestFit="1" customWidth="1"/>
    <col min="2839" max="2839" width="16.44140625" style="2" customWidth="1"/>
    <col min="2840" max="3075" width="9.109375" style="2"/>
    <col min="3076" max="3076" width="13.109375" style="2" customWidth="1"/>
    <col min="3077" max="3077" width="38.44140625" style="2" customWidth="1"/>
    <col min="3078" max="3078" width="7.109375" style="2" customWidth="1"/>
    <col min="3079" max="3079" width="6.6640625" style="2" customWidth="1"/>
    <col min="3080" max="3080" width="10.109375" style="2" customWidth="1"/>
    <col min="3081" max="3081" width="12.5546875" style="2" customWidth="1"/>
    <col min="3082" max="3082" width="12.33203125" style="2" customWidth="1"/>
    <col min="3083" max="3083" width="13.44140625" style="2" customWidth="1"/>
    <col min="3084" max="3084" width="12.109375" style="2" customWidth="1"/>
    <col min="3085" max="3085" width="13.6640625" style="2" customWidth="1"/>
    <col min="3086" max="3086" width="11.33203125" style="2" customWidth="1"/>
    <col min="3087" max="3087" width="15.5546875" style="2" customWidth="1"/>
    <col min="3088" max="3088" width="12.33203125" style="2" customWidth="1"/>
    <col min="3089" max="3089" width="7.44140625" style="2" customWidth="1"/>
    <col min="3090" max="3090" width="13.33203125" style="2" customWidth="1"/>
    <col min="3091" max="3091" width="14" style="2" customWidth="1"/>
    <col min="3092" max="3092" width="12.109375" style="2" customWidth="1"/>
    <col min="3093" max="3093" width="10.109375" style="2" customWidth="1"/>
    <col min="3094" max="3094" width="10.109375" style="2" bestFit="1" customWidth="1"/>
    <col min="3095" max="3095" width="16.44140625" style="2" customWidth="1"/>
    <col min="3096" max="3331" width="9.109375" style="2"/>
    <col min="3332" max="3332" width="13.109375" style="2" customWidth="1"/>
    <col min="3333" max="3333" width="38.44140625" style="2" customWidth="1"/>
    <col min="3334" max="3334" width="7.109375" style="2" customWidth="1"/>
    <col min="3335" max="3335" width="6.6640625" style="2" customWidth="1"/>
    <col min="3336" max="3336" width="10.109375" style="2" customWidth="1"/>
    <col min="3337" max="3337" width="12.5546875" style="2" customWidth="1"/>
    <col min="3338" max="3338" width="12.33203125" style="2" customWidth="1"/>
    <col min="3339" max="3339" width="13.44140625" style="2" customWidth="1"/>
    <col min="3340" max="3340" width="12.109375" style="2" customWidth="1"/>
    <col min="3341" max="3341" width="13.6640625" style="2" customWidth="1"/>
    <col min="3342" max="3342" width="11.33203125" style="2" customWidth="1"/>
    <col min="3343" max="3343" width="15.5546875" style="2" customWidth="1"/>
    <col min="3344" max="3344" width="12.33203125" style="2" customWidth="1"/>
    <col min="3345" max="3345" width="7.44140625" style="2" customWidth="1"/>
    <col min="3346" max="3346" width="13.33203125" style="2" customWidth="1"/>
    <col min="3347" max="3347" width="14" style="2" customWidth="1"/>
    <col min="3348" max="3348" width="12.109375" style="2" customWidth="1"/>
    <col min="3349" max="3349" width="10.109375" style="2" customWidth="1"/>
    <col min="3350" max="3350" width="10.109375" style="2" bestFit="1" customWidth="1"/>
    <col min="3351" max="3351" width="16.44140625" style="2" customWidth="1"/>
    <col min="3352" max="3587" width="9.109375" style="2"/>
    <col min="3588" max="3588" width="13.109375" style="2" customWidth="1"/>
    <col min="3589" max="3589" width="38.44140625" style="2" customWidth="1"/>
    <col min="3590" max="3590" width="7.109375" style="2" customWidth="1"/>
    <col min="3591" max="3591" width="6.6640625" style="2" customWidth="1"/>
    <col min="3592" max="3592" width="10.109375" style="2" customWidth="1"/>
    <col min="3593" max="3593" width="12.5546875" style="2" customWidth="1"/>
    <col min="3594" max="3594" width="12.33203125" style="2" customWidth="1"/>
    <col min="3595" max="3595" width="13.44140625" style="2" customWidth="1"/>
    <col min="3596" max="3596" width="12.109375" style="2" customWidth="1"/>
    <col min="3597" max="3597" width="13.6640625" style="2" customWidth="1"/>
    <col min="3598" max="3598" width="11.33203125" style="2" customWidth="1"/>
    <col min="3599" max="3599" width="15.5546875" style="2" customWidth="1"/>
    <col min="3600" max="3600" width="12.33203125" style="2" customWidth="1"/>
    <col min="3601" max="3601" width="7.44140625" style="2" customWidth="1"/>
    <col min="3602" max="3602" width="13.33203125" style="2" customWidth="1"/>
    <col min="3603" max="3603" width="14" style="2" customWidth="1"/>
    <col min="3604" max="3604" width="12.109375" style="2" customWidth="1"/>
    <col min="3605" max="3605" width="10.109375" style="2" customWidth="1"/>
    <col min="3606" max="3606" width="10.109375" style="2" bestFit="1" customWidth="1"/>
    <col min="3607" max="3607" width="16.44140625" style="2" customWidth="1"/>
    <col min="3608" max="3843" width="9.109375" style="2"/>
    <col min="3844" max="3844" width="13.109375" style="2" customWidth="1"/>
    <col min="3845" max="3845" width="38.44140625" style="2" customWidth="1"/>
    <col min="3846" max="3846" width="7.109375" style="2" customWidth="1"/>
    <col min="3847" max="3847" width="6.6640625" style="2" customWidth="1"/>
    <col min="3848" max="3848" width="10.109375" style="2" customWidth="1"/>
    <col min="3849" max="3849" width="12.5546875" style="2" customWidth="1"/>
    <col min="3850" max="3850" width="12.33203125" style="2" customWidth="1"/>
    <col min="3851" max="3851" width="13.44140625" style="2" customWidth="1"/>
    <col min="3852" max="3852" width="12.109375" style="2" customWidth="1"/>
    <col min="3853" max="3853" width="13.6640625" style="2" customWidth="1"/>
    <col min="3854" max="3854" width="11.33203125" style="2" customWidth="1"/>
    <col min="3855" max="3855" width="15.5546875" style="2" customWidth="1"/>
    <col min="3856" max="3856" width="12.33203125" style="2" customWidth="1"/>
    <col min="3857" max="3857" width="7.44140625" style="2" customWidth="1"/>
    <col min="3858" max="3858" width="13.33203125" style="2" customWidth="1"/>
    <col min="3859" max="3859" width="14" style="2" customWidth="1"/>
    <col min="3860" max="3860" width="12.109375" style="2" customWidth="1"/>
    <col min="3861" max="3861" width="10.109375" style="2" customWidth="1"/>
    <col min="3862" max="3862" width="10.109375" style="2" bestFit="1" customWidth="1"/>
    <col min="3863" max="3863" width="16.44140625" style="2" customWidth="1"/>
    <col min="3864" max="4099" width="9.109375" style="2"/>
    <col min="4100" max="4100" width="13.109375" style="2" customWidth="1"/>
    <col min="4101" max="4101" width="38.44140625" style="2" customWidth="1"/>
    <col min="4102" max="4102" width="7.109375" style="2" customWidth="1"/>
    <col min="4103" max="4103" width="6.6640625" style="2" customWidth="1"/>
    <col min="4104" max="4104" width="10.109375" style="2" customWidth="1"/>
    <col min="4105" max="4105" width="12.5546875" style="2" customWidth="1"/>
    <col min="4106" max="4106" width="12.33203125" style="2" customWidth="1"/>
    <col min="4107" max="4107" width="13.44140625" style="2" customWidth="1"/>
    <col min="4108" max="4108" width="12.109375" style="2" customWidth="1"/>
    <col min="4109" max="4109" width="13.6640625" style="2" customWidth="1"/>
    <col min="4110" max="4110" width="11.33203125" style="2" customWidth="1"/>
    <col min="4111" max="4111" width="15.5546875" style="2" customWidth="1"/>
    <col min="4112" max="4112" width="12.33203125" style="2" customWidth="1"/>
    <col min="4113" max="4113" width="7.44140625" style="2" customWidth="1"/>
    <col min="4114" max="4114" width="13.33203125" style="2" customWidth="1"/>
    <col min="4115" max="4115" width="14" style="2" customWidth="1"/>
    <col min="4116" max="4116" width="12.109375" style="2" customWidth="1"/>
    <col min="4117" max="4117" width="10.109375" style="2" customWidth="1"/>
    <col min="4118" max="4118" width="10.109375" style="2" bestFit="1" customWidth="1"/>
    <col min="4119" max="4119" width="16.44140625" style="2" customWidth="1"/>
    <col min="4120" max="4355" width="9.109375" style="2"/>
    <col min="4356" max="4356" width="13.109375" style="2" customWidth="1"/>
    <col min="4357" max="4357" width="38.44140625" style="2" customWidth="1"/>
    <col min="4358" max="4358" width="7.109375" style="2" customWidth="1"/>
    <col min="4359" max="4359" width="6.6640625" style="2" customWidth="1"/>
    <col min="4360" max="4360" width="10.109375" style="2" customWidth="1"/>
    <col min="4361" max="4361" width="12.5546875" style="2" customWidth="1"/>
    <col min="4362" max="4362" width="12.33203125" style="2" customWidth="1"/>
    <col min="4363" max="4363" width="13.44140625" style="2" customWidth="1"/>
    <col min="4364" max="4364" width="12.109375" style="2" customWidth="1"/>
    <col min="4365" max="4365" width="13.6640625" style="2" customWidth="1"/>
    <col min="4366" max="4366" width="11.33203125" style="2" customWidth="1"/>
    <col min="4367" max="4367" width="15.5546875" style="2" customWidth="1"/>
    <col min="4368" max="4368" width="12.33203125" style="2" customWidth="1"/>
    <col min="4369" max="4369" width="7.44140625" style="2" customWidth="1"/>
    <col min="4370" max="4370" width="13.33203125" style="2" customWidth="1"/>
    <col min="4371" max="4371" width="14" style="2" customWidth="1"/>
    <col min="4372" max="4372" width="12.109375" style="2" customWidth="1"/>
    <col min="4373" max="4373" width="10.109375" style="2" customWidth="1"/>
    <col min="4374" max="4374" width="10.109375" style="2" bestFit="1" customWidth="1"/>
    <col min="4375" max="4375" width="16.44140625" style="2" customWidth="1"/>
    <col min="4376" max="4611" width="9.109375" style="2"/>
    <col min="4612" max="4612" width="13.109375" style="2" customWidth="1"/>
    <col min="4613" max="4613" width="38.44140625" style="2" customWidth="1"/>
    <col min="4614" max="4614" width="7.109375" style="2" customWidth="1"/>
    <col min="4615" max="4615" width="6.6640625" style="2" customWidth="1"/>
    <col min="4616" max="4616" width="10.109375" style="2" customWidth="1"/>
    <col min="4617" max="4617" width="12.5546875" style="2" customWidth="1"/>
    <col min="4618" max="4618" width="12.33203125" style="2" customWidth="1"/>
    <col min="4619" max="4619" width="13.44140625" style="2" customWidth="1"/>
    <col min="4620" max="4620" width="12.109375" style="2" customWidth="1"/>
    <col min="4621" max="4621" width="13.6640625" style="2" customWidth="1"/>
    <col min="4622" max="4622" width="11.33203125" style="2" customWidth="1"/>
    <col min="4623" max="4623" width="15.5546875" style="2" customWidth="1"/>
    <col min="4624" max="4624" width="12.33203125" style="2" customWidth="1"/>
    <col min="4625" max="4625" width="7.44140625" style="2" customWidth="1"/>
    <col min="4626" max="4626" width="13.33203125" style="2" customWidth="1"/>
    <col min="4627" max="4627" width="14" style="2" customWidth="1"/>
    <col min="4628" max="4628" width="12.109375" style="2" customWidth="1"/>
    <col min="4629" max="4629" width="10.109375" style="2" customWidth="1"/>
    <col min="4630" max="4630" width="10.109375" style="2" bestFit="1" customWidth="1"/>
    <col min="4631" max="4631" width="16.44140625" style="2" customWidth="1"/>
    <col min="4632" max="4867" width="9.109375" style="2"/>
    <col min="4868" max="4868" width="13.109375" style="2" customWidth="1"/>
    <col min="4869" max="4869" width="38.44140625" style="2" customWidth="1"/>
    <col min="4870" max="4870" width="7.109375" style="2" customWidth="1"/>
    <col min="4871" max="4871" width="6.6640625" style="2" customWidth="1"/>
    <col min="4872" max="4872" width="10.109375" style="2" customWidth="1"/>
    <col min="4873" max="4873" width="12.5546875" style="2" customWidth="1"/>
    <col min="4874" max="4874" width="12.33203125" style="2" customWidth="1"/>
    <col min="4875" max="4875" width="13.44140625" style="2" customWidth="1"/>
    <col min="4876" max="4876" width="12.109375" style="2" customWidth="1"/>
    <col min="4877" max="4877" width="13.6640625" style="2" customWidth="1"/>
    <col min="4878" max="4878" width="11.33203125" style="2" customWidth="1"/>
    <col min="4879" max="4879" width="15.5546875" style="2" customWidth="1"/>
    <col min="4880" max="4880" width="12.33203125" style="2" customWidth="1"/>
    <col min="4881" max="4881" width="7.44140625" style="2" customWidth="1"/>
    <col min="4882" max="4882" width="13.33203125" style="2" customWidth="1"/>
    <col min="4883" max="4883" width="14" style="2" customWidth="1"/>
    <col min="4884" max="4884" width="12.109375" style="2" customWidth="1"/>
    <col min="4885" max="4885" width="10.109375" style="2" customWidth="1"/>
    <col min="4886" max="4886" width="10.109375" style="2" bestFit="1" customWidth="1"/>
    <col min="4887" max="4887" width="16.44140625" style="2" customWidth="1"/>
    <col min="4888" max="5123" width="9.109375" style="2"/>
    <col min="5124" max="5124" width="13.109375" style="2" customWidth="1"/>
    <col min="5125" max="5125" width="38.44140625" style="2" customWidth="1"/>
    <col min="5126" max="5126" width="7.109375" style="2" customWidth="1"/>
    <col min="5127" max="5127" width="6.6640625" style="2" customWidth="1"/>
    <col min="5128" max="5128" width="10.109375" style="2" customWidth="1"/>
    <col min="5129" max="5129" width="12.5546875" style="2" customWidth="1"/>
    <col min="5130" max="5130" width="12.33203125" style="2" customWidth="1"/>
    <col min="5131" max="5131" width="13.44140625" style="2" customWidth="1"/>
    <col min="5132" max="5132" width="12.109375" style="2" customWidth="1"/>
    <col min="5133" max="5133" width="13.6640625" style="2" customWidth="1"/>
    <col min="5134" max="5134" width="11.33203125" style="2" customWidth="1"/>
    <col min="5135" max="5135" width="15.5546875" style="2" customWidth="1"/>
    <col min="5136" max="5136" width="12.33203125" style="2" customWidth="1"/>
    <col min="5137" max="5137" width="7.44140625" style="2" customWidth="1"/>
    <col min="5138" max="5138" width="13.33203125" style="2" customWidth="1"/>
    <col min="5139" max="5139" width="14" style="2" customWidth="1"/>
    <col min="5140" max="5140" width="12.109375" style="2" customWidth="1"/>
    <col min="5141" max="5141" width="10.109375" style="2" customWidth="1"/>
    <col min="5142" max="5142" width="10.109375" style="2" bestFit="1" customWidth="1"/>
    <col min="5143" max="5143" width="16.44140625" style="2" customWidth="1"/>
    <col min="5144" max="5379" width="9.109375" style="2"/>
    <col min="5380" max="5380" width="13.109375" style="2" customWidth="1"/>
    <col min="5381" max="5381" width="38.44140625" style="2" customWidth="1"/>
    <col min="5382" max="5382" width="7.109375" style="2" customWidth="1"/>
    <col min="5383" max="5383" width="6.6640625" style="2" customWidth="1"/>
    <col min="5384" max="5384" width="10.109375" style="2" customWidth="1"/>
    <col min="5385" max="5385" width="12.5546875" style="2" customWidth="1"/>
    <col min="5386" max="5386" width="12.33203125" style="2" customWidth="1"/>
    <col min="5387" max="5387" width="13.44140625" style="2" customWidth="1"/>
    <col min="5388" max="5388" width="12.109375" style="2" customWidth="1"/>
    <col min="5389" max="5389" width="13.6640625" style="2" customWidth="1"/>
    <col min="5390" max="5390" width="11.33203125" style="2" customWidth="1"/>
    <col min="5391" max="5391" width="15.5546875" style="2" customWidth="1"/>
    <col min="5392" max="5392" width="12.33203125" style="2" customWidth="1"/>
    <col min="5393" max="5393" width="7.44140625" style="2" customWidth="1"/>
    <col min="5394" max="5394" width="13.33203125" style="2" customWidth="1"/>
    <col min="5395" max="5395" width="14" style="2" customWidth="1"/>
    <col min="5396" max="5396" width="12.109375" style="2" customWidth="1"/>
    <col min="5397" max="5397" width="10.109375" style="2" customWidth="1"/>
    <col min="5398" max="5398" width="10.109375" style="2" bestFit="1" customWidth="1"/>
    <col min="5399" max="5399" width="16.44140625" style="2" customWidth="1"/>
    <col min="5400" max="5635" width="9.109375" style="2"/>
    <col min="5636" max="5636" width="13.109375" style="2" customWidth="1"/>
    <col min="5637" max="5637" width="38.44140625" style="2" customWidth="1"/>
    <col min="5638" max="5638" width="7.109375" style="2" customWidth="1"/>
    <col min="5639" max="5639" width="6.6640625" style="2" customWidth="1"/>
    <col min="5640" max="5640" width="10.109375" style="2" customWidth="1"/>
    <col min="5641" max="5641" width="12.5546875" style="2" customWidth="1"/>
    <col min="5642" max="5642" width="12.33203125" style="2" customWidth="1"/>
    <col min="5643" max="5643" width="13.44140625" style="2" customWidth="1"/>
    <col min="5644" max="5644" width="12.109375" style="2" customWidth="1"/>
    <col min="5645" max="5645" width="13.6640625" style="2" customWidth="1"/>
    <col min="5646" max="5646" width="11.33203125" style="2" customWidth="1"/>
    <col min="5647" max="5647" width="15.5546875" style="2" customWidth="1"/>
    <col min="5648" max="5648" width="12.33203125" style="2" customWidth="1"/>
    <col min="5649" max="5649" width="7.44140625" style="2" customWidth="1"/>
    <col min="5650" max="5650" width="13.33203125" style="2" customWidth="1"/>
    <col min="5651" max="5651" width="14" style="2" customWidth="1"/>
    <col min="5652" max="5652" width="12.109375" style="2" customWidth="1"/>
    <col min="5653" max="5653" width="10.109375" style="2" customWidth="1"/>
    <col min="5654" max="5654" width="10.109375" style="2" bestFit="1" customWidth="1"/>
    <col min="5655" max="5655" width="16.44140625" style="2" customWidth="1"/>
    <col min="5656" max="5891" width="9.109375" style="2"/>
    <col min="5892" max="5892" width="13.109375" style="2" customWidth="1"/>
    <col min="5893" max="5893" width="38.44140625" style="2" customWidth="1"/>
    <col min="5894" max="5894" width="7.109375" style="2" customWidth="1"/>
    <col min="5895" max="5895" width="6.6640625" style="2" customWidth="1"/>
    <col min="5896" max="5896" width="10.109375" style="2" customWidth="1"/>
    <col min="5897" max="5897" width="12.5546875" style="2" customWidth="1"/>
    <col min="5898" max="5898" width="12.33203125" style="2" customWidth="1"/>
    <col min="5899" max="5899" width="13.44140625" style="2" customWidth="1"/>
    <col min="5900" max="5900" width="12.109375" style="2" customWidth="1"/>
    <col min="5901" max="5901" width="13.6640625" style="2" customWidth="1"/>
    <col min="5902" max="5902" width="11.33203125" style="2" customWidth="1"/>
    <col min="5903" max="5903" width="15.5546875" style="2" customWidth="1"/>
    <col min="5904" max="5904" width="12.33203125" style="2" customWidth="1"/>
    <col min="5905" max="5905" width="7.44140625" style="2" customWidth="1"/>
    <col min="5906" max="5906" width="13.33203125" style="2" customWidth="1"/>
    <col min="5907" max="5907" width="14" style="2" customWidth="1"/>
    <col min="5908" max="5908" width="12.109375" style="2" customWidth="1"/>
    <col min="5909" max="5909" width="10.109375" style="2" customWidth="1"/>
    <col min="5910" max="5910" width="10.109375" style="2" bestFit="1" customWidth="1"/>
    <col min="5911" max="5911" width="16.44140625" style="2" customWidth="1"/>
    <col min="5912" max="6147" width="9.109375" style="2"/>
    <col min="6148" max="6148" width="13.109375" style="2" customWidth="1"/>
    <col min="6149" max="6149" width="38.44140625" style="2" customWidth="1"/>
    <col min="6150" max="6150" width="7.109375" style="2" customWidth="1"/>
    <col min="6151" max="6151" width="6.6640625" style="2" customWidth="1"/>
    <col min="6152" max="6152" width="10.109375" style="2" customWidth="1"/>
    <col min="6153" max="6153" width="12.5546875" style="2" customWidth="1"/>
    <col min="6154" max="6154" width="12.33203125" style="2" customWidth="1"/>
    <col min="6155" max="6155" width="13.44140625" style="2" customWidth="1"/>
    <col min="6156" max="6156" width="12.109375" style="2" customWidth="1"/>
    <col min="6157" max="6157" width="13.6640625" style="2" customWidth="1"/>
    <col min="6158" max="6158" width="11.33203125" style="2" customWidth="1"/>
    <col min="6159" max="6159" width="15.5546875" style="2" customWidth="1"/>
    <col min="6160" max="6160" width="12.33203125" style="2" customWidth="1"/>
    <col min="6161" max="6161" width="7.44140625" style="2" customWidth="1"/>
    <col min="6162" max="6162" width="13.33203125" style="2" customWidth="1"/>
    <col min="6163" max="6163" width="14" style="2" customWidth="1"/>
    <col min="6164" max="6164" width="12.109375" style="2" customWidth="1"/>
    <col min="6165" max="6165" width="10.109375" style="2" customWidth="1"/>
    <col min="6166" max="6166" width="10.109375" style="2" bestFit="1" customWidth="1"/>
    <col min="6167" max="6167" width="16.44140625" style="2" customWidth="1"/>
    <col min="6168" max="6403" width="9.109375" style="2"/>
    <col min="6404" max="6404" width="13.109375" style="2" customWidth="1"/>
    <col min="6405" max="6405" width="38.44140625" style="2" customWidth="1"/>
    <col min="6406" max="6406" width="7.109375" style="2" customWidth="1"/>
    <col min="6407" max="6407" width="6.6640625" style="2" customWidth="1"/>
    <col min="6408" max="6408" width="10.109375" style="2" customWidth="1"/>
    <col min="6409" max="6409" width="12.5546875" style="2" customWidth="1"/>
    <col min="6410" max="6410" width="12.33203125" style="2" customWidth="1"/>
    <col min="6411" max="6411" width="13.44140625" style="2" customWidth="1"/>
    <col min="6412" max="6412" width="12.109375" style="2" customWidth="1"/>
    <col min="6413" max="6413" width="13.6640625" style="2" customWidth="1"/>
    <col min="6414" max="6414" width="11.33203125" style="2" customWidth="1"/>
    <col min="6415" max="6415" width="15.5546875" style="2" customWidth="1"/>
    <col min="6416" max="6416" width="12.33203125" style="2" customWidth="1"/>
    <col min="6417" max="6417" width="7.44140625" style="2" customWidth="1"/>
    <col min="6418" max="6418" width="13.33203125" style="2" customWidth="1"/>
    <col min="6419" max="6419" width="14" style="2" customWidth="1"/>
    <col min="6420" max="6420" width="12.109375" style="2" customWidth="1"/>
    <col min="6421" max="6421" width="10.109375" style="2" customWidth="1"/>
    <col min="6422" max="6422" width="10.109375" style="2" bestFit="1" customWidth="1"/>
    <col min="6423" max="6423" width="16.44140625" style="2" customWidth="1"/>
    <col min="6424" max="6659" width="9.109375" style="2"/>
    <col min="6660" max="6660" width="13.109375" style="2" customWidth="1"/>
    <col min="6661" max="6661" width="38.44140625" style="2" customWidth="1"/>
    <col min="6662" max="6662" width="7.109375" style="2" customWidth="1"/>
    <col min="6663" max="6663" width="6.6640625" style="2" customWidth="1"/>
    <col min="6664" max="6664" width="10.109375" style="2" customWidth="1"/>
    <col min="6665" max="6665" width="12.5546875" style="2" customWidth="1"/>
    <col min="6666" max="6666" width="12.33203125" style="2" customWidth="1"/>
    <col min="6667" max="6667" width="13.44140625" style="2" customWidth="1"/>
    <col min="6668" max="6668" width="12.109375" style="2" customWidth="1"/>
    <col min="6669" max="6669" width="13.6640625" style="2" customWidth="1"/>
    <col min="6670" max="6670" width="11.33203125" style="2" customWidth="1"/>
    <col min="6671" max="6671" width="15.5546875" style="2" customWidth="1"/>
    <col min="6672" max="6672" width="12.33203125" style="2" customWidth="1"/>
    <col min="6673" max="6673" width="7.44140625" style="2" customWidth="1"/>
    <col min="6674" max="6674" width="13.33203125" style="2" customWidth="1"/>
    <col min="6675" max="6675" width="14" style="2" customWidth="1"/>
    <col min="6676" max="6676" width="12.109375" style="2" customWidth="1"/>
    <col min="6677" max="6677" width="10.109375" style="2" customWidth="1"/>
    <col min="6678" max="6678" width="10.109375" style="2" bestFit="1" customWidth="1"/>
    <col min="6679" max="6679" width="16.44140625" style="2" customWidth="1"/>
    <col min="6680" max="6915" width="9.109375" style="2"/>
    <col min="6916" max="6916" width="13.109375" style="2" customWidth="1"/>
    <col min="6917" max="6917" width="38.44140625" style="2" customWidth="1"/>
    <col min="6918" max="6918" width="7.109375" style="2" customWidth="1"/>
    <col min="6919" max="6919" width="6.6640625" style="2" customWidth="1"/>
    <col min="6920" max="6920" width="10.109375" style="2" customWidth="1"/>
    <col min="6921" max="6921" width="12.5546875" style="2" customWidth="1"/>
    <col min="6922" max="6922" width="12.33203125" style="2" customWidth="1"/>
    <col min="6923" max="6923" width="13.44140625" style="2" customWidth="1"/>
    <col min="6924" max="6924" width="12.109375" style="2" customWidth="1"/>
    <col min="6925" max="6925" width="13.6640625" style="2" customWidth="1"/>
    <col min="6926" max="6926" width="11.33203125" style="2" customWidth="1"/>
    <col min="6927" max="6927" width="15.5546875" style="2" customWidth="1"/>
    <col min="6928" max="6928" width="12.33203125" style="2" customWidth="1"/>
    <col min="6929" max="6929" width="7.44140625" style="2" customWidth="1"/>
    <col min="6930" max="6930" width="13.33203125" style="2" customWidth="1"/>
    <col min="6931" max="6931" width="14" style="2" customWidth="1"/>
    <col min="6932" max="6932" width="12.109375" style="2" customWidth="1"/>
    <col min="6933" max="6933" width="10.109375" style="2" customWidth="1"/>
    <col min="6934" max="6934" width="10.109375" style="2" bestFit="1" customWidth="1"/>
    <col min="6935" max="6935" width="16.44140625" style="2" customWidth="1"/>
    <col min="6936" max="7171" width="9.109375" style="2"/>
    <col min="7172" max="7172" width="13.109375" style="2" customWidth="1"/>
    <col min="7173" max="7173" width="38.44140625" style="2" customWidth="1"/>
    <col min="7174" max="7174" width="7.109375" style="2" customWidth="1"/>
    <col min="7175" max="7175" width="6.6640625" style="2" customWidth="1"/>
    <col min="7176" max="7176" width="10.109375" style="2" customWidth="1"/>
    <col min="7177" max="7177" width="12.5546875" style="2" customWidth="1"/>
    <col min="7178" max="7178" width="12.33203125" style="2" customWidth="1"/>
    <col min="7179" max="7179" width="13.44140625" style="2" customWidth="1"/>
    <col min="7180" max="7180" width="12.109375" style="2" customWidth="1"/>
    <col min="7181" max="7181" width="13.6640625" style="2" customWidth="1"/>
    <col min="7182" max="7182" width="11.33203125" style="2" customWidth="1"/>
    <col min="7183" max="7183" width="15.5546875" style="2" customWidth="1"/>
    <col min="7184" max="7184" width="12.33203125" style="2" customWidth="1"/>
    <col min="7185" max="7185" width="7.44140625" style="2" customWidth="1"/>
    <col min="7186" max="7186" width="13.33203125" style="2" customWidth="1"/>
    <col min="7187" max="7187" width="14" style="2" customWidth="1"/>
    <col min="7188" max="7188" width="12.109375" style="2" customWidth="1"/>
    <col min="7189" max="7189" width="10.109375" style="2" customWidth="1"/>
    <col min="7190" max="7190" width="10.109375" style="2" bestFit="1" customWidth="1"/>
    <col min="7191" max="7191" width="16.44140625" style="2" customWidth="1"/>
    <col min="7192" max="7427" width="9.109375" style="2"/>
    <col min="7428" max="7428" width="13.109375" style="2" customWidth="1"/>
    <col min="7429" max="7429" width="38.44140625" style="2" customWidth="1"/>
    <col min="7430" max="7430" width="7.109375" style="2" customWidth="1"/>
    <col min="7431" max="7431" width="6.6640625" style="2" customWidth="1"/>
    <col min="7432" max="7432" width="10.109375" style="2" customWidth="1"/>
    <col min="7433" max="7433" width="12.5546875" style="2" customWidth="1"/>
    <col min="7434" max="7434" width="12.33203125" style="2" customWidth="1"/>
    <col min="7435" max="7435" width="13.44140625" style="2" customWidth="1"/>
    <col min="7436" max="7436" width="12.109375" style="2" customWidth="1"/>
    <col min="7437" max="7437" width="13.6640625" style="2" customWidth="1"/>
    <col min="7438" max="7438" width="11.33203125" style="2" customWidth="1"/>
    <col min="7439" max="7439" width="15.5546875" style="2" customWidth="1"/>
    <col min="7440" max="7440" width="12.33203125" style="2" customWidth="1"/>
    <col min="7441" max="7441" width="7.44140625" style="2" customWidth="1"/>
    <col min="7442" max="7442" width="13.33203125" style="2" customWidth="1"/>
    <col min="7443" max="7443" width="14" style="2" customWidth="1"/>
    <col min="7444" max="7444" width="12.109375" style="2" customWidth="1"/>
    <col min="7445" max="7445" width="10.109375" style="2" customWidth="1"/>
    <col min="7446" max="7446" width="10.109375" style="2" bestFit="1" customWidth="1"/>
    <col min="7447" max="7447" width="16.44140625" style="2" customWidth="1"/>
    <col min="7448" max="7683" width="9.109375" style="2"/>
    <col min="7684" max="7684" width="13.109375" style="2" customWidth="1"/>
    <col min="7685" max="7685" width="38.44140625" style="2" customWidth="1"/>
    <col min="7686" max="7686" width="7.109375" style="2" customWidth="1"/>
    <col min="7687" max="7687" width="6.6640625" style="2" customWidth="1"/>
    <col min="7688" max="7688" width="10.109375" style="2" customWidth="1"/>
    <col min="7689" max="7689" width="12.5546875" style="2" customWidth="1"/>
    <col min="7690" max="7690" width="12.33203125" style="2" customWidth="1"/>
    <col min="7691" max="7691" width="13.44140625" style="2" customWidth="1"/>
    <col min="7692" max="7692" width="12.109375" style="2" customWidth="1"/>
    <col min="7693" max="7693" width="13.6640625" style="2" customWidth="1"/>
    <col min="7694" max="7694" width="11.33203125" style="2" customWidth="1"/>
    <col min="7695" max="7695" width="15.5546875" style="2" customWidth="1"/>
    <col min="7696" max="7696" width="12.33203125" style="2" customWidth="1"/>
    <col min="7697" max="7697" width="7.44140625" style="2" customWidth="1"/>
    <col min="7698" max="7698" width="13.33203125" style="2" customWidth="1"/>
    <col min="7699" max="7699" width="14" style="2" customWidth="1"/>
    <col min="7700" max="7700" width="12.109375" style="2" customWidth="1"/>
    <col min="7701" max="7701" width="10.109375" style="2" customWidth="1"/>
    <col min="7702" max="7702" width="10.109375" style="2" bestFit="1" customWidth="1"/>
    <col min="7703" max="7703" width="16.44140625" style="2" customWidth="1"/>
    <col min="7704" max="7939" width="9.109375" style="2"/>
    <col min="7940" max="7940" width="13.109375" style="2" customWidth="1"/>
    <col min="7941" max="7941" width="38.44140625" style="2" customWidth="1"/>
    <col min="7942" max="7942" width="7.109375" style="2" customWidth="1"/>
    <col min="7943" max="7943" width="6.6640625" style="2" customWidth="1"/>
    <col min="7944" max="7944" width="10.109375" style="2" customWidth="1"/>
    <col min="7945" max="7945" width="12.5546875" style="2" customWidth="1"/>
    <col min="7946" max="7946" width="12.33203125" style="2" customWidth="1"/>
    <col min="7947" max="7947" width="13.44140625" style="2" customWidth="1"/>
    <col min="7948" max="7948" width="12.109375" style="2" customWidth="1"/>
    <col min="7949" max="7949" width="13.6640625" style="2" customWidth="1"/>
    <col min="7950" max="7950" width="11.33203125" style="2" customWidth="1"/>
    <col min="7951" max="7951" width="15.5546875" style="2" customWidth="1"/>
    <col min="7952" max="7952" width="12.33203125" style="2" customWidth="1"/>
    <col min="7953" max="7953" width="7.44140625" style="2" customWidth="1"/>
    <col min="7954" max="7954" width="13.33203125" style="2" customWidth="1"/>
    <col min="7955" max="7955" width="14" style="2" customWidth="1"/>
    <col min="7956" max="7956" width="12.109375" style="2" customWidth="1"/>
    <col min="7957" max="7957" width="10.109375" style="2" customWidth="1"/>
    <col min="7958" max="7958" width="10.109375" style="2" bestFit="1" customWidth="1"/>
    <col min="7959" max="7959" width="16.44140625" style="2" customWidth="1"/>
    <col min="7960" max="8195" width="9.109375" style="2"/>
    <col min="8196" max="8196" width="13.109375" style="2" customWidth="1"/>
    <col min="8197" max="8197" width="38.44140625" style="2" customWidth="1"/>
    <col min="8198" max="8198" width="7.109375" style="2" customWidth="1"/>
    <col min="8199" max="8199" width="6.6640625" style="2" customWidth="1"/>
    <col min="8200" max="8200" width="10.109375" style="2" customWidth="1"/>
    <col min="8201" max="8201" width="12.5546875" style="2" customWidth="1"/>
    <col min="8202" max="8202" width="12.33203125" style="2" customWidth="1"/>
    <col min="8203" max="8203" width="13.44140625" style="2" customWidth="1"/>
    <col min="8204" max="8204" width="12.109375" style="2" customWidth="1"/>
    <col min="8205" max="8205" width="13.6640625" style="2" customWidth="1"/>
    <col min="8206" max="8206" width="11.33203125" style="2" customWidth="1"/>
    <col min="8207" max="8207" width="15.5546875" style="2" customWidth="1"/>
    <col min="8208" max="8208" width="12.33203125" style="2" customWidth="1"/>
    <col min="8209" max="8209" width="7.44140625" style="2" customWidth="1"/>
    <col min="8210" max="8210" width="13.33203125" style="2" customWidth="1"/>
    <col min="8211" max="8211" width="14" style="2" customWidth="1"/>
    <col min="8212" max="8212" width="12.109375" style="2" customWidth="1"/>
    <col min="8213" max="8213" width="10.109375" style="2" customWidth="1"/>
    <col min="8214" max="8214" width="10.109375" style="2" bestFit="1" customWidth="1"/>
    <col min="8215" max="8215" width="16.44140625" style="2" customWidth="1"/>
    <col min="8216" max="8451" width="9.109375" style="2"/>
    <col min="8452" max="8452" width="13.109375" style="2" customWidth="1"/>
    <col min="8453" max="8453" width="38.44140625" style="2" customWidth="1"/>
    <col min="8454" max="8454" width="7.109375" style="2" customWidth="1"/>
    <col min="8455" max="8455" width="6.6640625" style="2" customWidth="1"/>
    <col min="8456" max="8456" width="10.109375" style="2" customWidth="1"/>
    <col min="8457" max="8457" width="12.5546875" style="2" customWidth="1"/>
    <col min="8458" max="8458" width="12.33203125" style="2" customWidth="1"/>
    <col min="8459" max="8459" width="13.44140625" style="2" customWidth="1"/>
    <col min="8460" max="8460" width="12.109375" style="2" customWidth="1"/>
    <col min="8461" max="8461" width="13.6640625" style="2" customWidth="1"/>
    <col min="8462" max="8462" width="11.33203125" style="2" customWidth="1"/>
    <col min="8463" max="8463" width="15.5546875" style="2" customWidth="1"/>
    <col min="8464" max="8464" width="12.33203125" style="2" customWidth="1"/>
    <col min="8465" max="8465" width="7.44140625" style="2" customWidth="1"/>
    <col min="8466" max="8466" width="13.33203125" style="2" customWidth="1"/>
    <col min="8467" max="8467" width="14" style="2" customWidth="1"/>
    <col min="8468" max="8468" width="12.109375" style="2" customWidth="1"/>
    <col min="8469" max="8469" width="10.109375" style="2" customWidth="1"/>
    <col min="8470" max="8470" width="10.109375" style="2" bestFit="1" customWidth="1"/>
    <col min="8471" max="8471" width="16.44140625" style="2" customWidth="1"/>
    <col min="8472" max="8707" width="9.109375" style="2"/>
    <col min="8708" max="8708" width="13.109375" style="2" customWidth="1"/>
    <col min="8709" max="8709" width="38.44140625" style="2" customWidth="1"/>
    <col min="8710" max="8710" width="7.109375" style="2" customWidth="1"/>
    <col min="8711" max="8711" width="6.6640625" style="2" customWidth="1"/>
    <col min="8712" max="8712" width="10.109375" style="2" customWidth="1"/>
    <col min="8713" max="8713" width="12.5546875" style="2" customWidth="1"/>
    <col min="8714" max="8714" width="12.33203125" style="2" customWidth="1"/>
    <col min="8715" max="8715" width="13.44140625" style="2" customWidth="1"/>
    <col min="8716" max="8716" width="12.109375" style="2" customWidth="1"/>
    <col min="8717" max="8717" width="13.6640625" style="2" customWidth="1"/>
    <col min="8718" max="8718" width="11.33203125" style="2" customWidth="1"/>
    <col min="8719" max="8719" width="15.5546875" style="2" customWidth="1"/>
    <col min="8720" max="8720" width="12.33203125" style="2" customWidth="1"/>
    <col min="8721" max="8721" width="7.44140625" style="2" customWidth="1"/>
    <col min="8722" max="8722" width="13.33203125" style="2" customWidth="1"/>
    <col min="8723" max="8723" width="14" style="2" customWidth="1"/>
    <col min="8724" max="8724" width="12.109375" style="2" customWidth="1"/>
    <col min="8725" max="8725" width="10.109375" style="2" customWidth="1"/>
    <col min="8726" max="8726" width="10.109375" style="2" bestFit="1" customWidth="1"/>
    <col min="8727" max="8727" width="16.44140625" style="2" customWidth="1"/>
    <col min="8728" max="8963" width="9.109375" style="2"/>
    <col min="8964" max="8964" width="13.109375" style="2" customWidth="1"/>
    <col min="8965" max="8965" width="38.44140625" style="2" customWidth="1"/>
    <col min="8966" max="8966" width="7.109375" style="2" customWidth="1"/>
    <col min="8967" max="8967" width="6.6640625" style="2" customWidth="1"/>
    <col min="8968" max="8968" width="10.109375" style="2" customWidth="1"/>
    <col min="8969" max="8969" width="12.5546875" style="2" customWidth="1"/>
    <col min="8970" max="8970" width="12.33203125" style="2" customWidth="1"/>
    <col min="8971" max="8971" width="13.44140625" style="2" customWidth="1"/>
    <col min="8972" max="8972" width="12.109375" style="2" customWidth="1"/>
    <col min="8973" max="8973" width="13.6640625" style="2" customWidth="1"/>
    <col min="8974" max="8974" width="11.33203125" style="2" customWidth="1"/>
    <col min="8975" max="8975" width="15.5546875" style="2" customWidth="1"/>
    <col min="8976" max="8976" width="12.33203125" style="2" customWidth="1"/>
    <col min="8977" max="8977" width="7.44140625" style="2" customWidth="1"/>
    <col min="8978" max="8978" width="13.33203125" style="2" customWidth="1"/>
    <col min="8979" max="8979" width="14" style="2" customWidth="1"/>
    <col min="8980" max="8980" width="12.109375" style="2" customWidth="1"/>
    <col min="8981" max="8981" width="10.109375" style="2" customWidth="1"/>
    <col min="8982" max="8982" width="10.109375" style="2" bestFit="1" customWidth="1"/>
    <col min="8983" max="8983" width="16.44140625" style="2" customWidth="1"/>
    <col min="8984" max="9219" width="9.109375" style="2"/>
    <col min="9220" max="9220" width="13.109375" style="2" customWidth="1"/>
    <col min="9221" max="9221" width="38.44140625" style="2" customWidth="1"/>
    <col min="9222" max="9222" width="7.109375" style="2" customWidth="1"/>
    <col min="9223" max="9223" width="6.6640625" style="2" customWidth="1"/>
    <col min="9224" max="9224" width="10.109375" style="2" customWidth="1"/>
    <col min="9225" max="9225" width="12.5546875" style="2" customWidth="1"/>
    <col min="9226" max="9226" width="12.33203125" style="2" customWidth="1"/>
    <col min="9227" max="9227" width="13.44140625" style="2" customWidth="1"/>
    <col min="9228" max="9228" width="12.109375" style="2" customWidth="1"/>
    <col min="9229" max="9229" width="13.6640625" style="2" customWidth="1"/>
    <col min="9230" max="9230" width="11.33203125" style="2" customWidth="1"/>
    <col min="9231" max="9231" width="15.5546875" style="2" customWidth="1"/>
    <col min="9232" max="9232" width="12.33203125" style="2" customWidth="1"/>
    <col min="9233" max="9233" width="7.44140625" style="2" customWidth="1"/>
    <col min="9234" max="9234" width="13.33203125" style="2" customWidth="1"/>
    <col min="9235" max="9235" width="14" style="2" customWidth="1"/>
    <col min="9236" max="9236" width="12.109375" style="2" customWidth="1"/>
    <col min="9237" max="9237" width="10.109375" style="2" customWidth="1"/>
    <col min="9238" max="9238" width="10.109375" style="2" bestFit="1" customWidth="1"/>
    <col min="9239" max="9239" width="16.44140625" style="2" customWidth="1"/>
    <col min="9240" max="9475" width="9.109375" style="2"/>
    <col min="9476" max="9476" width="13.109375" style="2" customWidth="1"/>
    <col min="9477" max="9477" width="38.44140625" style="2" customWidth="1"/>
    <col min="9478" max="9478" width="7.109375" style="2" customWidth="1"/>
    <col min="9479" max="9479" width="6.6640625" style="2" customWidth="1"/>
    <col min="9480" max="9480" width="10.109375" style="2" customWidth="1"/>
    <col min="9481" max="9481" width="12.5546875" style="2" customWidth="1"/>
    <col min="9482" max="9482" width="12.33203125" style="2" customWidth="1"/>
    <col min="9483" max="9483" width="13.44140625" style="2" customWidth="1"/>
    <col min="9484" max="9484" width="12.109375" style="2" customWidth="1"/>
    <col min="9485" max="9485" width="13.6640625" style="2" customWidth="1"/>
    <col min="9486" max="9486" width="11.33203125" style="2" customWidth="1"/>
    <col min="9487" max="9487" width="15.5546875" style="2" customWidth="1"/>
    <col min="9488" max="9488" width="12.33203125" style="2" customWidth="1"/>
    <col min="9489" max="9489" width="7.44140625" style="2" customWidth="1"/>
    <col min="9490" max="9490" width="13.33203125" style="2" customWidth="1"/>
    <col min="9491" max="9491" width="14" style="2" customWidth="1"/>
    <col min="9492" max="9492" width="12.109375" style="2" customWidth="1"/>
    <col min="9493" max="9493" width="10.109375" style="2" customWidth="1"/>
    <col min="9494" max="9494" width="10.109375" style="2" bestFit="1" customWidth="1"/>
    <col min="9495" max="9495" width="16.44140625" style="2" customWidth="1"/>
    <col min="9496" max="9731" width="9.109375" style="2"/>
    <col min="9732" max="9732" width="13.109375" style="2" customWidth="1"/>
    <col min="9733" max="9733" width="38.44140625" style="2" customWidth="1"/>
    <col min="9734" max="9734" width="7.109375" style="2" customWidth="1"/>
    <col min="9735" max="9735" width="6.6640625" style="2" customWidth="1"/>
    <col min="9736" max="9736" width="10.109375" style="2" customWidth="1"/>
    <col min="9737" max="9737" width="12.5546875" style="2" customWidth="1"/>
    <col min="9738" max="9738" width="12.33203125" style="2" customWidth="1"/>
    <col min="9739" max="9739" width="13.44140625" style="2" customWidth="1"/>
    <col min="9740" max="9740" width="12.109375" style="2" customWidth="1"/>
    <col min="9741" max="9741" width="13.6640625" style="2" customWidth="1"/>
    <col min="9742" max="9742" width="11.33203125" style="2" customWidth="1"/>
    <col min="9743" max="9743" width="15.5546875" style="2" customWidth="1"/>
    <col min="9744" max="9744" width="12.33203125" style="2" customWidth="1"/>
    <col min="9745" max="9745" width="7.44140625" style="2" customWidth="1"/>
    <col min="9746" max="9746" width="13.33203125" style="2" customWidth="1"/>
    <col min="9747" max="9747" width="14" style="2" customWidth="1"/>
    <col min="9748" max="9748" width="12.109375" style="2" customWidth="1"/>
    <col min="9749" max="9749" width="10.109375" style="2" customWidth="1"/>
    <col min="9750" max="9750" width="10.109375" style="2" bestFit="1" customWidth="1"/>
    <col min="9751" max="9751" width="16.44140625" style="2" customWidth="1"/>
    <col min="9752" max="9987" width="9.109375" style="2"/>
    <col min="9988" max="9988" width="13.109375" style="2" customWidth="1"/>
    <col min="9989" max="9989" width="38.44140625" style="2" customWidth="1"/>
    <col min="9990" max="9990" width="7.109375" style="2" customWidth="1"/>
    <col min="9991" max="9991" width="6.6640625" style="2" customWidth="1"/>
    <col min="9992" max="9992" width="10.109375" style="2" customWidth="1"/>
    <col min="9993" max="9993" width="12.5546875" style="2" customWidth="1"/>
    <col min="9994" max="9994" width="12.33203125" style="2" customWidth="1"/>
    <col min="9995" max="9995" width="13.44140625" style="2" customWidth="1"/>
    <col min="9996" max="9996" width="12.109375" style="2" customWidth="1"/>
    <col min="9997" max="9997" width="13.6640625" style="2" customWidth="1"/>
    <col min="9998" max="9998" width="11.33203125" style="2" customWidth="1"/>
    <col min="9999" max="9999" width="15.5546875" style="2" customWidth="1"/>
    <col min="10000" max="10000" width="12.33203125" style="2" customWidth="1"/>
    <col min="10001" max="10001" width="7.44140625" style="2" customWidth="1"/>
    <col min="10002" max="10002" width="13.33203125" style="2" customWidth="1"/>
    <col min="10003" max="10003" width="14" style="2" customWidth="1"/>
    <col min="10004" max="10004" width="12.109375" style="2" customWidth="1"/>
    <col min="10005" max="10005" width="10.109375" style="2" customWidth="1"/>
    <col min="10006" max="10006" width="10.109375" style="2" bestFit="1" customWidth="1"/>
    <col min="10007" max="10007" width="16.44140625" style="2" customWidth="1"/>
    <col min="10008" max="10243" width="9.109375" style="2"/>
    <col min="10244" max="10244" width="13.109375" style="2" customWidth="1"/>
    <col min="10245" max="10245" width="38.44140625" style="2" customWidth="1"/>
    <col min="10246" max="10246" width="7.109375" style="2" customWidth="1"/>
    <col min="10247" max="10247" width="6.6640625" style="2" customWidth="1"/>
    <col min="10248" max="10248" width="10.109375" style="2" customWidth="1"/>
    <col min="10249" max="10249" width="12.5546875" style="2" customWidth="1"/>
    <col min="10250" max="10250" width="12.33203125" style="2" customWidth="1"/>
    <col min="10251" max="10251" width="13.44140625" style="2" customWidth="1"/>
    <col min="10252" max="10252" width="12.109375" style="2" customWidth="1"/>
    <col min="10253" max="10253" width="13.6640625" style="2" customWidth="1"/>
    <col min="10254" max="10254" width="11.33203125" style="2" customWidth="1"/>
    <col min="10255" max="10255" width="15.5546875" style="2" customWidth="1"/>
    <col min="10256" max="10256" width="12.33203125" style="2" customWidth="1"/>
    <col min="10257" max="10257" width="7.44140625" style="2" customWidth="1"/>
    <col min="10258" max="10258" width="13.33203125" style="2" customWidth="1"/>
    <col min="10259" max="10259" width="14" style="2" customWidth="1"/>
    <col min="10260" max="10260" width="12.109375" style="2" customWidth="1"/>
    <col min="10261" max="10261" width="10.109375" style="2" customWidth="1"/>
    <col min="10262" max="10262" width="10.109375" style="2" bestFit="1" customWidth="1"/>
    <col min="10263" max="10263" width="16.44140625" style="2" customWidth="1"/>
    <col min="10264" max="10499" width="9.109375" style="2"/>
    <col min="10500" max="10500" width="13.109375" style="2" customWidth="1"/>
    <col min="10501" max="10501" width="38.44140625" style="2" customWidth="1"/>
    <col min="10502" max="10502" width="7.109375" style="2" customWidth="1"/>
    <col min="10503" max="10503" width="6.6640625" style="2" customWidth="1"/>
    <col min="10504" max="10504" width="10.109375" style="2" customWidth="1"/>
    <col min="10505" max="10505" width="12.5546875" style="2" customWidth="1"/>
    <col min="10506" max="10506" width="12.33203125" style="2" customWidth="1"/>
    <col min="10507" max="10507" width="13.44140625" style="2" customWidth="1"/>
    <col min="10508" max="10508" width="12.109375" style="2" customWidth="1"/>
    <col min="10509" max="10509" width="13.6640625" style="2" customWidth="1"/>
    <col min="10510" max="10510" width="11.33203125" style="2" customWidth="1"/>
    <col min="10511" max="10511" width="15.5546875" style="2" customWidth="1"/>
    <col min="10512" max="10512" width="12.33203125" style="2" customWidth="1"/>
    <col min="10513" max="10513" width="7.44140625" style="2" customWidth="1"/>
    <col min="10514" max="10514" width="13.33203125" style="2" customWidth="1"/>
    <col min="10515" max="10515" width="14" style="2" customWidth="1"/>
    <col min="10516" max="10516" width="12.109375" style="2" customWidth="1"/>
    <col min="10517" max="10517" width="10.109375" style="2" customWidth="1"/>
    <col min="10518" max="10518" width="10.109375" style="2" bestFit="1" customWidth="1"/>
    <col min="10519" max="10519" width="16.44140625" style="2" customWidth="1"/>
    <col min="10520" max="10755" width="9.109375" style="2"/>
    <col min="10756" max="10756" width="13.109375" style="2" customWidth="1"/>
    <col min="10757" max="10757" width="38.44140625" style="2" customWidth="1"/>
    <col min="10758" max="10758" width="7.109375" style="2" customWidth="1"/>
    <col min="10759" max="10759" width="6.6640625" style="2" customWidth="1"/>
    <col min="10760" max="10760" width="10.109375" style="2" customWidth="1"/>
    <col min="10761" max="10761" width="12.5546875" style="2" customWidth="1"/>
    <col min="10762" max="10762" width="12.33203125" style="2" customWidth="1"/>
    <col min="10763" max="10763" width="13.44140625" style="2" customWidth="1"/>
    <col min="10764" max="10764" width="12.109375" style="2" customWidth="1"/>
    <col min="10765" max="10765" width="13.6640625" style="2" customWidth="1"/>
    <col min="10766" max="10766" width="11.33203125" style="2" customWidth="1"/>
    <col min="10767" max="10767" width="15.5546875" style="2" customWidth="1"/>
    <col min="10768" max="10768" width="12.33203125" style="2" customWidth="1"/>
    <col min="10769" max="10769" width="7.44140625" style="2" customWidth="1"/>
    <col min="10770" max="10770" width="13.33203125" style="2" customWidth="1"/>
    <col min="10771" max="10771" width="14" style="2" customWidth="1"/>
    <col min="10772" max="10772" width="12.109375" style="2" customWidth="1"/>
    <col min="10773" max="10773" width="10.109375" style="2" customWidth="1"/>
    <col min="10774" max="10774" width="10.109375" style="2" bestFit="1" customWidth="1"/>
    <col min="10775" max="10775" width="16.44140625" style="2" customWidth="1"/>
    <col min="10776" max="11011" width="9.109375" style="2"/>
    <col min="11012" max="11012" width="13.109375" style="2" customWidth="1"/>
    <col min="11013" max="11013" width="38.44140625" style="2" customWidth="1"/>
    <col min="11014" max="11014" width="7.109375" style="2" customWidth="1"/>
    <col min="11015" max="11015" width="6.6640625" style="2" customWidth="1"/>
    <col min="11016" max="11016" width="10.109375" style="2" customWidth="1"/>
    <col min="11017" max="11017" width="12.5546875" style="2" customWidth="1"/>
    <col min="11018" max="11018" width="12.33203125" style="2" customWidth="1"/>
    <col min="11019" max="11019" width="13.44140625" style="2" customWidth="1"/>
    <col min="11020" max="11020" width="12.109375" style="2" customWidth="1"/>
    <col min="11021" max="11021" width="13.6640625" style="2" customWidth="1"/>
    <col min="11022" max="11022" width="11.33203125" style="2" customWidth="1"/>
    <col min="11023" max="11023" width="15.5546875" style="2" customWidth="1"/>
    <col min="11024" max="11024" width="12.33203125" style="2" customWidth="1"/>
    <col min="11025" max="11025" width="7.44140625" style="2" customWidth="1"/>
    <col min="11026" max="11026" width="13.33203125" style="2" customWidth="1"/>
    <col min="11027" max="11027" width="14" style="2" customWidth="1"/>
    <col min="11028" max="11028" width="12.109375" style="2" customWidth="1"/>
    <col min="11029" max="11029" width="10.109375" style="2" customWidth="1"/>
    <col min="11030" max="11030" width="10.109375" style="2" bestFit="1" customWidth="1"/>
    <col min="11031" max="11031" width="16.44140625" style="2" customWidth="1"/>
    <col min="11032" max="11267" width="9.109375" style="2"/>
    <col min="11268" max="11268" width="13.109375" style="2" customWidth="1"/>
    <col min="11269" max="11269" width="38.44140625" style="2" customWidth="1"/>
    <col min="11270" max="11270" width="7.109375" style="2" customWidth="1"/>
    <col min="11271" max="11271" width="6.6640625" style="2" customWidth="1"/>
    <col min="11272" max="11272" width="10.109375" style="2" customWidth="1"/>
    <col min="11273" max="11273" width="12.5546875" style="2" customWidth="1"/>
    <col min="11274" max="11274" width="12.33203125" style="2" customWidth="1"/>
    <col min="11275" max="11275" width="13.44140625" style="2" customWidth="1"/>
    <col min="11276" max="11276" width="12.109375" style="2" customWidth="1"/>
    <col min="11277" max="11277" width="13.6640625" style="2" customWidth="1"/>
    <col min="11278" max="11278" width="11.33203125" style="2" customWidth="1"/>
    <col min="11279" max="11279" width="15.5546875" style="2" customWidth="1"/>
    <col min="11280" max="11280" width="12.33203125" style="2" customWidth="1"/>
    <col min="11281" max="11281" width="7.44140625" style="2" customWidth="1"/>
    <col min="11282" max="11282" width="13.33203125" style="2" customWidth="1"/>
    <col min="11283" max="11283" width="14" style="2" customWidth="1"/>
    <col min="11284" max="11284" width="12.109375" style="2" customWidth="1"/>
    <col min="11285" max="11285" width="10.109375" style="2" customWidth="1"/>
    <col min="11286" max="11286" width="10.109375" style="2" bestFit="1" customWidth="1"/>
    <col min="11287" max="11287" width="16.44140625" style="2" customWidth="1"/>
    <col min="11288" max="11523" width="9.109375" style="2"/>
    <col min="11524" max="11524" width="13.109375" style="2" customWidth="1"/>
    <col min="11525" max="11525" width="38.44140625" style="2" customWidth="1"/>
    <col min="11526" max="11526" width="7.109375" style="2" customWidth="1"/>
    <col min="11527" max="11527" width="6.6640625" style="2" customWidth="1"/>
    <col min="11528" max="11528" width="10.109375" style="2" customWidth="1"/>
    <col min="11529" max="11529" width="12.5546875" style="2" customWidth="1"/>
    <col min="11530" max="11530" width="12.33203125" style="2" customWidth="1"/>
    <col min="11531" max="11531" width="13.44140625" style="2" customWidth="1"/>
    <col min="11532" max="11532" width="12.109375" style="2" customWidth="1"/>
    <col min="11533" max="11533" width="13.6640625" style="2" customWidth="1"/>
    <col min="11534" max="11534" width="11.33203125" style="2" customWidth="1"/>
    <col min="11535" max="11535" width="15.5546875" style="2" customWidth="1"/>
    <col min="11536" max="11536" width="12.33203125" style="2" customWidth="1"/>
    <col min="11537" max="11537" width="7.44140625" style="2" customWidth="1"/>
    <col min="11538" max="11538" width="13.33203125" style="2" customWidth="1"/>
    <col min="11539" max="11539" width="14" style="2" customWidth="1"/>
    <col min="11540" max="11540" width="12.109375" style="2" customWidth="1"/>
    <col min="11541" max="11541" width="10.109375" style="2" customWidth="1"/>
    <col min="11542" max="11542" width="10.109375" style="2" bestFit="1" customWidth="1"/>
    <col min="11543" max="11543" width="16.44140625" style="2" customWidth="1"/>
    <col min="11544" max="11779" width="9.109375" style="2"/>
    <col min="11780" max="11780" width="13.109375" style="2" customWidth="1"/>
    <col min="11781" max="11781" width="38.44140625" style="2" customWidth="1"/>
    <col min="11782" max="11782" width="7.109375" style="2" customWidth="1"/>
    <col min="11783" max="11783" width="6.6640625" style="2" customWidth="1"/>
    <col min="11784" max="11784" width="10.109375" style="2" customWidth="1"/>
    <col min="11785" max="11785" width="12.5546875" style="2" customWidth="1"/>
    <col min="11786" max="11786" width="12.33203125" style="2" customWidth="1"/>
    <col min="11787" max="11787" width="13.44140625" style="2" customWidth="1"/>
    <col min="11788" max="11788" width="12.109375" style="2" customWidth="1"/>
    <col min="11789" max="11789" width="13.6640625" style="2" customWidth="1"/>
    <col min="11790" max="11790" width="11.33203125" style="2" customWidth="1"/>
    <col min="11791" max="11791" width="15.5546875" style="2" customWidth="1"/>
    <col min="11792" max="11792" width="12.33203125" style="2" customWidth="1"/>
    <col min="11793" max="11793" width="7.44140625" style="2" customWidth="1"/>
    <col min="11794" max="11794" width="13.33203125" style="2" customWidth="1"/>
    <col min="11795" max="11795" width="14" style="2" customWidth="1"/>
    <col min="11796" max="11796" width="12.109375" style="2" customWidth="1"/>
    <col min="11797" max="11797" width="10.109375" style="2" customWidth="1"/>
    <col min="11798" max="11798" width="10.109375" style="2" bestFit="1" customWidth="1"/>
    <col min="11799" max="11799" width="16.44140625" style="2" customWidth="1"/>
    <col min="11800" max="12035" width="9.109375" style="2"/>
    <col min="12036" max="12036" width="13.109375" style="2" customWidth="1"/>
    <col min="12037" max="12037" width="38.44140625" style="2" customWidth="1"/>
    <col min="12038" max="12038" width="7.109375" style="2" customWidth="1"/>
    <col min="12039" max="12039" width="6.6640625" style="2" customWidth="1"/>
    <col min="12040" max="12040" width="10.109375" style="2" customWidth="1"/>
    <col min="12041" max="12041" width="12.5546875" style="2" customWidth="1"/>
    <col min="12042" max="12042" width="12.33203125" style="2" customWidth="1"/>
    <col min="12043" max="12043" width="13.44140625" style="2" customWidth="1"/>
    <col min="12044" max="12044" width="12.109375" style="2" customWidth="1"/>
    <col min="12045" max="12045" width="13.6640625" style="2" customWidth="1"/>
    <col min="12046" max="12046" width="11.33203125" style="2" customWidth="1"/>
    <col min="12047" max="12047" width="15.5546875" style="2" customWidth="1"/>
    <col min="12048" max="12048" width="12.33203125" style="2" customWidth="1"/>
    <col min="12049" max="12049" width="7.44140625" style="2" customWidth="1"/>
    <col min="12050" max="12050" width="13.33203125" style="2" customWidth="1"/>
    <col min="12051" max="12051" width="14" style="2" customWidth="1"/>
    <col min="12052" max="12052" width="12.109375" style="2" customWidth="1"/>
    <col min="12053" max="12053" width="10.109375" style="2" customWidth="1"/>
    <col min="12054" max="12054" width="10.109375" style="2" bestFit="1" customWidth="1"/>
    <col min="12055" max="12055" width="16.44140625" style="2" customWidth="1"/>
    <col min="12056" max="12291" width="9.109375" style="2"/>
    <col min="12292" max="12292" width="13.109375" style="2" customWidth="1"/>
    <col min="12293" max="12293" width="38.44140625" style="2" customWidth="1"/>
    <col min="12294" max="12294" width="7.109375" style="2" customWidth="1"/>
    <col min="12295" max="12295" width="6.6640625" style="2" customWidth="1"/>
    <col min="12296" max="12296" width="10.109375" style="2" customWidth="1"/>
    <col min="12297" max="12297" width="12.5546875" style="2" customWidth="1"/>
    <col min="12298" max="12298" width="12.33203125" style="2" customWidth="1"/>
    <col min="12299" max="12299" width="13.44140625" style="2" customWidth="1"/>
    <col min="12300" max="12300" width="12.109375" style="2" customWidth="1"/>
    <col min="12301" max="12301" width="13.6640625" style="2" customWidth="1"/>
    <col min="12302" max="12302" width="11.33203125" style="2" customWidth="1"/>
    <col min="12303" max="12303" width="15.5546875" style="2" customWidth="1"/>
    <col min="12304" max="12304" width="12.33203125" style="2" customWidth="1"/>
    <col min="12305" max="12305" width="7.44140625" style="2" customWidth="1"/>
    <col min="12306" max="12306" width="13.33203125" style="2" customWidth="1"/>
    <col min="12307" max="12307" width="14" style="2" customWidth="1"/>
    <col min="12308" max="12308" width="12.109375" style="2" customWidth="1"/>
    <col min="12309" max="12309" width="10.109375" style="2" customWidth="1"/>
    <col min="12310" max="12310" width="10.109375" style="2" bestFit="1" customWidth="1"/>
    <col min="12311" max="12311" width="16.44140625" style="2" customWidth="1"/>
    <col min="12312" max="12547" width="9.109375" style="2"/>
    <col min="12548" max="12548" width="13.109375" style="2" customWidth="1"/>
    <col min="12549" max="12549" width="38.44140625" style="2" customWidth="1"/>
    <col min="12550" max="12550" width="7.109375" style="2" customWidth="1"/>
    <col min="12551" max="12551" width="6.6640625" style="2" customWidth="1"/>
    <col min="12552" max="12552" width="10.109375" style="2" customWidth="1"/>
    <col min="12553" max="12553" width="12.5546875" style="2" customWidth="1"/>
    <col min="12554" max="12554" width="12.33203125" style="2" customWidth="1"/>
    <col min="12555" max="12555" width="13.44140625" style="2" customWidth="1"/>
    <col min="12556" max="12556" width="12.109375" style="2" customWidth="1"/>
    <col min="12557" max="12557" width="13.6640625" style="2" customWidth="1"/>
    <col min="12558" max="12558" width="11.33203125" style="2" customWidth="1"/>
    <col min="12559" max="12559" width="15.5546875" style="2" customWidth="1"/>
    <col min="12560" max="12560" width="12.33203125" style="2" customWidth="1"/>
    <col min="12561" max="12561" width="7.44140625" style="2" customWidth="1"/>
    <col min="12562" max="12562" width="13.33203125" style="2" customWidth="1"/>
    <col min="12563" max="12563" width="14" style="2" customWidth="1"/>
    <col min="12564" max="12564" width="12.109375" style="2" customWidth="1"/>
    <col min="12565" max="12565" width="10.109375" style="2" customWidth="1"/>
    <col min="12566" max="12566" width="10.109375" style="2" bestFit="1" customWidth="1"/>
    <col min="12567" max="12567" width="16.44140625" style="2" customWidth="1"/>
    <col min="12568" max="12803" width="9.109375" style="2"/>
    <col min="12804" max="12804" width="13.109375" style="2" customWidth="1"/>
    <col min="12805" max="12805" width="38.44140625" style="2" customWidth="1"/>
    <col min="12806" max="12806" width="7.109375" style="2" customWidth="1"/>
    <col min="12807" max="12807" width="6.6640625" style="2" customWidth="1"/>
    <col min="12808" max="12808" width="10.109375" style="2" customWidth="1"/>
    <col min="12809" max="12809" width="12.5546875" style="2" customWidth="1"/>
    <col min="12810" max="12810" width="12.33203125" style="2" customWidth="1"/>
    <col min="12811" max="12811" width="13.44140625" style="2" customWidth="1"/>
    <col min="12812" max="12812" width="12.109375" style="2" customWidth="1"/>
    <col min="12813" max="12813" width="13.6640625" style="2" customWidth="1"/>
    <col min="12814" max="12814" width="11.33203125" style="2" customWidth="1"/>
    <col min="12815" max="12815" width="15.5546875" style="2" customWidth="1"/>
    <col min="12816" max="12816" width="12.33203125" style="2" customWidth="1"/>
    <col min="12817" max="12817" width="7.44140625" style="2" customWidth="1"/>
    <col min="12818" max="12818" width="13.33203125" style="2" customWidth="1"/>
    <col min="12819" max="12819" width="14" style="2" customWidth="1"/>
    <col min="12820" max="12820" width="12.109375" style="2" customWidth="1"/>
    <col min="12821" max="12821" width="10.109375" style="2" customWidth="1"/>
    <col min="12822" max="12822" width="10.109375" style="2" bestFit="1" customWidth="1"/>
    <col min="12823" max="12823" width="16.44140625" style="2" customWidth="1"/>
    <col min="12824" max="13059" width="9.109375" style="2"/>
    <col min="13060" max="13060" width="13.109375" style="2" customWidth="1"/>
    <col min="13061" max="13061" width="38.44140625" style="2" customWidth="1"/>
    <col min="13062" max="13062" width="7.109375" style="2" customWidth="1"/>
    <col min="13063" max="13063" width="6.6640625" style="2" customWidth="1"/>
    <col min="13064" max="13064" width="10.109375" style="2" customWidth="1"/>
    <col min="13065" max="13065" width="12.5546875" style="2" customWidth="1"/>
    <col min="13066" max="13066" width="12.33203125" style="2" customWidth="1"/>
    <col min="13067" max="13067" width="13.44140625" style="2" customWidth="1"/>
    <col min="13068" max="13068" width="12.109375" style="2" customWidth="1"/>
    <col min="13069" max="13069" width="13.6640625" style="2" customWidth="1"/>
    <col min="13070" max="13070" width="11.33203125" style="2" customWidth="1"/>
    <col min="13071" max="13071" width="15.5546875" style="2" customWidth="1"/>
    <col min="13072" max="13072" width="12.33203125" style="2" customWidth="1"/>
    <col min="13073" max="13073" width="7.44140625" style="2" customWidth="1"/>
    <col min="13074" max="13074" width="13.33203125" style="2" customWidth="1"/>
    <col min="13075" max="13075" width="14" style="2" customWidth="1"/>
    <col min="13076" max="13076" width="12.109375" style="2" customWidth="1"/>
    <col min="13077" max="13077" width="10.109375" style="2" customWidth="1"/>
    <col min="13078" max="13078" width="10.109375" style="2" bestFit="1" customWidth="1"/>
    <col min="13079" max="13079" width="16.44140625" style="2" customWidth="1"/>
    <col min="13080" max="13315" width="9.109375" style="2"/>
    <col min="13316" max="13316" width="13.109375" style="2" customWidth="1"/>
    <col min="13317" max="13317" width="38.44140625" style="2" customWidth="1"/>
    <col min="13318" max="13318" width="7.109375" style="2" customWidth="1"/>
    <col min="13319" max="13319" width="6.6640625" style="2" customWidth="1"/>
    <col min="13320" max="13320" width="10.109375" style="2" customWidth="1"/>
    <col min="13321" max="13321" width="12.5546875" style="2" customWidth="1"/>
    <col min="13322" max="13322" width="12.33203125" style="2" customWidth="1"/>
    <col min="13323" max="13323" width="13.44140625" style="2" customWidth="1"/>
    <col min="13324" max="13324" width="12.109375" style="2" customWidth="1"/>
    <col min="13325" max="13325" width="13.6640625" style="2" customWidth="1"/>
    <col min="13326" max="13326" width="11.33203125" style="2" customWidth="1"/>
    <col min="13327" max="13327" width="15.5546875" style="2" customWidth="1"/>
    <col min="13328" max="13328" width="12.33203125" style="2" customWidth="1"/>
    <col min="13329" max="13329" width="7.44140625" style="2" customWidth="1"/>
    <col min="13330" max="13330" width="13.33203125" style="2" customWidth="1"/>
    <col min="13331" max="13331" width="14" style="2" customWidth="1"/>
    <col min="13332" max="13332" width="12.109375" style="2" customWidth="1"/>
    <col min="13333" max="13333" width="10.109375" style="2" customWidth="1"/>
    <col min="13334" max="13334" width="10.109375" style="2" bestFit="1" customWidth="1"/>
    <col min="13335" max="13335" width="16.44140625" style="2" customWidth="1"/>
    <col min="13336" max="13571" width="9.109375" style="2"/>
    <col min="13572" max="13572" width="13.109375" style="2" customWidth="1"/>
    <col min="13573" max="13573" width="38.44140625" style="2" customWidth="1"/>
    <col min="13574" max="13574" width="7.109375" style="2" customWidth="1"/>
    <col min="13575" max="13575" width="6.6640625" style="2" customWidth="1"/>
    <col min="13576" max="13576" width="10.109375" style="2" customWidth="1"/>
    <col min="13577" max="13577" width="12.5546875" style="2" customWidth="1"/>
    <col min="13578" max="13578" width="12.33203125" style="2" customWidth="1"/>
    <col min="13579" max="13579" width="13.44140625" style="2" customWidth="1"/>
    <col min="13580" max="13580" width="12.109375" style="2" customWidth="1"/>
    <col min="13581" max="13581" width="13.6640625" style="2" customWidth="1"/>
    <col min="13582" max="13582" width="11.33203125" style="2" customWidth="1"/>
    <col min="13583" max="13583" width="15.5546875" style="2" customWidth="1"/>
    <col min="13584" max="13584" width="12.33203125" style="2" customWidth="1"/>
    <col min="13585" max="13585" width="7.44140625" style="2" customWidth="1"/>
    <col min="13586" max="13586" width="13.33203125" style="2" customWidth="1"/>
    <col min="13587" max="13587" width="14" style="2" customWidth="1"/>
    <col min="13588" max="13588" width="12.109375" style="2" customWidth="1"/>
    <col min="13589" max="13589" width="10.109375" style="2" customWidth="1"/>
    <col min="13590" max="13590" width="10.109375" style="2" bestFit="1" customWidth="1"/>
    <col min="13591" max="13591" width="16.44140625" style="2" customWidth="1"/>
    <col min="13592" max="13827" width="9.109375" style="2"/>
    <col min="13828" max="13828" width="13.109375" style="2" customWidth="1"/>
    <col min="13829" max="13829" width="38.44140625" style="2" customWidth="1"/>
    <col min="13830" max="13830" width="7.109375" style="2" customWidth="1"/>
    <col min="13831" max="13831" width="6.6640625" style="2" customWidth="1"/>
    <col min="13832" max="13832" width="10.109375" style="2" customWidth="1"/>
    <col min="13833" max="13833" width="12.5546875" style="2" customWidth="1"/>
    <col min="13834" max="13834" width="12.33203125" style="2" customWidth="1"/>
    <col min="13835" max="13835" width="13.44140625" style="2" customWidth="1"/>
    <col min="13836" max="13836" width="12.109375" style="2" customWidth="1"/>
    <col min="13837" max="13837" width="13.6640625" style="2" customWidth="1"/>
    <col min="13838" max="13838" width="11.33203125" style="2" customWidth="1"/>
    <col min="13839" max="13839" width="15.5546875" style="2" customWidth="1"/>
    <col min="13840" max="13840" width="12.33203125" style="2" customWidth="1"/>
    <col min="13841" max="13841" width="7.44140625" style="2" customWidth="1"/>
    <col min="13842" max="13842" width="13.33203125" style="2" customWidth="1"/>
    <col min="13843" max="13843" width="14" style="2" customWidth="1"/>
    <col min="13844" max="13844" width="12.109375" style="2" customWidth="1"/>
    <col min="13845" max="13845" width="10.109375" style="2" customWidth="1"/>
    <col min="13846" max="13846" width="10.109375" style="2" bestFit="1" customWidth="1"/>
    <col min="13847" max="13847" width="16.44140625" style="2" customWidth="1"/>
    <col min="13848" max="14083" width="9.109375" style="2"/>
    <col min="14084" max="14084" width="13.109375" style="2" customWidth="1"/>
    <col min="14085" max="14085" width="38.44140625" style="2" customWidth="1"/>
    <col min="14086" max="14086" width="7.109375" style="2" customWidth="1"/>
    <col min="14087" max="14087" width="6.6640625" style="2" customWidth="1"/>
    <col min="14088" max="14088" width="10.109375" style="2" customWidth="1"/>
    <col min="14089" max="14089" width="12.5546875" style="2" customWidth="1"/>
    <col min="14090" max="14090" width="12.33203125" style="2" customWidth="1"/>
    <col min="14091" max="14091" width="13.44140625" style="2" customWidth="1"/>
    <col min="14092" max="14092" width="12.109375" style="2" customWidth="1"/>
    <col min="14093" max="14093" width="13.6640625" style="2" customWidth="1"/>
    <col min="14094" max="14094" width="11.33203125" style="2" customWidth="1"/>
    <col min="14095" max="14095" width="15.5546875" style="2" customWidth="1"/>
    <col min="14096" max="14096" width="12.33203125" style="2" customWidth="1"/>
    <col min="14097" max="14097" width="7.44140625" style="2" customWidth="1"/>
    <col min="14098" max="14098" width="13.33203125" style="2" customWidth="1"/>
    <col min="14099" max="14099" width="14" style="2" customWidth="1"/>
    <col min="14100" max="14100" width="12.109375" style="2" customWidth="1"/>
    <col min="14101" max="14101" width="10.109375" style="2" customWidth="1"/>
    <col min="14102" max="14102" width="10.109375" style="2" bestFit="1" customWidth="1"/>
    <col min="14103" max="14103" width="16.44140625" style="2" customWidth="1"/>
    <col min="14104" max="14339" width="9.109375" style="2"/>
    <col min="14340" max="14340" width="13.109375" style="2" customWidth="1"/>
    <col min="14341" max="14341" width="38.44140625" style="2" customWidth="1"/>
    <col min="14342" max="14342" width="7.109375" style="2" customWidth="1"/>
    <col min="14343" max="14343" width="6.6640625" style="2" customWidth="1"/>
    <col min="14344" max="14344" width="10.109375" style="2" customWidth="1"/>
    <col min="14345" max="14345" width="12.5546875" style="2" customWidth="1"/>
    <col min="14346" max="14346" width="12.33203125" style="2" customWidth="1"/>
    <col min="14347" max="14347" width="13.44140625" style="2" customWidth="1"/>
    <col min="14348" max="14348" width="12.109375" style="2" customWidth="1"/>
    <col min="14349" max="14349" width="13.6640625" style="2" customWidth="1"/>
    <col min="14350" max="14350" width="11.33203125" style="2" customWidth="1"/>
    <col min="14351" max="14351" width="15.5546875" style="2" customWidth="1"/>
    <col min="14352" max="14352" width="12.33203125" style="2" customWidth="1"/>
    <col min="14353" max="14353" width="7.44140625" style="2" customWidth="1"/>
    <col min="14354" max="14354" width="13.33203125" style="2" customWidth="1"/>
    <col min="14355" max="14355" width="14" style="2" customWidth="1"/>
    <col min="14356" max="14356" width="12.109375" style="2" customWidth="1"/>
    <col min="14357" max="14357" width="10.109375" style="2" customWidth="1"/>
    <col min="14358" max="14358" width="10.109375" style="2" bestFit="1" customWidth="1"/>
    <col min="14359" max="14359" width="16.44140625" style="2" customWidth="1"/>
    <col min="14360" max="14595" width="9.109375" style="2"/>
    <col min="14596" max="14596" width="13.109375" style="2" customWidth="1"/>
    <col min="14597" max="14597" width="38.44140625" style="2" customWidth="1"/>
    <col min="14598" max="14598" width="7.109375" style="2" customWidth="1"/>
    <col min="14599" max="14599" width="6.6640625" style="2" customWidth="1"/>
    <col min="14600" max="14600" width="10.109375" style="2" customWidth="1"/>
    <col min="14601" max="14601" width="12.5546875" style="2" customWidth="1"/>
    <col min="14602" max="14602" width="12.33203125" style="2" customWidth="1"/>
    <col min="14603" max="14603" width="13.44140625" style="2" customWidth="1"/>
    <col min="14604" max="14604" width="12.109375" style="2" customWidth="1"/>
    <col min="14605" max="14605" width="13.6640625" style="2" customWidth="1"/>
    <col min="14606" max="14606" width="11.33203125" style="2" customWidth="1"/>
    <col min="14607" max="14607" width="15.5546875" style="2" customWidth="1"/>
    <col min="14608" max="14608" width="12.33203125" style="2" customWidth="1"/>
    <col min="14609" max="14609" width="7.44140625" style="2" customWidth="1"/>
    <col min="14610" max="14610" width="13.33203125" style="2" customWidth="1"/>
    <col min="14611" max="14611" width="14" style="2" customWidth="1"/>
    <col min="14612" max="14612" width="12.109375" style="2" customWidth="1"/>
    <col min="14613" max="14613" width="10.109375" style="2" customWidth="1"/>
    <col min="14614" max="14614" width="10.109375" style="2" bestFit="1" customWidth="1"/>
    <col min="14615" max="14615" width="16.44140625" style="2" customWidth="1"/>
    <col min="14616" max="14851" width="9.109375" style="2"/>
    <col min="14852" max="14852" width="13.109375" style="2" customWidth="1"/>
    <col min="14853" max="14853" width="38.44140625" style="2" customWidth="1"/>
    <col min="14854" max="14854" width="7.109375" style="2" customWidth="1"/>
    <col min="14855" max="14855" width="6.6640625" style="2" customWidth="1"/>
    <col min="14856" max="14856" width="10.109375" style="2" customWidth="1"/>
    <col min="14857" max="14857" width="12.5546875" style="2" customWidth="1"/>
    <col min="14858" max="14858" width="12.33203125" style="2" customWidth="1"/>
    <col min="14859" max="14859" width="13.44140625" style="2" customWidth="1"/>
    <col min="14860" max="14860" width="12.109375" style="2" customWidth="1"/>
    <col min="14861" max="14861" width="13.6640625" style="2" customWidth="1"/>
    <col min="14862" max="14862" width="11.33203125" style="2" customWidth="1"/>
    <col min="14863" max="14863" width="15.5546875" style="2" customWidth="1"/>
    <col min="14864" max="14864" width="12.33203125" style="2" customWidth="1"/>
    <col min="14865" max="14865" width="7.44140625" style="2" customWidth="1"/>
    <col min="14866" max="14866" width="13.33203125" style="2" customWidth="1"/>
    <col min="14867" max="14867" width="14" style="2" customWidth="1"/>
    <col min="14868" max="14868" width="12.109375" style="2" customWidth="1"/>
    <col min="14869" max="14869" width="10.109375" style="2" customWidth="1"/>
    <col min="14870" max="14870" width="10.109375" style="2" bestFit="1" customWidth="1"/>
    <col min="14871" max="14871" width="16.44140625" style="2" customWidth="1"/>
    <col min="14872" max="15107" width="9.109375" style="2"/>
    <col min="15108" max="15108" width="13.109375" style="2" customWidth="1"/>
    <col min="15109" max="15109" width="38.44140625" style="2" customWidth="1"/>
    <col min="15110" max="15110" width="7.109375" style="2" customWidth="1"/>
    <col min="15111" max="15111" width="6.6640625" style="2" customWidth="1"/>
    <col min="15112" max="15112" width="10.109375" style="2" customWidth="1"/>
    <col min="15113" max="15113" width="12.5546875" style="2" customWidth="1"/>
    <col min="15114" max="15114" width="12.33203125" style="2" customWidth="1"/>
    <col min="15115" max="15115" width="13.44140625" style="2" customWidth="1"/>
    <col min="15116" max="15116" width="12.109375" style="2" customWidth="1"/>
    <col min="15117" max="15117" width="13.6640625" style="2" customWidth="1"/>
    <col min="15118" max="15118" width="11.33203125" style="2" customWidth="1"/>
    <col min="15119" max="15119" width="15.5546875" style="2" customWidth="1"/>
    <col min="15120" max="15120" width="12.33203125" style="2" customWidth="1"/>
    <col min="15121" max="15121" width="7.44140625" style="2" customWidth="1"/>
    <col min="15122" max="15122" width="13.33203125" style="2" customWidth="1"/>
    <col min="15123" max="15123" width="14" style="2" customWidth="1"/>
    <col min="15124" max="15124" width="12.109375" style="2" customWidth="1"/>
    <col min="15125" max="15125" width="10.109375" style="2" customWidth="1"/>
    <col min="15126" max="15126" width="10.109375" style="2" bestFit="1" customWidth="1"/>
    <col min="15127" max="15127" width="16.44140625" style="2" customWidth="1"/>
    <col min="15128" max="15363" width="9.109375" style="2"/>
    <col min="15364" max="15364" width="13.109375" style="2" customWidth="1"/>
    <col min="15365" max="15365" width="38.44140625" style="2" customWidth="1"/>
    <col min="15366" max="15366" width="7.109375" style="2" customWidth="1"/>
    <col min="15367" max="15367" width="6.6640625" style="2" customWidth="1"/>
    <col min="15368" max="15368" width="10.109375" style="2" customWidth="1"/>
    <col min="15369" max="15369" width="12.5546875" style="2" customWidth="1"/>
    <col min="15370" max="15370" width="12.33203125" style="2" customWidth="1"/>
    <col min="15371" max="15371" width="13.44140625" style="2" customWidth="1"/>
    <col min="15372" max="15372" width="12.109375" style="2" customWidth="1"/>
    <col min="15373" max="15373" width="13.6640625" style="2" customWidth="1"/>
    <col min="15374" max="15374" width="11.33203125" style="2" customWidth="1"/>
    <col min="15375" max="15375" width="15.5546875" style="2" customWidth="1"/>
    <col min="15376" max="15376" width="12.33203125" style="2" customWidth="1"/>
    <col min="15377" max="15377" width="7.44140625" style="2" customWidth="1"/>
    <col min="15378" max="15378" width="13.33203125" style="2" customWidth="1"/>
    <col min="15379" max="15379" width="14" style="2" customWidth="1"/>
    <col min="15380" max="15380" width="12.109375" style="2" customWidth="1"/>
    <col min="15381" max="15381" width="10.109375" style="2" customWidth="1"/>
    <col min="15382" max="15382" width="10.109375" style="2" bestFit="1" customWidth="1"/>
    <col min="15383" max="15383" width="16.44140625" style="2" customWidth="1"/>
    <col min="15384" max="15619" width="9.109375" style="2"/>
    <col min="15620" max="15620" width="13.109375" style="2" customWidth="1"/>
    <col min="15621" max="15621" width="38.44140625" style="2" customWidth="1"/>
    <col min="15622" max="15622" width="7.109375" style="2" customWidth="1"/>
    <col min="15623" max="15623" width="6.6640625" style="2" customWidth="1"/>
    <col min="15624" max="15624" width="10.109375" style="2" customWidth="1"/>
    <col min="15625" max="15625" width="12.5546875" style="2" customWidth="1"/>
    <col min="15626" max="15626" width="12.33203125" style="2" customWidth="1"/>
    <col min="15627" max="15627" width="13.44140625" style="2" customWidth="1"/>
    <col min="15628" max="15628" width="12.109375" style="2" customWidth="1"/>
    <col min="15629" max="15629" width="13.6640625" style="2" customWidth="1"/>
    <col min="15630" max="15630" width="11.33203125" style="2" customWidth="1"/>
    <col min="15631" max="15631" width="15.5546875" style="2" customWidth="1"/>
    <col min="15632" max="15632" width="12.33203125" style="2" customWidth="1"/>
    <col min="15633" max="15633" width="7.44140625" style="2" customWidth="1"/>
    <col min="15634" max="15634" width="13.33203125" style="2" customWidth="1"/>
    <col min="15635" max="15635" width="14" style="2" customWidth="1"/>
    <col min="15636" max="15636" width="12.109375" style="2" customWidth="1"/>
    <col min="15637" max="15637" width="10.109375" style="2" customWidth="1"/>
    <col min="15638" max="15638" width="10.109375" style="2" bestFit="1" customWidth="1"/>
    <col min="15639" max="15639" width="16.44140625" style="2" customWidth="1"/>
    <col min="15640" max="15875" width="9.109375" style="2"/>
    <col min="15876" max="15876" width="13.109375" style="2" customWidth="1"/>
    <col min="15877" max="15877" width="38.44140625" style="2" customWidth="1"/>
    <col min="15878" max="15878" width="7.109375" style="2" customWidth="1"/>
    <col min="15879" max="15879" width="6.6640625" style="2" customWidth="1"/>
    <col min="15880" max="15880" width="10.109375" style="2" customWidth="1"/>
    <col min="15881" max="15881" width="12.5546875" style="2" customWidth="1"/>
    <col min="15882" max="15882" width="12.33203125" style="2" customWidth="1"/>
    <col min="15883" max="15883" width="13.44140625" style="2" customWidth="1"/>
    <col min="15884" max="15884" width="12.109375" style="2" customWidth="1"/>
    <col min="15885" max="15885" width="13.6640625" style="2" customWidth="1"/>
    <col min="15886" max="15886" width="11.33203125" style="2" customWidth="1"/>
    <col min="15887" max="15887" width="15.5546875" style="2" customWidth="1"/>
    <col min="15888" max="15888" width="12.33203125" style="2" customWidth="1"/>
    <col min="15889" max="15889" width="7.44140625" style="2" customWidth="1"/>
    <col min="15890" max="15890" width="13.33203125" style="2" customWidth="1"/>
    <col min="15891" max="15891" width="14" style="2" customWidth="1"/>
    <col min="15892" max="15892" width="12.109375" style="2" customWidth="1"/>
    <col min="15893" max="15893" width="10.109375" style="2" customWidth="1"/>
    <col min="15894" max="15894" width="10.109375" style="2" bestFit="1" customWidth="1"/>
    <col min="15895" max="15895" width="16.44140625" style="2" customWidth="1"/>
    <col min="15896" max="16131" width="9.109375" style="2"/>
    <col min="16132" max="16132" width="13.109375" style="2" customWidth="1"/>
    <col min="16133" max="16133" width="38.44140625" style="2" customWidth="1"/>
    <col min="16134" max="16134" width="7.109375" style="2" customWidth="1"/>
    <col min="16135" max="16135" width="6.6640625" style="2" customWidth="1"/>
    <col min="16136" max="16136" width="10.109375" style="2" customWidth="1"/>
    <col min="16137" max="16137" width="12.5546875" style="2" customWidth="1"/>
    <col min="16138" max="16138" width="12.33203125" style="2" customWidth="1"/>
    <col min="16139" max="16139" width="13.44140625" style="2" customWidth="1"/>
    <col min="16140" max="16140" width="12.109375" style="2" customWidth="1"/>
    <col min="16141" max="16141" width="13.6640625" style="2" customWidth="1"/>
    <col min="16142" max="16142" width="11.33203125" style="2" customWidth="1"/>
    <col min="16143" max="16143" width="15.5546875" style="2" customWidth="1"/>
    <col min="16144" max="16144" width="12.33203125" style="2" customWidth="1"/>
    <col min="16145" max="16145" width="7.44140625" style="2" customWidth="1"/>
    <col min="16146" max="16146" width="13.33203125" style="2" customWidth="1"/>
    <col min="16147" max="16147" width="14" style="2" customWidth="1"/>
    <col min="16148" max="16148" width="12.109375" style="2" customWidth="1"/>
    <col min="16149" max="16149" width="10.109375" style="2" customWidth="1"/>
    <col min="16150" max="16150" width="10.109375" style="2" bestFit="1" customWidth="1"/>
    <col min="16151" max="16151" width="16.44140625" style="2" customWidth="1"/>
    <col min="16152" max="16384" width="9.109375" style="2"/>
  </cols>
  <sheetData>
    <row r="1" spans="1:23" x14ac:dyDescent="0.3">
      <c r="A1" s="78"/>
      <c r="B1" s="79" t="str">
        <f>INSTRUÇÕES!B1</f>
        <v>Tribunal Regional Federal da 6ª Região</v>
      </c>
      <c r="C1" s="80"/>
      <c r="D1" s="80"/>
      <c r="E1" s="80"/>
      <c r="F1" s="80"/>
      <c r="G1" s="80"/>
      <c r="H1" s="80"/>
      <c r="I1" s="80"/>
      <c r="J1" s="81"/>
      <c r="K1" s="81"/>
      <c r="L1" s="81"/>
      <c r="M1" s="81"/>
      <c r="N1" s="81"/>
      <c r="O1" s="81"/>
      <c r="P1" s="675"/>
      <c r="Q1" s="675"/>
      <c r="R1" s="675"/>
      <c r="S1" s="81"/>
      <c r="T1" s="81"/>
      <c r="U1" s="81"/>
      <c r="V1" s="81"/>
      <c r="W1" s="82"/>
    </row>
    <row r="2" spans="1:23" x14ac:dyDescent="0.3">
      <c r="A2" s="83"/>
      <c r="B2" s="23" t="str">
        <f>INSTRUÇÕES!B2</f>
        <v>Seção Judiciária de Minas Gerais</v>
      </c>
      <c r="C2" s="24"/>
      <c r="D2" s="24"/>
      <c r="E2" s="24"/>
      <c r="F2" s="24"/>
      <c r="G2" s="24"/>
      <c r="H2" s="24"/>
      <c r="I2" s="24"/>
      <c r="W2" s="84"/>
    </row>
    <row r="3" spans="1:23" x14ac:dyDescent="0.3">
      <c r="A3" s="83"/>
      <c r="B3" s="23" t="str">
        <f>INSTRUÇÕES!B3</f>
        <v>Subseção Judiciária de Sete Lagoas</v>
      </c>
      <c r="C3" s="24"/>
      <c r="D3" s="24"/>
      <c r="E3" s="24"/>
      <c r="F3" s="24"/>
      <c r="G3" s="24"/>
      <c r="H3" s="24"/>
      <c r="I3" s="24"/>
      <c r="W3" s="84"/>
    </row>
    <row r="4" spans="1:23" s="576" customFormat="1" ht="18" x14ac:dyDescent="0.3">
      <c r="A4" s="1279" t="s">
        <v>737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1"/>
      <c r="Q4" s="1281"/>
      <c r="R4" s="1281"/>
      <c r="S4" s="1280"/>
      <c r="T4" s="1280"/>
      <c r="U4" s="1280"/>
      <c r="V4" s="1280"/>
      <c r="W4" s="1282"/>
    </row>
    <row r="5" spans="1:23" s="269" customFormat="1" ht="21" customHeight="1" x14ac:dyDescent="0.3">
      <c r="A5" s="1283" t="str">
        <f>"PREÇO MENSAL GLOBAL - "&amp;B3</f>
        <v>PREÇO MENSAL GLOBAL - Subseção Judiciária de Sete Lagoas</v>
      </c>
      <c r="B5" s="1284"/>
      <c r="C5" s="1284"/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5"/>
      <c r="Q5" s="1285"/>
      <c r="R5" s="1285"/>
      <c r="S5" s="1284"/>
      <c r="T5" s="1284"/>
      <c r="U5" s="1284"/>
      <c r="V5" s="1284"/>
      <c r="W5" s="1286"/>
    </row>
    <row r="6" spans="1:23" s="3" customFormat="1" ht="23.25" customHeight="1" thickBot="1" x14ac:dyDescent="0.35">
      <c r="A6" s="1287" t="str">
        <f>Dados!A4</f>
        <v>Sindicato utilizado - SINTAPPI/MG. Vigência: 01/04/2023 à 31/03/2024. Sendo a data base da categoria 01º de Abril. Com número de registro no MTE MG001474/2023.</v>
      </c>
      <c r="B6" s="1288"/>
      <c r="C6" s="1288"/>
      <c r="D6" s="1288"/>
      <c r="E6" s="1288"/>
      <c r="F6" s="1288"/>
      <c r="G6" s="1288"/>
      <c r="H6" s="1288"/>
      <c r="I6" s="1288"/>
      <c r="J6" s="1288"/>
      <c r="K6" s="1288"/>
      <c r="L6" s="1288"/>
      <c r="M6" s="1288"/>
      <c r="N6" s="1288"/>
      <c r="O6" s="1288"/>
      <c r="P6" s="1289"/>
      <c r="Q6" s="1289"/>
      <c r="R6" s="1289"/>
      <c r="S6" s="1288"/>
      <c r="T6" s="1288"/>
      <c r="U6" s="1288"/>
      <c r="V6" s="1288"/>
      <c r="W6" s="1290"/>
    </row>
    <row r="7" spans="1:23" s="6" customFormat="1" ht="18.75" customHeight="1" thickBot="1" x14ac:dyDescent="0.35">
      <c r="A7" s="227"/>
      <c r="B7" s="228"/>
      <c r="C7" s="228"/>
      <c r="D7" s="228"/>
      <c r="E7" s="229"/>
      <c r="F7" s="229"/>
      <c r="G7" s="229"/>
      <c r="H7" s="613" t="s">
        <v>265</v>
      </c>
      <c r="I7" s="230"/>
      <c r="J7" s="230"/>
      <c r="K7" s="229"/>
      <c r="L7" s="229"/>
      <c r="M7" s="229"/>
      <c r="N7" s="229"/>
      <c r="O7" s="229"/>
      <c r="P7" s="229"/>
      <c r="Q7" s="229"/>
      <c r="R7" s="229"/>
      <c r="S7" s="1291" t="s">
        <v>266</v>
      </c>
      <c r="T7" s="1291"/>
      <c r="U7" s="1291"/>
      <c r="V7" s="1291"/>
      <c r="W7" s="1292"/>
    </row>
    <row r="8" spans="1:23" s="6" customFormat="1" ht="22.5" customHeight="1" thickBot="1" x14ac:dyDescent="0.35">
      <c r="A8" s="1293" t="s">
        <v>267</v>
      </c>
      <c r="B8" s="1295" t="s">
        <v>268</v>
      </c>
      <c r="C8" s="1295"/>
      <c r="D8" s="1297" t="s">
        <v>33</v>
      </c>
      <c r="E8" s="1297"/>
      <c r="F8" s="1297"/>
      <c r="G8" s="1297"/>
      <c r="H8" s="1297"/>
      <c r="I8" s="1297"/>
      <c r="J8" s="1298"/>
      <c r="K8" s="1298"/>
      <c r="L8" s="1298"/>
      <c r="M8" s="1298"/>
      <c r="N8" s="1298"/>
      <c r="O8" s="1298"/>
      <c r="P8" s="1298"/>
      <c r="Q8" s="1298"/>
      <c r="R8" s="1298"/>
      <c r="S8" s="1297"/>
      <c r="T8" s="1298"/>
      <c r="U8" s="1298"/>
      <c r="V8" s="1298"/>
      <c r="W8" s="1299" t="s">
        <v>269</v>
      </c>
    </row>
    <row r="9" spans="1:23" s="6" customFormat="1" ht="20.25" customHeight="1" thickBot="1" x14ac:dyDescent="0.35">
      <c r="A9" s="1294"/>
      <c r="B9" s="1296"/>
      <c r="C9" s="1296"/>
      <c r="D9" s="1301" t="s">
        <v>270</v>
      </c>
      <c r="E9" s="1301"/>
      <c r="F9" s="1301"/>
      <c r="G9" s="1302" t="s">
        <v>766</v>
      </c>
      <c r="H9" s="1302"/>
      <c r="I9" s="1301"/>
      <c r="J9" s="1311" t="s">
        <v>271</v>
      </c>
      <c r="K9" s="1312"/>
      <c r="L9" s="1312"/>
      <c r="M9" s="1313"/>
      <c r="N9" s="1313"/>
      <c r="O9" s="1314"/>
      <c r="P9" s="1315" t="s">
        <v>765</v>
      </c>
      <c r="Q9" s="1316"/>
      <c r="R9" s="1317"/>
      <c r="S9" s="711" t="s">
        <v>767</v>
      </c>
      <c r="T9" s="1318" t="s">
        <v>768</v>
      </c>
      <c r="U9" s="1319"/>
      <c r="V9" s="1320"/>
      <c r="W9" s="1300"/>
    </row>
    <row r="10" spans="1:23" s="6" customFormat="1" ht="27.75" customHeight="1" thickBot="1" x14ac:dyDescent="0.35">
      <c r="A10" s="1294"/>
      <c r="B10" s="1296"/>
      <c r="C10" s="1296"/>
      <c r="D10" s="1303" t="s">
        <v>272</v>
      </c>
      <c r="E10" s="1303"/>
      <c r="F10" s="1303"/>
      <c r="G10" s="1304" t="s">
        <v>273</v>
      </c>
      <c r="H10" s="1306" t="s">
        <v>274</v>
      </c>
      <c r="I10" s="1306"/>
      <c r="J10" s="1307" t="s">
        <v>275</v>
      </c>
      <c r="K10" s="1307"/>
      <c r="L10" s="1307"/>
      <c r="M10" s="1308" t="s">
        <v>276</v>
      </c>
      <c r="N10" s="1309"/>
      <c r="O10" s="1310"/>
      <c r="P10" s="1308" t="s">
        <v>758</v>
      </c>
      <c r="Q10" s="1309"/>
      <c r="R10" s="1322"/>
      <c r="S10" s="1330" t="s">
        <v>763</v>
      </c>
      <c r="T10" s="1308" t="s">
        <v>277</v>
      </c>
      <c r="U10" s="1309"/>
      <c r="V10" s="1322"/>
      <c r="W10" s="1300"/>
    </row>
    <row r="11" spans="1:23" s="6" customFormat="1" ht="69.599999999999994" thickBot="1" x14ac:dyDescent="0.35">
      <c r="A11" s="1294"/>
      <c r="B11" s="612" t="s">
        <v>16</v>
      </c>
      <c r="C11" s="231" t="s">
        <v>17</v>
      </c>
      <c r="D11" s="232" t="s">
        <v>15</v>
      </c>
      <c r="E11" s="233" t="s">
        <v>278</v>
      </c>
      <c r="F11" s="234" t="s">
        <v>279</v>
      </c>
      <c r="G11" s="1305"/>
      <c r="H11" s="252" t="s">
        <v>280</v>
      </c>
      <c r="I11" s="258" t="s">
        <v>761</v>
      </c>
      <c r="J11" s="251" t="s">
        <v>281</v>
      </c>
      <c r="K11" s="252" t="s">
        <v>23</v>
      </c>
      <c r="L11" s="253" t="s">
        <v>282</v>
      </c>
      <c r="M11" s="720" t="s">
        <v>283</v>
      </c>
      <c r="N11" s="721" t="s">
        <v>24</v>
      </c>
      <c r="O11" s="723" t="s">
        <v>284</v>
      </c>
      <c r="P11" s="720" t="s">
        <v>762</v>
      </c>
      <c r="Q11" s="721" t="s">
        <v>759</v>
      </c>
      <c r="R11" s="722" t="s">
        <v>760</v>
      </c>
      <c r="S11" s="1331"/>
      <c r="T11" s="720" t="s">
        <v>285</v>
      </c>
      <c r="U11" s="721" t="s">
        <v>286</v>
      </c>
      <c r="V11" s="730" t="s">
        <v>287</v>
      </c>
      <c r="W11" s="1300"/>
    </row>
    <row r="12" spans="1:23" s="6" customFormat="1" ht="15.6" x14ac:dyDescent="0.3">
      <c r="A12" s="1323" t="s">
        <v>288</v>
      </c>
      <c r="B12" s="85" t="str">
        <f>Dados!C7</f>
        <v>Servente de Limpeza 40% Insalubridade</v>
      </c>
      <c r="C12" s="86">
        <f>Dados!D7</f>
        <v>200</v>
      </c>
      <c r="D12" s="87">
        <f>Dados!B7</f>
        <v>1</v>
      </c>
      <c r="E12" s="88">
        <f>'Serv Ins'!$F$46</f>
        <v>6258.69</v>
      </c>
      <c r="F12" s="89">
        <f>ROUND((D12*E12),2)</f>
        <v>6258.69</v>
      </c>
      <c r="G12" s="246">
        <f>'Serv Ins'!$I$46</f>
        <v>135.93</v>
      </c>
      <c r="H12" s="247">
        <f>'Ocorrências Mensais - FAT'!F11+'Ocorrências Mensais - FAT'!H11</f>
        <v>0</v>
      </c>
      <c r="I12" s="248">
        <f>(ROUND((G12/Dados!$G$35*H12)-(G12/'Ocorrências Mensais - FAT'!$E$5*'Ocorrências Mensais - FAT'!G11),2))</f>
        <v>0</v>
      </c>
      <c r="J12" s="249">
        <f>'Serv Ins'!$G$46</f>
        <v>4856.67</v>
      </c>
      <c r="K12" s="247">
        <f>'Ocorrências Mensais - FAT'!K11</f>
        <v>0</v>
      </c>
      <c r="L12" s="248">
        <f>J12/'Ocorrências Mensais - FAT'!$E$5*K12</f>
        <v>0</v>
      </c>
      <c r="M12" s="717">
        <f>'Custo Estimado Substituto'!$F$33</f>
        <v>4176.95</v>
      </c>
      <c r="N12" s="718">
        <f>'Ocorrências Mensais - FAT'!L11</f>
        <v>0</v>
      </c>
      <c r="O12" s="719">
        <f>M12/'Ocorrências Mensais - FAT'!$E$5*N12</f>
        <v>0</v>
      </c>
      <c r="P12" s="724">
        <f>'Serv Ins'!$H$46</f>
        <v>464.61</v>
      </c>
      <c r="Q12" s="725">
        <f>'Ocorrências Mensais - FAT'!M11</f>
        <v>0</v>
      </c>
      <c r="R12" s="719">
        <f>ROUND((P12/Dados!$G$38*Q12),2)</f>
        <v>0</v>
      </c>
      <c r="S12" s="726">
        <f>I12+L12+O12+R12</f>
        <v>0</v>
      </c>
      <c r="T12" s="727"/>
      <c r="U12" s="728"/>
      <c r="V12" s="729"/>
      <c r="W12" s="243">
        <f>ROUND((F12-S12+V12),2)</f>
        <v>6258.69</v>
      </c>
    </row>
    <row r="13" spans="1:23" s="6" customFormat="1" ht="15.6" x14ac:dyDescent="0.3">
      <c r="A13" s="1323"/>
      <c r="B13" s="85" t="str">
        <f>Dados!C8</f>
        <v xml:space="preserve">Servente de Limpeza  </v>
      </c>
      <c r="C13" s="86">
        <f>Dados!D8</f>
        <v>200</v>
      </c>
      <c r="D13" s="87">
        <f>Dados!B8</f>
        <v>1</v>
      </c>
      <c r="E13" s="88">
        <f>Serv!$F$46</f>
        <v>5073.66</v>
      </c>
      <c r="F13" s="89">
        <f t="shared" ref="F13:F16" si="0">ROUND((D13*E13),2)</f>
        <v>5073.66</v>
      </c>
      <c r="G13" s="255">
        <f>Serv!$I$46</f>
        <v>135.93</v>
      </c>
      <c r="H13" s="254">
        <f>'Ocorrências Mensais - FAT'!F12+'Ocorrências Mensais - FAT'!H12</f>
        <v>0</v>
      </c>
      <c r="I13" s="256">
        <f>(ROUND((G13/Dados!$G$35*H13)-(G13/'Ocorrências Mensais - FAT'!$E$5*'Ocorrências Mensais - FAT'!G12),2))</f>
        <v>0</v>
      </c>
      <c r="J13" s="257">
        <f>Serv!$G$46</f>
        <v>3671.64</v>
      </c>
      <c r="K13" s="254">
        <f>'Ocorrências Mensais - FAT'!K12</f>
        <v>0</v>
      </c>
      <c r="L13" s="256">
        <f>J13/'Ocorrências Mensais - FAT'!$E$5*K13</f>
        <v>0</v>
      </c>
      <c r="M13" s="250">
        <f>'Custo Estimado Substituto'!G33</f>
        <v>3167.78</v>
      </c>
      <c r="N13" s="245">
        <f>'Ocorrências Mensais - FAT'!L12</f>
        <v>0</v>
      </c>
      <c r="O13" s="666">
        <f>M13/'Ocorrências Mensais - FAT'!$E$5*N13</f>
        <v>0</v>
      </c>
      <c r="P13" s="667">
        <f>Serv!$H$46</f>
        <v>464.61</v>
      </c>
      <c r="Q13" s="669">
        <f>'Ocorrências Mensais - FAT'!M12</f>
        <v>0</v>
      </c>
      <c r="R13" s="670">
        <f>ROUND((P13/Dados!$G$38*Q13),2)</f>
        <v>0</v>
      </c>
      <c r="S13" s="668">
        <f t="shared" ref="S13:S16" si="1">I13+L13+O13+R13</f>
        <v>0</v>
      </c>
      <c r="T13" s="255">
        <f>'Serv Ins'!$J$47</f>
        <v>39.5</v>
      </c>
      <c r="U13" s="669">
        <f>'Ocorrências Mensais - FAT'!N12</f>
        <v>0</v>
      </c>
      <c r="V13" s="672">
        <f>T13*U13</f>
        <v>0</v>
      </c>
      <c r="W13" s="243">
        <f t="shared" ref="W13:W16" si="2">ROUND((F13-S13+V13),2)</f>
        <v>5073.66</v>
      </c>
    </row>
    <row r="14" spans="1:23" s="6" customFormat="1" ht="15.6" x14ac:dyDescent="0.3">
      <c r="A14" s="1323"/>
      <c r="B14" s="85" t="str">
        <f>Dados!C9</f>
        <v>Copeira</v>
      </c>
      <c r="C14" s="86">
        <f>Dados!D9</f>
        <v>200</v>
      </c>
      <c r="D14" s="87">
        <f>Dados!B9</f>
        <v>1</v>
      </c>
      <c r="E14" s="88">
        <f>Copa!$F$46</f>
        <v>3789.53</v>
      </c>
      <c r="F14" s="89">
        <f t="shared" si="0"/>
        <v>3789.53</v>
      </c>
      <c r="G14" s="255">
        <f>Copa!$I$46</f>
        <v>135.82</v>
      </c>
      <c r="H14" s="254">
        <f>'Ocorrências Mensais - FAT'!F13+'Ocorrências Mensais - FAT'!H13</f>
        <v>0</v>
      </c>
      <c r="I14" s="256">
        <f>(ROUND((G14/Dados!$G$35*H14)-(G14/'Ocorrências Mensais - FAT'!$E$5*'Ocorrências Mensais - FAT'!G13),2))</f>
        <v>0</v>
      </c>
      <c r="J14" s="257">
        <f>Copa!$G$46</f>
        <v>3666.28</v>
      </c>
      <c r="K14" s="254">
        <f>'Ocorrências Mensais - FAT'!K13</f>
        <v>0</v>
      </c>
      <c r="L14" s="256">
        <f>J14/'Ocorrências Mensais - FAT'!$E$5*K14</f>
        <v>0</v>
      </c>
      <c r="M14" s="250">
        <f>'Custo Estimado Substituto'!H33</f>
        <v>3171.1099999999997</v>
      </c>
      <c r="N14" s="245">
        <f>'Ocorrências Mensais - FAT'!L13</f>
        <v>0</v>
      </c>
      <c r="O14" s="666">
        <f>M14/'Ocorrências Mensais - FAT'!$E$5*N14</f>
        <v>0</v>
      </c>
      <c r="P14" s="667">
        <f>Copa!$H$46</f>
        <v>464.61</v>
      </c>
      <c r="Q14" s="669">
        <f>'Ocorrências Mensais - FAT'!M13</f>
        <v>0</v>
      </c>
      <c r="R14" s="670">
        <f>ROUND((P14/Dados!$G$38*Q14),2)</f>
        <v>0</v>
      </c>
      <c r="S14" s="668">
        <f t="shared" si="1"/>
        <v>0</v>
      </c>
      <c r="T14" s="673"/>
      <c r="U14" s="671"/>
      <c r="V14" s="674"/>
      <c r="W14" s="243">
        <f t="shared" si="2"/>
        <v>3789.53</v>
      </c>
    </row>
    <row r="15" spans="1:23" s="6" customFormat="1" ht="15.6" x14ac:dyDescent="0.3">
      <c r="A15" s="1323"/>
      <c r="B15" s="85" t="str">
        <f>Dados!C10</f>
        <v>Zelador com Acúmulo de Lavador de Carro</v>
      </c>
      <c r="C15" s="86">
        <f>Dados!D10</f>
        <v>200</v>
      </c>
      <c r="D15" s="87">
        <f>Dados!B10</f>
        <v>1</v>
      </c>
      <c r="E15" s="88">
        <f>Zel!$F$46</f>
        <v>5279.33</v>
      </c>
      <c r="F15" s="89">
        <f t="shared" si="0"/>
        <v>5279.33</v>
      </c>
      <c r="G15" s="255">
        <f>Zel!$I$46</f>
        <v>87.33</v>
      </c>
      <c r="H15" s="254">
        <f>'Ocorrências Mensais - FAT'!F14+'Ocorrências Mensais - FAT'!H14</f>
        <v>0</v>
      </c>
      <c r="I15" s="256">
        <f>(ROUND((G15/Dados!$G$35*H15)-(G15/'Ocorrências Mensais - FAT'!$E$5*'Ocorrências Mensais - FAT'!G14),2))</f>
        <v>0</v>
      </c>
      <c r="J15" s="257">
        <f>Zel!$G$46</f>
        <v>5118.74</v>
      </c>
      <c r="K15" s="254">
        <f>'Ocorrências Mensais - FAT'!K14</f>
        <v>0</v>
      </c>
      <c r="L15" s="256">
        <f>J15/'Ocorrências Mensais - FAT'!$E$5*K15</f>
        <v>0</v>
      </c>
      <c r="M15" s="250">
        <f>'Custo Estimado Substituto'!I33</f>
        <v>4399.38</v>
      </c>
      <c r="N15" s="245">
        <f>'Ocorrências Mensais - FAT'!L14</f>
        <v>0</v>
      </c>
      <c r="O15" s="666">
        <f>M15/'Ocorrências Mensais - FAT'!$E$5*N15</f>
        <v>0</v>
      </c>
      <c r="P15" s="667">
        <f>Zel!$H$46</f>
        <v>464.61</v>
      </c>
      <c r="Q15" s="669">
        <f>'Ocorrências Mensais - FAT'!M14</f>
        <v>0</v>
      </c>
      <c r="R15" s="670">
        <f>ROUND((P15/Dados!$G$38*Q15),2)</f>
        <v>0</v>
      </c>
      <c r="S15" s="668">
        <f t="shared" si="1"/>
        <v>0</v>
      </c>
      <c r="T15" s="673"/>
      <c r="U15" s="671"/>
      <c r="V15" s="674"/>
      <c r="W15" s="243">
        <f t="shared" si="2"/>
        <v>5279.33</v>
      </c>
    </row>
    <row r="16" spans="1:23" s="6" customFormat="1" ht="16.2" thickBot="1" x14ac:dyDescent="0.35">
      <c r="A16" s="1324"/>
      <c r="B16" s="678" t="str">
        <f>Dados!C11</f>
        <v>Auxiliar Administrativo</v>
      </c>
      <c r="C16" s="679">
        <f>Dados!D11</f>
        <v>200</v>
      </c>
      <c r="D16" s="680">
        <f>Dados!B11</f>
        <v>2</v>
      </c>
      <c r="E16" s="681">
        <f>Aux!$F$46</f>
        <v>4347.45</v>
      </c>
      <c r="F16" s="682">
        <f t="shared" si="0"/>
        <v>8694.9</v>
      </c>
      <c r="G16" s="683">
        <f>Aux!$I$46</f>
        <v>112.15</v>
      </c>
      <c r="H16" s="684">
        <f>'Ocorrências Mensais - FAT'!F15+'Ocorrências Mensais - FAT'!H15</f>
        <v>0</v>
      </c>
      <c r="I16" s="685">
        <f>(ROUND((G16/Dados!$G$35*H16)-(G16/'Ocorrências Mensais - FAT'!$E$5*'Ocorrências Mensais - FAT'!G15),2))</f>
        <v>0</v>
      </c>
      <c r="J16" s="686">
        <f>Aux!$G$46</f>
        <v>4344.09</v>
      </c>
      <c r="K16" s="684">
        <f>'Ocorrências Mensais - FAT'!K15</f>
        <v>0</v>
      </c>
      <c r="L16" s="685">
        <f>J16/'Ocorrências Mensais - FAT'!$E$5*K16</f>
        <v>0</v>
      </c>
      <c r="M16" s="686">
        <f>'Custo Estimado Substituto'!J33</f>
        <v>3748.82</v>
      </c>
      <c r="N16" s="684">
        <f>'Ocorrências Mensais - FAT'!L15</f>
        <v>0</v>
      </c>
      <c r="O16" s="687">
        <f>M16/'Ocorrências Mensais - FAT'!$E$5*N16</f>
        <v>0</v>
      </c>
      <c r="P16" s="688">
        <f>Aux!$H$46</f>
        <v>464.61</v>
      </c>
      <c r="Q16" s="689">
        <f>'Ocorrências Mensais - FAT'!M15</f>
        <v>0</v>
      </c>
      <c r="R16" s="687">
        <f>ROUND((P16/Dados!$G$38*Q16),2)</f>
        <v>0</v>
      </c>
      <c r="S16" s="690">
        <f t="shared" si="1"/>
        <v>0</v>
      </c>
      <c r="T16" s="691"/>
      <c r="U16" s="692"/>
      <c r="V16" s="693"/>
      <c r="W16" s="694">
        <f t="shared" si="2"/>
        <v>8694.9</v>
      </c>
    </row>
    <row r="17" spans="1:25" s="19" customFormat="1" ht="21.75" customHeight="1" thickBot="1" x14ac:dyDescent="0.35">
      <c r="A17" s="1335" t="s">
        <v>289</v>
      </c>
      <c r="B17" s="1336"/>
      <c r="C17" s="1291"/>
      <c r="D17" s="696">
        <f>SUM(D12:D16)</f>
        <v>6</v>
      </c>
      <c r="E17" s="697"/>
      <c r="F17" s="698">
        <f>SUM(F12:F16)</f>
        <v>29096.11</v>
      </c>
      <c r="G17" s="699"/>
      <c r="H17" s="700">
        <f t="shared" ref="H17:V17" si="3">SUM(H12:H16)</f>
        <v>0</v>
      </c>
      <c r="I17" s="701">
        <f t="shared" si="3"/>
        <v>0</v>
      </c>
      <c r="J17" s="702">
        <f t="shared" si="3"/>
        <v>21657.420000000002</v>
      </c>
      <c r="K17" s="700">
        <f t="shared" si="3"/>
        <v>0</v>
      </c>
      <c r="L17" s="701">
        <f t="shared" si="3"/>
        <v>0</v>
      </c>
      <c r="M17" s="703">
        <f t="shared" si="3"/>
        <v>18664.04</v>
      </c>
      <c r="N17" s="700">
        <f t="shared" si="3"/>
        <v>0</v>
      </c>
      <c r="O17" s="704">
        <f t="shared" si="3"/>
        <v>0</v>
      </c>
      <c r="P17" s="699"/>
      <c r="Q17" s="700">
        <f t="shared" ref="Q17" si="4">SUM(Q12:Q16)</f>
        <v>0</v>
      </c>
      <c r="R17" s="704">
        <f>SUM(R12:R16)</f>
        <v>0</v>
      </c>
      <c r="S17" s="705">
        <f t="shared" si="3"/>
        <v>0</v>
      </c>
      <c r="T17" s="706"/>
      <c r="U17" s="700">
        <f t="shared" si="3"/>
        <v>0</v>
      </c>
      <c r="V17" s="701">
        <f t="shared" si="3"/>
        <v>0</v>
      </c>
      <c r="W17" s="707">
        <f>SUM(W12:W16)</f>
        <v>29096.11</v>
      </c>
      <c r="X17" s="676" t="s">
        <v>290</v>
      </c>
      <c r="Y17" s="677"/>
    </row>
    <row r="18" spans="1:25" s="14" customFormat="1" ht="18" customHeight="1" thickBot="1" x14ac:dyDescent="0.35">
      <c r="A18" s="1337" t="s">
        <v>291</v>
      </c>
      <c r="B18" s="1338"/>
      <c r="C18" s="1338"/>
      <c r="D18" s="1338"/>
      <c r="E18" s="1338"/>
      <c r="F18" s="1338"/>
      <c r="G18" s="1338"/>
      <c r="H18" s="1338"/>
      <c r="I18" s="1338"/>
      <c r="J18" s="1338"/>
      <c r="K18" s="1338"/>
      <c r="L18" s="1338"/>
      <c r="M18" s="1338"/>
      <c r="N18" s="1338"/>
      <c r="O18" s="1338"/>
      <c r="P18" s="1338"/>
      <c r="Q18" s="1338"/>
      <c r="R18" s="1338"/>
      <c r="S18" s="1338"/>
      <c r="T18" s="1338"/>
      <c r="U18" s="1338"/>
      <c r="V18" s="1339"/>
      <c r="W18" s="695">
        <f>Mat!G48+Mat!G72+Mat!G85</f>
        <v>2452.7133333333336</v>
      </c>
    </row>
    <row r="19" spans="1:25" s="14" customFormat="1" ht="20.25" customHeight="1" thickBot="1" x14ac:dyDescent="0.35">
      <c r="A19" s="1325" t="s">
        <v>292</v>
      </c>
      <c r="B19" s="1326"/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7"/>
      <c r="Q19" s="1327"/>
      <c r="R19" s="1327"/>
      <c r="S19" s="1326"/>
      <c r="T19" s="1326"/>
      <c r="U19" s="1326"/>
      <c r="V19" s="1326"/>
      <c r="W19" s="244">
        <f>ROUND((W17*12),)</f>
        <v>349153</v>
      </c>
    </row>
    <row r="20" spans="1:25" s="615" customFormat="1" ht="24" customHeight="1" x14ac:dyDescent="0.3">
      <c r="A20" s="1328" t="s">
        <v>41</v>
      </c>
      <c r="B20" s="1328"/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9"/>
      <c r="Q20" s="1329"/>
      <c r="R20" s="1329"/>
      <c r="S20" s="1328"/>
      <c r="T20" s="1328"/>
      <c r="U20" s="1328"/>
      <c r="V20" s="1328"/>
      <c r="W20" s="1328"/>
    </row>
    <row r="21" spans="1:25" s="14" customFormat="1" ht="13.8" x14ac:dyDescent="0.3">
      <c r="A21" s="1332" t="str">
        <f>CONCATENATE("1. Nas FÉRIAS SEM SUBSTITUIÇÃO DA SERVENTE INSALUBRE, quando o trabalho de limpeza de banheiros públicos ou de grande circulação for efetuado por outra servente do quadro, deverá ser acrescentado o valor de R$",T13," por dia em que este fato ocorrer.")</f>
        <v>1. Nas FÉRIAS SEM SUBSTITUIÇÃO DA SERVENTE INSALUBRE, quando o trabalho de limpeza de banheiros públicos ou de grande circulação for efetuado por outra servente do quadro, deverá ser acrescentado o valor de R$39,5 por dia em que este fato ocorrer.</v>
      </c>
      <c r="B21" s="1332"/>
      <c r="C21" s="1332"/>
      <c r="D21" s="1332"/>
      <c r="E21" s="1332"/>
      <c r="F21" s="1332"/>
      <c r="G21" s="1332"/>
      <c r="H21" s="1332"/>
      <c r="I21" s="1332"/>
      <c r="J21" s="1332"/>
      <c r="K21" s="1332"/>
      <c r="L21" s="1332"/>
      <c r="M21" s="1332"/>
      <c r="N21" s="1332"/>
      <c r="O21" s="1332"/>
      <c r="P21" s="1333"/>
      <c r="Q21" s="1333"/>
      <c r="R21" s="1333"/>
      <c r="S21" s="1332"/>
      <c r="T21" s="1332"/>
      <c r="U21" s="1332"/>
      <c r="V21" s="1332"/>
      <c r="W21" s="1332"/>
    </row>
    <row r="22" spans="1:25" s="614" customFormat="1" ht="18.75" customHeight="1" thickBot="1" x14ac:dyDescent="0.35">
      <c r="A22" s="1334" t="s">
        <v>293</v>
      </c>
      <c r="B22" s="1334"/>
      <c r="C22" s="1334"/>
      <c r="D22" s="1334"/>
      <c r="E22" s="1334"/>
      <c r="F22" s="1334"/>
      <c r="G22" s="1334"/>
      <c r="H22" s="1334"/>
      <c r="I22" s="1334"/>
      <c r="J22" s="1334"/>
      <c r="K22" s="1334"/>
      <c r="L22" s="1334"/>
      <c r="M22" s="1334"/>
      <c r="N22" s="1334"/>
      <c r="O22" s="1334"/>
      <c r="P22" s="1334"/>
      <c r="Q22" s="1334"/>
      <c r="R22" s="1334"/>
      <c r="S22" s="1334"/>
      <c r="T22" s="1334"/>
      <c r="U22" s="1334"/>
      <c r="V22" s="1334"/>
      <c r="W22" s="1334"/>
    </row>
    <row r="23" spans="1:25" x14ac:dyDescent="0.3">
      <c r="A23" s="1321"/>
      <c r="B23" s="1321"/>
      <c r="C23" s="1321"/>
      <c r="D23" s="1321"/>
      <c r="E23" s="1321"/>
      <c r="F23" s="1321"/>
      <c r="G23" s="1321"/>
      <c r="H23" s="1321"/>
      <c r="I23" s="1321"/>
      <c r="J23" s="1321"/>
      <c r="K23" s="1321"/>
      <c r="L23" s="1321"/>
      <c r="M23" s="1321"/>
      <c r="N23" s="1321"/>
      <c r="O23" s="1321"/>
      <c r="P23" s="1321"/>
      <c r="Q23" s="1321"/>
      <c r="R23" s="1321"/>
      <c r="S23" s="1321"/>
      <c r="T23" s="1321"/>
      <c r="U23" s="1321"/>
      <c r="V23" s="1321"/>
      <c r="W23" s="1321"/>
    </row>
    <row r="24" spans="1:25" x14ac:dyDescent="0.3">
      <c r="A24" s="1321"/>
      <c r="B24" s="1321"/>
      <c r="C24" s="1321"/>
      <c r="D24" s="1321"/>
      <c r="E24" s="1321"/>
      <c r="F24" s="1321"/>
      <c r="G24" s="1321"/>
      <c r="H24" s="1321"/>
      <c r="I24" s="1321"/>
      <c r="J24" s="1321"/>
      <c r="K24" s="1321"/>
      <c r="L24" s="1321"/>
      <c r="M24" s="1321"/>
      <c r="N24" s="1321"/>
      <c r="O24" s="1321"/>
      <c r="P24" s="1321"/>
      <c r="Q24" s="1321"/>
      <c r="R24" s="1321"/>
      <c r="S24" s="1321"/>
      <c r="T24" s="1321"/>
      <c r="U24" s="1321"/>
      <c r="V24" s="1321"/>
      <c r="W24" s="1321"/>
    </row>
  </sheetData>
  <sheetProtection algorithmName="SHA-512" hashValue="v/Ww3ifkdDyXAUhYuMSNgbgwvBtRE6dKJ7s7QebJfAj/EyyFFef7kOmur0AW8xjRM1OxS3FCy77jHNT4KbUbUQ==" saltValue="ZkERk2KHuDQrfUdAC41FMw==" spinCount="100000" sheet="1" objects="1" scenarios="1"/>
  <mergeCells count="30">
    <mergeCell ref="P9:R9"/>
    <mergeCell ref="T9:V9"/>
    <mergeCell ref="A24:W24"/>
    <mergeCell ref="T10:V10"/>
    <mergeCell ref="A12:A16"/>
    <mergeCell ref="A19:V19"/>
    <mergeCell ref="A20:W20"/>
    <mergeCell ref="S10:S11"/>
    <mergeCell ref="A21:W21"/>
    <mergeCell ref="A22:W22"/>
    <mergeCell ref="A23:W23"/>
    <mergeCell ref="P10:R10"/>
    <mergeCell ref="A17:C17"/>
    <mergeCell ref="A18:V18"/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D10:F10"/>
    <mergeCell ref="G10:G11"/>
    <mergeCell ref="H10:I10"/>
    <mergeCell ref="J10:L10"/>
    <mergeCell ref="M10:O10"/>
    <mergeCell ref="J9:O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0" fitToHeight="2" orientation="portrait" r:id="rId1"/>
  <colBreaks count="1" manualBreakCount="1">
    <brk id="23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  <pageSetUpPr fitToPage="1"/>
  </sheetPr>
  <dimension ref="A1:N33"/>
  <sheetViews>
    <sheetView showGridLines="0" tabSelected="1" view="pageBreakPreview" zoomScale="90" zoomScaleNormal="130" zoomScaleSheetLayoutView="90" workbookViewId="0">
      <selection activeCell="A26" sqref="A26:J26"/>
    </sheetView>
  </sheetViews>
  <sheetFormatPr defaultColWidth="9.109375" defaultRowHeight="13.8" x14ac:dyDescent="0.3"/>
  <cols>
    <col min="1" max="1" width="7.33203125" style="214" customWidth="1"/>
    <col min="2" max="3" width="9.109375" style="214"/>
    <col min="4" max="4" width="33" style="214" customWidth="1"/>
    <col min="5" max="5" width="9.44140625" style="214" customWidth="1"/>
    <col min="6" max="6" width="12.44140625" style="214" bestFit="1" customWidth="1"/>
    <col min="7" max="7" width="8.88671875" style="214" customWidth="1"/>
    <col min="8" max="8" width="10" style="214" customWidth="1"/>
    <col min="9" max="9" width="16.5546875" style="214" customWidth="1"/>
    <col min="10" max="10" width="16.44140625" style="214" customWidth="1"/>
    <col min="11" max="16384" width="9.109375" style="214"/>
  </cols>
  <sheetData>
    <row r="1" spans="1:14" x14ac:dyDescent="0.3">
      <c r="A1" s="757"/>
      <c r="B1" s="758" t="str">
        <f>INSTRUÇÕES!B1</f>
        <v>Tribunal Regional Federal da 6ª Região</v>
      </c>
      <c r="C1" s="758"/>
      <c r="D1" s="758"/>
      <c r="E1" s="758"/>
      <c r="F1" s="758"/>
      <c r="G1" s="758"/>
      <c r="H1" s="758"/>
      <c r="I1" s="758"/>
      <c r="J1" s="759"/>
    </row>
    <row r="2" spans="1:14" x14ac:dyDescent="0.3">
      <c r="A2" s="215"/>
      <c r="B2" s="193" t="str">
        <f>INSTRUÇÕES!B2</f>
        <v>Seção Judiciária de Minas Gerais</v>
      </c>
      <c r="C2" s="193"/>
      <c r="D2" s="193"/>
      <c r="E2" s="193"/>
      <c r="F2" s="193"/>
      <c r="G2" s="193"/>
      <c r="H2" s="193"/>
      <c r="I2" s="193"/>
      <c r="J2" s="760"/>
    </row>
    <row r="3" spans="1:14" x14ac:dyDescent="0.3">
      <c r="A3" s="215"/>
      <c r="B3" s="136" t="str">
        <f>INSTRUÇÕES!B3</f>
        <v>Subseção Judiciária de Sete Lagoas</v>
      </c>
      <c r="C3" s="198"/>
      <c r="D3" s="198"/>
      <c r="E3" s="198"/>
      <c r="F3" s="198"/>
      <c r="G3" s="198"/>
      <c r="H3" s="198"/>
      <c r="I3" s="198"/>
      <c r="J3" s="761"/>
    </row>
    <row r="4" spans="1:14" s="577" customFormat="1" ht="22.5" customHeight="1" thickBot="1" x14ac:dyDescent="0.35">
      <c r="A4" s="1340" t="s">
        <v>733</v>
      </c>
      <c r="B4" s="1341"/>
      <c r="C4" s="1341"/>
      <c r="D4" s="1341"/>
      <c r="E4" s="1341"/>
      <c r="F4" s="1341"/>
      <c r="G4" s="1341"/>
      <c r="H4" s="1341"/>
      <c r="I4" s="1341"/>
      <c r="J4" s="1342"/>
      <c r="K4" s="216"/>
      <c r="L4" s="216"/>
      <c r="M4" s="216"/>
      <c r="N4" s="216"/>
    </row>
    <row r="5" spans="1:14" s="217" customFormat="1" ht="41.25" customHeight="1" thickBot="1" x14ac:dyDescent="0.35">
      <c r="A5" s="1343" t="s">
        <v>638</v>
      </c>
      <c r="B5" s="1344"/>
      <c r="C5" s="1344"/>
      <c r="D5" s="1345"/>
      <c r="E5" s="1346" t="s">
        <v>631</v>
      </c>
      <c r="F5" s="225" t="str">
        <f>Dados!C7</f>
        <v>Servente de Limpeza 40% Insalubridade</v>
      </c>
      <c r="G5" s="226" t="str">
        <f>Dados!C8</f>
        <v xml:space="preserve">Servente de Limpeza  </v>
      </c>
      <c r="H5" s="226" t="str">
        <f>Dados!C9</f>
        <v>Copeira</v>
      </c>
      <c r="I5" s="226" t="str">
        <f>Dados!C10</f>
        <v>Zelador com Acúmulo de Lavador de Carro</v>
      </c>
      <c r="J5" s="312" t="str">
        <f>Dados!C11</f>
        <v>Auxiliar Administrativo</v>
      </c>
    </row>
    <row r="6" spans="1:14" s="219" customFormat="1" ht="22.5" customHeight="1" thickBot="1" x14ac:dyDescent="0.35">
      <c r="A6" s="218" t="s">
        <v>639</v>
      </c>
      <c r="B6" s="1348" t="s">
        <v>457</v>
      </c>
      <c r="C6" s="1349"/>
      <c r="D6" s="1350"/>
      <c r="E6" s="1347"/>
      <c r="F6" s="1351" t="s">
        <v>684</v>
      </c>
      <c r="G6" s="1352"/>
      <c r="H6" s="1352"/>
      <c r="I6" s="1352"/>
      <c r="J6" s="1353"/>
    </row>
    <row r="7" spans="1:14" ht="14.25" customHeight="1" thickBot="1" x14ac:dyDescent="0.35">
      <c r="A7" s="220">
        <v>1</v>
      </c>
      <c r="B7" s="1360" t="s">
        <v>640</v>
      </c>
      <c r="C7" s="1360"/>
      <c r="D7" s="1360"/>
      <c r="E7" s="1360"/>
      <c r="F7" s="221">
        <f>Dados!M7</f>
        <v>1837.09</v>
      </c>
      <c r="G7" s="221">
        <f>Dados!M8</f>
        <v>1309.0899999999999</v>
      </c>
      <c r="H7" s="221">
        <f>Dados!M9</f>
        <v>1310.91</v>
      </c>
      <c r="I7" s="221">
        <f>Dados!M10</f>
        <v>1978.92</v>
      </c>
      <c r="J7" s="313">
        <f>Dados!M11</f>
        <v>1625.51</v>
      </c>
    </row>
    <row r="8" spans="1:14" x14ac:dyDescent="0.3">
      <c r="A8" s="314" t="s">
        <v>641</v>
      </c>
      <c r="B8" s="1361" t="s">
        <v>458</v>
      </c>
      <c r="C8" s="1361"/>
      <c r="D8" s="1361"/>
      <c r="E8" s="315">
        <f>Encargos!C39</f>
        <v>9.0899999999999995E-2</v>
      </c>
      <c r="F8" s="316">
        <f>ROUND(F7*$E$8,2)</f>
        <v>166.99</v>
      </c>
      <c r="G8" s="316">
        <f t="shared" ref="G8:J8" si="0">ROUND(G7*$E$8,2)</f>
        <v>119</v>
      </c>
      <c r="H8" s="316">
        <f t="shared" si="0"/>
        <v>119.16</v>
      </c>
      <c r="I8" s="316">
        <f t="shared" si="0"/>
        <v>179.88</v>
      </c>
      <c r="J8" s="317">
        <f t="shared" si="0"/>
        <v>147.76</v>
      </c>
    </row>
    <row r="9" spans="1:14" x14ac:dyDescent="0.3">
      <c r="A9" s="318" t="s">
        <v>642</v>
      </c>
      <c r="B9" s="1362" t="s">
        <v>464</v>
      </c>
      <c r="C9" s="1362"/>
      <c r="D9" s="1362"/>
      <c r="E9" s="319">
        <f>E8*Encargos!C18</f>
        <v>3.6178200000000008E-2</v>
      </c>
      <c r="F9" s="320">
        <f>ROUND(F7*$E$9,2)</f>
        <v>66.459999999999994</v>
      </c>
      <c r="G9" s="320">
        <f t="shared" ref="G9:J9" si="1">ROUND(G7*$E$9,2)</f>
        <v>47.36</v>
      </c>
      <c r="H9" s="320">
        <f t="shared" si="1"/>
        <v>47.43</v>
      </c>
      <c r="I9" s="320">
        <f t="shared" si="1"/>
        <v>71.59</v>
      </c>
      <c r="J9" s="321">
        <f t="shared" si="1"/>
        <v>58.81</v>
      </c>
    </row>
    <row r="10" spans="1:14" x14ac:dyDescent="0.3">
      <c r="A10" s="1363" t="s">
        <v>643</v>
      </c>
      <c r="B10" s="1364"/>
      <c r="C10" s="1364"/>
      <c r="D10" s="1364"/>
      <c r="E10" s="322">
        <f>SUM(E8:E9)</f>
        <v>0.1270782</v>
      </c>
      <c r="F10" s="323">
        <f>SUM(F8:F9)</f>
        <v>233.45</v>
      </c>
      <c r="G10" s="323">
        <f t="shared" ref="G10:J10" si="2">SUM(G8:G9)</f>
        <v>166.36</v>
      </c>
      <c r="H10" s="323">
        <f t="shared" si="2"/>
        <v>166.59</v>
      </c>
      <c r="I10" s="323">
        <f t="shared" si="2"/>
        <v>251.47</v>
      </c>
      <c r="J10" s="324">
        <f t="shared" si="2"/>
        <v>206.57</v>
      </c>
    </row>
    <row r="11" spans="1:14" x14ac:dyDescent="0.3">
      <c r="A11" s="1363" t="s">
        <v>644</v>
      </c>
      <c r="B11" s="1364"/>
      <c r="C11" s="1364"/>
      <c r="D11" s="1364"/>
      <c r="E11" s="1364"/>
      <c r="F11" s="323">
        <f>F10*12</f>
        <v>2801.3999999999996</v>
      </c>
      <c r="G11" s="323">
        <f t="shared" ref="G11:J11" si="3">G10*12</f>
        <v>1996.3200000000002</v>
      </c>
      <c r="H11" s="323">
        <f t="shared" si="3"/>
        <v>1999.08</v>
      </c>
      <c r="I11" s="323">
        <f t="shared" si="3"/>
        <v>3017.64</v>
      </c>
      <c r="J11" s="324">
        <f t="shared" si="3"/>
        <v>2478.84</v>
      </c>
    </row>
    <row r="12" spans="1:14" x14ac:dyDescent="0.3">
      <c r="A12" s="325">
        <v>2</v>
      </c>
      <c r="B12" s="326" t="s">
        <v>645</v>
      </c>
      <c r="C12" s="326"/>
      <c r="D12" s="326"/>
      <c r="E12" s="326"/>
      <c r="F12" s="1358" t="s">
        <v>527</v>
      </c>
      <c r="G12" s="1358"/>
      <c r="H12" s="1358"/>
      <c r="I12" s="1358"/>
      <c r="J12" s="1359"/>
    </row>
    <row r="13" spans="1:14" x14ac:dyDescent="0.3">
      <c r="A13" s="327" t="s">
        <v>641</v>
      </c>
      <c r="B13" s="1354" t="s">
        <v>646</v>
      </c>
      <c r="C13" s="1354"/>
      <c r="D13" s="1354"/>
      <c r="E13" s="328"/>
      <c r="F13" s="329">
        <f>'Serv Ins'!$F$23</f>
        <v>422.4</v>
      </c>
      <c r="G13" s="329">
        <f>Serv!$F$23</f>
        <v>422.4</v>
      </c>
      <c r="H13" s="329">
        <f>Copa!$F$23</f>
        <v>422.4</v>
      </c>
      <c r="I13" s="329">
        <f>Zel!$F$23</f>
        <v>422.4</v>
      </c>
      <c r="J13" s="330">
        <f>Aux!$F$23</f>
        <v>422.4</v>
      </c>
    </row>
    <row r="14" spans="1:14" x14ac:dyDescent="0.3">
      <c r="A14" s="327" t="s">
        <v>647</v>
      </c>
      <c r="B14" s="1354" t="s">
        <v>648</v>
      </c>
      <c r="C14" s="1354"/>
      <c r="D14" s="1354"/>
      <c r="E14" s="328"/>
      <c r="F14" s="329">
        <f>'Serv Ins'!$F$22</f>
        <v>108.45</v>
      </c>
      <c r="G14" s="329">
        <f>Serv!$F$22</f>
        <v>108.45</v>
      </c>
      <c r="H14" s="329">
        <f>Copa!$F$22</f>
        <v>108.35</v>
      </c>
      <c r="I14" s="329">
        <f>Zel!$F$22</f>
        <v>69.67</v>
      </c>
      <c r="J14" s="330">
        <f>Aux!$F$22</f>
        <v>89.47</v>
      </c>
    </row>
    <row r="15" spans="1:14" x14ac:dyDescent="0.3">
      <c r="A15" s="327" t="s">
        <v>649</v>
      </c>
      <c r="B15" s="328" t="s">
        <v>650</v>
      </c>
      <c r="C15" s="328"/>
      <c r="D15" s="328"/>
      <c r="E15" s="328"/>
      <c r="F15" s="329">
        <v>0</v>
      </c>
      <c r="G15" s="329">
        <v>0</v>
      </c>
      <c r="H15" s="329">
        <v>0</v>
      </c>
      <c r="I15" s="329">
        <v>0</v>
      </c>
      <c r="J15" s="330">
        <v>0</v>
      </c>
    </row>
    <row r="16" spans="1:14" x14ac:dyDescent="0.3">
      <c r="A16" s="1355" t="s">
        <v>651</v>
      </c>
      <c r="B16" s="1356"/>
      <c r="C16" s="1356"/>
      <c r="D16" s="1356"/>
      <c r="E16" s="1356"/>
      <c r="F16" s="331">
        <f>SUM(F13:F15)</f>
        <v>530.85</v>
      </c>
      <c r="G16" s="331">
        <f t="shared" ref="G16:J16" si="4">SUM(G13:G15)</f>
        <v>530.85</v>
      </c>
      <c r="H16" s="331">
        <f t="shared" si="4"/>
        <v>530.75</v>
      </c>
      <c r="I16" s="331">
        <f t="shared" si="4"/>
        <v>492.07</v>
      </c>
      <c r="J16" s="332">
        <f t="shared" si="4"/>
        <v>511.87</v>
      </c>
    </row>
    <row r="17" spans="1:10" x14ac:dyDescent="0.3">
      <c r="A17" s="325">
        <v>5</v>
      </c>
      <c r="B17" s="1357" t="s">
        <v>652</v>
      </c>
      <c r="C17" s="1357"/>
      <c r="D17" s="1357"/>
      <c r="E17" s="333" t="s">
        <v>631</v>
      </c>
      <c r="F17" s="1358" t="s">
        <v>527</v>
      </c>
      <c r="G17" s="1358"/>
      <c r="H17" s="1358"/>
      <c r="I17" s="1358"/>
      <c r="J17" s="1359"/>
    </row>
    <row r="18" spans="1:10" x14ac:dyDescent="0.3">
      <c r="A18" s="327" t="s">
        <v>641</v>
      </c>
      <c r="B18" s="1365" t="s">
        <v>653</v>
      </c>
      <c r="C18" s="1365"/>
      <c r="D18" s="1365"/>
      <c r="E18" s="334">
        <f>Dados!$G$44</f>
        <v>0.03</v>
      </c>
      <c r="F18" s="335">
        <f>ROUND(($E$18*F31),2)</f>
        <v>99.97</v>
      </c>
      <c r="G18" s="335">
        <f t="shared" ref="G18:J18" si="5">ROUND(($E$18*G31),2)</f>
        <v>75.819999999999993</v>
      </c>
      <c r="H18" s="335">
        <f t="shared" si="5"/>
        <v>75.89</v>
      </c>
      <c r="I18" s="335">
        <f t="shared" si="5"/>
        <v>105.29</v>
      </c>
      <c r="J18" s="336">
        <f t="shared" si="5"/>
        <v>89.72</v>
      </c>
    </row>
    <row r="19" spans="1:10" x14ac:dyDescent="0.3">
      <c r="A19" s="327" t="s">
        <v>647</v>
      </c>
      <c r="B19" s="1365" t="s">
        <v>348</v>
      </c>
      <c r="C19" s="1365"/>
      <c r="D19" s="1365"/>
      <c r="E19" s="334">
        <f>Dados!$G$45</f>
        <v>6.7900000000000002E-2</v>
      </c>
      <c r="F19" s="335">
        <f>ROUND(($E$19*(F18+F31)),2)</f>
        <v>233.05</v>
      </c>
      <c r="G19" s="335">
        <f t="shared" ref="G19:J19" si="6">ROUND(($E$19*(G18+G31)),2)</f>
        <v>176.74</v>
      </c>
      <c r="H19" s="335">
        <f t="shared" si="6"/>
        <v>176.93</v>
      </c>
      <c r="I19" s="335">
        <f t="shared" si="6"/>
        <v>245.46</v>
      </c>
      <c r="J19" s="336">
        <f t="shared" si="6"/>
        <v>209.16</v>
      </c>
    </row>
    <row r="20" spans="1:10" x14ac:dyDescent="0.3">
      <c r="A20" s="337" t="s">
        <v>649</v>
      </c>
      <c r="B20" s="1376" t="s">
        <v>654</v>
      </c>
      <c r="C20" s="1376"/>
      <c r="D20" s="1376"/>
      <c r="E20" s="338">
        <f>SUM(E21:E24)</f>
        <v>0.1225</v>
      </c>
      <c r="F20" s="339">
        <f>ROUND((((F31+F18+F19)/(1-$E$20))-(F31+F18+F19)),2)</f>
        <v>511.68</v>
      </c>
      <c r="G20" s="339">
        <f t="shared" ref="G20:J20" si="7">ROUND((((G31+G18+G19)/(1-$E$20))-(G31+G18+G19)),2)</f>
        <v>388.05</v>
      </c>
      <c r="H20" s="339">
        <f t="shared" si="7"/>
        <v>388.46</v>
      </c>
      <c r="I20" s="339">
        <f t="shared" si="7"/>
        <v>538.91999999999996</v>
      </c>
      <c r="J20" s="340">
        <f t="shared" si="7"/>
        <v>459.23</v>
      </c>
    </row>
    <row r="21" spans="1:10" x14ac:dyDescent="0.3">
      <c r="A21" s="341" t="s">
        <v>655</v>
      </c>
      <c r="B21" s="1365" t="s">
        <v>656</v>
      </c>
      <c r="C21" s="1365"/>
      <c r="D21" s="1365"/>
      <c r="E21" s="334">
        <f>Dados!G52+Dados!G53</f>
        <v>9.2499999999999999E-2</v>
      </c>
      <c r="F21" s="335">
        <f>ROUND($E$21*F33,2)</f>
        <v>386.37</v>
      </c>
      <c r="G21" s="335">
        <f t="shared" ref="G21:J21" si="8">ROUND($E$21*G33,2)</f>
        <v>293.02</v>
      </c>
      <c r="H21" s="335">
        <f t="shared" si="8"/>
        <v>293.33</v>
      </c>
      <c r="I21" s="335">
        <f t="shared" si="8"/>
        <v>406.94</v>
      </c>
      <c r="J21" s="336">
        <f t="shared" si="8"/>
        <v>346.77</v>
      </c>
    </row>
    <row r="22" spans="1:10" x14ac:dyDescent="0.3">
      <c r="A22" s="327" t="s">
        <v>657</v>
      </c>
      <c r="B22" s="1365" t="s">
        <v>658</v>
      </c>
      <c r="C22" s="1365"/>
      <c r="D22" s="1365"/>
      <c r="E22" s="334">
        <v>0</v>
      </c>
      <c r="F22" s="335">
        <f>ROUND($E$22*F33,2)</f>
        <v>0</v>
      </c>
      <c r="G22" s="335">
        <f t="shared" ref="G22:J22" si="9">ROUND($E$22*G33,2)</f>
        <v>0</v>
      </c>
      <c r="H22" s="335">
        <f t="shared" si="9"/>
        <v>0</v>
      </c>
      <c r="I22" s="335">
        <f t="shared" si="9"/>
        <v>0</v>
      </c>
      <c r="J22" s="336">
        <f t="shared" si="9"/>
        <v>0</v>
      </c>
    </row>
    <row r="23" spans="1:10" x14ac:dyDescent="0.3">
      <c r="A23" s="327" t="s">
        <v>659</v>
      </c>
      <c r="B23" s="1365" t="s">
        <v>660</v>
      </c>
      <c r="C23" s="1365"/>
      <c r="D23" s="1365"/>
      <c r="E23" s="334">
        <f>Dados!G54</f>
        <v>0.03</v>
      </c>
      <c r="F23" s="335">
        <f>ROUND($E$23*F33,2)</f>
        <v>125.31</v>
      </c>
      <c r="G23" s="335">
        <f t="shared" ref="G23:J23" si="10">ROUND($E$23*G33,2)</f>
        <v>95.03</v>
      </c>
      <c r="H23" s="335">
        <f t="shared" si="10"/>
        <v>95.13</v>
      </c>
      <c r="I23" s="335">
        <f t="shared" si="10"/>
        <v>131.97999999999999</v>
      </c>
      <c r="J23" s="336">
        <f t="shared" si="10"/>
        <v>112.46</v>
      </c>
    </row>
    <row r="24" spans="1:10" x14ac:dyDescent="0.3">
      <c r="A24" s="327" t="s">
        <v>661</v>
      </c>
      <c r="B24" s="1365" t="str">
        <f>Dados!B55</f>
        <v>Outros (inserir somente com a justificativa legal)</v>
      </c>
      <c r="C24" s="1365"/>
      <c r="D24" s="1365"/>
      <c r="E24" s="334">
        <f>Dados!G55</f>
        <v>0</v>
      </c>
      <c r="F24" s="335">
        <f>ROUND($E$24*F33,2)</f>
        <v>0</v>
      </c>
      <c r="G24" s="335">
        <f t="shared" ref="G24:J24" si="11">ROUND($E$24*G33,2)</f>
        <v>0</v>
      </c>
      <c r="H24" s="335">
        <f t="shared" si="11"/>
        <v>0</v>
      </c>
      <c r="I24" s="335">
        <f t="shared" si="11"/>
        <v>0</v>
      </c>
      <c r="J24" s="336">
        <f t="shared" si="11"/>
        <v>0</v>
      </c>
    </row>
    <row r="25" spans="1:10" ht="14.4" thickBot="1" x14ac:dyDescent="0.35">
      <c r="A25" s="342" t="s">
        <v>662</v>
      </c>
      <c r="B25" s="343"/>
      <c r="C25" s="343"/>
      <c r="D25" s="343"/>
      <c r="E25" s="343"/>
      <c r="F25" s="344">
        <f>SUM(F18:F20)</f>
        <v>844.7</v>
      </c>
      <c r="G25" s="344">
        <f t="shared" ref="G25:J25" si="12">SUM(G18:G20)</f>
        <v>640.61</v>
      </c>
      <c r="H25" s="344">
        <f t="shared" si="12"/>
        <v>641.28</v>
      </c>
      <c r="I25" s="344">
        <f t="shared" si="12"/>
        <v>889.67</v>
      </c>
      <c r="J25" s="345">
        <f t="shared" si="12"/>
        <v>758.11</v>
      </c>
    </row>
    <row r="26" spans="1:10" ht="19.5" customHeight="1" thickBot="1" x14ac:dyDescent="0.35">
      <c r="A26" s="1366" t="s">
        <v>663</v>
      </c>
      <c r="B26" s="1367"/>
      <c r="C26" s="1367"/>
      <c r="D26" s="1367"/>
      <c r="E26" s="1367"/>
      <c r="F26" s="1367"/>
      <c r="G26" s="1367"/>
      <c r="H26" s="1367"/>
      <c r="I26" s="1367"/>
      <c r="J26" s="1368"/>
    </row>
    <row r="27" spans="1:10" ht="18" customHeight="1" thickBot="1" x14ac:dyDescent="0.35">
      <c r="A27" s="1369" t="s">
        <v>664</v>
      </c>
      <c r="B27" s="1370"/>
      <c r="C27" s="1370"/>
      <c r="D27" s="1370"/>
      <c r="E27" s="1370"/>
      <c r="F27" s="1370"/>
      <c r="G27" s="1370"/>
      <c r="H27" s="1370"/>
      <c r="I27" s="1370"/>
      <c r="J27" s="1371"/>
    </row>
    <row r="28" spans="1:10" ht="14.25" customHeight="1" x14ac:dyDescent="0.3">
      <c r="A28" s="346" t="s">
        <v>665</v>
      </c>
      <c r="B28" s="347"/>
      <c r="C28" s="347"/>
      <c r="D28" s="347"/>
      <c r="E28" s="347"/>
      <c r="F28" s="1372" t="s">
        <v>527</v>
      </c>
      <c r="G28" s="1372"/>
      <c r="H28" s="1372"/>
      <c r="I28" s="1372"/>
      <c r="J28" s="1373"/>
    </row>
    <row r="29" spans="1:10" x14ac:dyDescent="0.3">
      <c r="A29" s="318" t="s">
        <v>641</v>
      </c>
      <c r="B29" s="348" t="s">
        <v>666</v>
      </c>
      <c r="C29" s="348"/>
      <c r="D29" s="348"/>
      <c r="E29" s="348"/>
      <c r="F29" s="349">
        <f>F11</f>
        <v>2801.3999999999996</v>
      </c>
      <c r="G29" s="349">
        <f t="shared" ref="G29:J29" si="13">G11</f>
        <v>1996.3200000000002</v>
      </c>
      <c r="H29" s="349">
        <f t="shared" si="13"/>
        <v>1999.08</v>
      </c>
      <c r="I29" s="349">
        <f t="shared" si="13"/>
        <v>3017.64</v>
      </c>
      <c r="J29" s="350">
        <f t="shared" si="13"/>
        <v>2478.84</v>
      </c>
    </row>
    <row r="30" spans="1:10" x14ac:dyDescent="0.3">
      <c r="A30" s="318" t="s">
        <v>647</v>
      </c>
      <c r="B30" s="348" t="s">
        <v>645</v>
      </c>
      <c r="C30" s="348"/>
      <c r="D30" s="348"/>
      <c r="E30" s="348"/>
      <c r="F30" s="349">
        <f>F16</f>
        <v>530.85</v>
      </c>
      <c r="G30" s="349">
        <f t="shared" ref="G30:J30" si="14">G16</f>
        <v>530.85</v>
      </c>
      <c r="H30" s="349">
        <f t="shared" si="14"/>
        <v>530.75</v>
      </c>
      <c r="I30" s="349">
        <f t="shared" si="14"/>
        <v>492.07</v>
      </c>
      <c r="J30" s="350">
        <f t="shared" si="14"/>
        <v>511.87</v>
      </c>
    </row>
    <row r="31" spans="1:10" x14ac:dyDescent="0.3">
      <c r="A31" s="1374" t="s">
        <v>667</v>
      </c>
      <c r="B31" s="1375"/>
      <c r="C31" s="1375"/>
      <c r="D31" s="1375"/>
      <c r="E31" s="351"/>
      <c r="F31" s="352">
        <f>SUM(F29:F30)</f>
        <v>3332.2499999999995</v>
      </c>
      <c r="G31" s="352">
        <f t="shared" ref="G31:J31" si="15">SUM(G29:G30)</f>
        <v>2527.17</v>
      </c>
      <c r="H31" s="352">
        <f t="shared" si="15"/>
        <v>2529.83</v>
      </c>
      <c r="I31" s="352">
        <f t="shared" si="15"/>
        <v>3509.71</v>
      </c>
      <c r="J31" s="353">
        <f t="shared" si="15"/>
        <v>2990.71</v>
      </c>
    </row>
    <row r="32" spans="1:10" ht="14.4" thickBot="1" x14ac:dyDescent="0.35">
      <c r="A32" s="354" t="s">
        <v>668</v>
      </c>
      <c r="B32" s="355" t="s">
        <v>669</v>
      </c>
      <c r="C32" s="355"/>
      <c r="D32" s="355"/>
      <c r="E32" s="355"/>
      <c r="F32" s="356">
        <f>F25</f>
        <v>844.7</v>
      </c>
      <c r="G32" s="356">
        <f t="shared" ref="G32:J32" si="16">G25</f>
        <v>640.61</v>
      </c>
      <c r="H32" s="356">
        <f t="shared" si="16"/>
        <v>641.28</v>
      </c>
      <c r="I32" s="356">
        <f t="shared" si="16"/>
        <v>889.67</v>
      </c>
      <c r="J32" s="357">
        <f t="shared" si="16"/>
        <v>758.11</v>
      </c>
    </row>
    <row r="33" spans="1:10" ht="19.5" customHeight="1" thickBot="1" x14ac:dyDescent="0.35">
      <c r="A33" s="222" t="s">
        <v>670</v>
      </c>
      <c r="B33" s="223"/>
      <c r="C33" s="223"/>
      <c r="D33" s="223"/>
      <c r="E33" s="223"/>
      <c r="F33" s="224">
        <f>SUM(F31:F32)</f>
        <v>4176.95</v>
      </c>
      <c r="G33" s="224">
        <f t="shared" ref="G33:J33" si="17">SUM(G31:G32)</f>
        <v>3167.78</v>
      </c>
      <c r="H33" s="224">
        <f t="shared" si="17"/>
        <v>3171.1099999999997</v>
      </c>
      <c r="I33" s="224">
        <f t="shared" si="17"/>
        <v>4399.38</v>
      </c>
      <c r="J33" s="358">
        <f t="shared" si="17"/>
        <v>3748.82</v>
      </c>
    </row>
  </sheetData>
  <sheetProtection algorithmName="SHA-512" hashValue="E+xr/CEVflZ5rwQ1C+b02Kz/mvtrUhTHhmXi7GNNp7CNt91+k7UELNe8CoHhTvKlcOu3m5SGF9mNi0exUd7tjw==" saltValue="WrUcGFanaJoWvIAO4mXsrw==" spinCount="100000" sheet="1" objects="1" scenarios="1"/>
  <mergeCells count="27">
    <mergeCell ref="B18:D18"/>
    <mergeCell ref="A26:J26"/>
    <mergeCell ref="A27:J27"/>
    <mergeCell ref="F28:J28"/>
    <mergeCell ref="A31:D31"/>
    <mergeCell ref="B19:D19"/>
    <mergeCell ref="B20:D20"/>
    <mergeCell ref="B21:D21"/>
    <mergeCell ref="B22:D22"/>
    <mergeCell ref="B23:D23"/>
    <mergeCell ref="B24:D24"/>
    <mergeCell ref="B7:E7"/>
    <mergeCell ref="B8:D8"/>
    <mergeCell ref="B9:D9"/>
    <mergeCell ref="A10:D10"/>
    <mergeCell ref="A11:E11"/>
    <mergeCell ref="B13:D13"/>
    <mergeCell ref="B14:D14"/>
    <mergeCell ref="A16:E16"/>
    <mergeCell ref="B17:D17"/>
    <mergeCell ref="F12:J12"/>
    <mergeCell ref="F17:J17"/>
    <mergeCell ref="A4:J4"/>
    <mergeCell ref="A5:D5"/>
    <mergeCell ref="E5:E6"/>
    <mergeCell ref="B6:D6"/>
    <mergeCell ref="F6:J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9" fitToHeight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14999847407452621"/>
    <pageSetUpPr fitToPage="1"/>
  </sheetPr>
  <dimension ref="A1:AI23"/>
  <sheetViews>
    <sheetView showGridLines="0" view="pageBreakPreview" zoomScale="115" zoomScaleNormal="100" zoomScaleSheetLayoutView="115" workbookViewId="0">
      <selection activeCell="F26" sqref="F26"/>
    </sheetView>
  </sheetViews>
  <sheetFormatPr defaultRowHeight="14.4" x14ac:dyDescent="0.3"/>
  <cols>
    <col min="1" max="1" width="7.88671875" customWidth="1"/>
    <col min="2" max="2" width="7.33203125" bestFit="1" customWidth="1"/>
    <col min="3" max="3" width="4.44140625" bestFit="1" customWidth="1"/>
    <col min="4" max="4" width="7.5546875" bestFit="1" customWidth="1"/>
    <col min="5" max="5" width="5.44140625" bestFit="1" customWidth="1"/>
    <col min="6" max="6" width="8.33203125" bestFit="1" customWidth="1"/>
    <col min="7" max="7" width="7.44140625" bestFit="1" customWidth="1"/>
    <col min="8" max="8" width="3.33203125" customWidth="1"/>
    <col min="9" max="9" width="7.33203125" bestFit="1" customWidth="1"/>
    <col min="10" max="10" width="4.44140625" bestFit="1" customWidth="1"/>
    <col min="11" max="11" width="7.5546875" bestFit="1" customWidth="1"/>
    <col min="12" max="12" width="5.44140625" bestFit="1" customWidth="1"/>
    <col min="13" max="13" width="8.33203125" bestFit="1" customWidth="1"/>
    <col min="14" max="14" width="7.44140625" bestFit="1" customWidth="1"/>
    <col min="15" max="15" width="3" customWidth="1"/>
    <col min="16" max="16" width="7.33203125" bestFit="1" customWidth="1"/>
    <col min="17" max="17" width="4.44140625" bestFit="1" customWidth="1"/>
    <col min="18" max="18" width="7.5546875" bestFit="1" customWidth="1"/>
    <col min="19" max="19" width="5.44140625" bestFit="1" customWidth="1"/>
    <col min="20" max="20" width="8.33203125" bestFit="1" customWidth="1"/>
    <col min="21" max="21" width="7.44140625" bestFit="1" customWidth="1"/>
    <col min="22" max="22" width="3" customWidth="1"/>
    <col min="23" max="23" width="7.33203125" bestFit="1" customWidth="1"/>
    <col min="24" max="24" width="4.44140625" bestFit="1" customWidth="1"/>
    <col min="25" max="25" width="7.5546875" bestFit="1" customWidth="1"/>
    <col min="26" max="26" width="5.44140625" bestFit="1" customWidth="1"/>
    <col min="27" max="27" width="8.33203125" bestFit="1" customWidth="1"/>
    <col min="28" max="28" width="7.44140625" bestFit="1" customWidth="1"/>
    <col min="29" max="29" width="3" customWidth="1"/>
    <col min="30" max="30" width="7.33203125" bestFit="1" customWidth="1"/>
    <col min="31" max="31" width="4.44140625" bestFit="1" customWidth="1"/>
    <col min="257" max="257" width="1.44140625" customWidth="1"/>
    <col min="258" max="258" width="7.33203125" bestFit="1" customWidth="1"/>
    <col min="259" max="259" width="4.44140625" bestFit="1" customWidth="1"/>
    <col min="260" max="260" width="7.5546875" bestFit="1" customWidth="1"/>
    <col min="261" max="261" width="5.44140625" bestFit="1" customWidth="1"/>
    <col min="262" max="262" width="8.33203125" bestFit="1" customWidth="1"/>
    <col min="263" max="263" width="7.44140625" bestFit="1" customWidth="1"/>
    <col min="264" max="264" width="3.33203125" customWidth="1"/>
    <col min="265" max="265" width="7.33203125" bestFit="1" customWidth="1"/>
    <col min="266" max="266" width="4.44140625" bestFit="1" customWidth="1"/>
    <col min="267" max="267" width="7.5546875" bestFit="1" customWidth="1"/>
    <col min="268" max="268" width="5.44140625" bestFit="1" customWidth="1"/>
    <col min="269" max="269" width="8.33203125" bestFit="1" customWidth="1"/>
    <col min="270" max="270" width="7.44140625" bestFit="1" customWidth="1"/>
    <col min="271" max="271" width="3" customWidth="1"/>
    <col min="272" max="272" width="7.33203125" bestFit="1" customWidth="1"/>
    <col min="273" max="273" width="4.44140625" bestFit="1" customWidth="1"/>
    <col min="274" max="274" width="7.5546875" bestFit="1" customWidth="1"/>
    <col min="275" max="275" width="5.44140625" bestFit="1" customWidth="1"/>
    <col min="276" max="276" width="8.33203125" bestFit="1" customWidth="1"/>
    <col min="277" max="277" width="7.44140625" bestFit="1" customWidth="1"/>
    <col min="278" max="278" width="3" customWidth="1"/>
    <col min="279" max="279" width="7.33203125" bestFit="1" customWidth="1"/>
    <col min="280" max="280" width="4.44140625" bestFit="1" customWidth="1"/>
    <col min="281" max="281" width="7.5546875" bestFit="1" customWidth="1"/>
    <col min="282" max="282" width="5.44140625" bestFit="1" customWidth="1"/>
    <col min="283" max="283" width="8.33203125" bestFit="1" customWidth="1"/>
    <col min="284" max="284" width="7.44140625" bestFit="1" customWidth="1"/>
    <col min="285" max="285" width="3" customWidth="1"/>
    <col min="286" max="286" width="7.33203125" bestFit="1" customWidth="1"/>
    <col min="287" max="287" width="4.44140625" bestFit="1" customWidth="1"/>
    <col min="513" max="513" width="1.44140625" customWidth="1"/>
    <col min="514" max="514" width="7.33203125" bestFit="1" customWidth="1"/>
    <col min="515" max="515" width="4.44140625" bestFit="1" customWidth="1"/>
    <col min="516" max="516" width="7.5546875" bestFit="1" customWidth="1"/>
    <col min="517" max="517" width="5.44140625" bestFit="1" customWidth="1"/>
    <col min="518" max="518" width="8.33203125" bestFit="1" customWidth="1"/>
    <col min="519" max="519" width="7.44140625" bestFit="1" customWidth="1"/>
    <col min="520" max="520" width="3.33203125" customWidth="1"/>
    <col min="521" max="521" width="7.33203125" bestFit="1" customWidth="1"/>
    <col min="522" max="522" width="4.44140625" bestFit="1" customWidth="1"/>
    <col min="523" max="523" width="7.5546875" bestFit="1" customWidth="1"/>
    <col min="524" max="524" width="5.44140625" bestFit="1" customWidth="1"/>
    <col min="525" max="525" width="8.33203125" bestFit="1" customWidth="1"/>
    <col min="526" max="526" width="7.44140625" bestFit="1" customWidth="1"/>
    <col min="527" max="527" width="3" customWidth="1"/>
    <col min="528" max="528" width="7.33203125" bestFit="1" customWidth="1"/>
    <col min="529" max="529" width="4.44140625" bestFit="1" customWidth="1"/>
    <col min="530" max="530" width="7.5546875" bestFit="1" customWidth="1"/>
    <col min="531" max="531" width="5.44140625" bestFit="1" customWidth="1"/>
    <col min="532" max="532" width="8.33203125" bestFit="1" customWidth="1"/>
    <col min="533" max="533" width="7.44140625" bestFit="1" customWidth="1"/>
    <col min="534" max="534" width="3" customWidth="1"/>
    <col min="535" max="535" width="7.33203125" bestFit="1" customWidth="1"/>
    <col min="536" max="536" width="4.44140625" bestFit="1" customWidth="1"/>
    <col min="537" max="537" width="7.5546875" bestFit="1" customWidth="1"/>
    <col min="538" max="538" width="5.44140625" bestFit="1" customWidth="1"/>
    <col min="539" max="539" width="8.33203125" bestFit="1" customWidth="1"/>
    <col min="540" max="540" width="7.44140625" bestFit="1" customWidth="1"/>
    <col min="541" max="541" width="3" customWidth="1"/>
    <col min="542" max="542" width="7.33203125" bestFit="1" customWidth="1"/>
    <col min="543" max="543" width="4.44140625" bestFit="1" customWidth="1"/>
    <col min="769" max="769" width="1.44140625" customWidth="1"/>
    <col min="770" max="770" width="7.33203125" bestFit="1" customWidth="1"/>
    <col min="771" max="771" width="4.44140625" bestFit="1" customWidth="1"/>
    <col min="772" max="772" width="7.5546875" bestFit="1" customWidth="1"/>
    <col min="773" max="773" width="5.44140625" bestFit="1" customWidth="1"/>
    <col min="774" max="774" width="8.33203125" bestFit="1" customWidth="1"/>
    <col min="775" max="775" width="7.44140625" bestFit="1" customWidth="1"/>
    <col min="776" max="776" width="3.33203125" customWidth="1"/>
    <col min="777" max="777" width="7.33203125" bestFit="1" customWidth="1"/>
    <col min="778" max="778" width="4.44140625" bestFit="1" customWidth="1"/>
    <col min="779" max="779" width="7.5546875" bestFit="1" customWidth="1"/>
    <col min="780" max="780" width="5.44140625" bestFit="1" customWidth="1"/>
    <col min="781" max="781" width="8.33203125" bestFit="1" customWidth="1"/>
    <col min="782" max="782" width="7.44140625" bestFit="1" customWidth="1"/>
    <col min="783" max="783" width="3" customWidth="1"/>
    <col min="784" max="784" width="7.33203125" bestFit="1" customWidth="1"/>
    <col min="785" max="785" width="4.44140625" bestFit="1" customWidth="1"/>
    <col min="786" max="786" width="7.5546875" bestFit="1" customWidth="1"/>
    <col min="787" max="787" width="5.44140625" bestFit="1" customWidth="1"/>
    <col min="788" max="788" width="8.33203125" bestFit="1" customWidth="1"/>
    <col min="789" max="789" width="7.44140625" bestFit="1" customWidth="1"/>
    <col min="790" max="790" width="3" customWidth="1"/>
    <col min="791" max="791" width="7.33203125" bestFit="1" customWidth="1"/>
    <col min="792" max="792" width="4.44140625" bestFit="1" customWidth="1"/>
    <col min="793" max="793" width="7.5546875" bestFit="1" customWidth="1"/>
    <col min="794" max="794" width="5.44140625" bestFit="1" customWidth="1"/>
    <col min="795" max="795" width="8.33203125" bestFit="1" customWidth="1"/>
    <col min="796" max="796" width="7.44140625" bestFit="1" customWidth="1"/>
    <col min="797" max="797" width="3" customWidth="1"/>
    <col min="798" max="798" width="7.33203125" bestFit="1" customWidth="1"/>
    <col min="799" max="799" width="4.44140625" bestFit="1" customWidth="1"/>
    <col min="1025" max="1025" width="1.44140625" customWidth="1"/>
    <col min="1026" max="1026" width="7.33203125" bestFit="1" customWidth="1"/>
    <col min="1027" max="1027" width="4.44140625" bestFit="1" customWidth="1"/>
    <col min="1028" max="1028" width="7.5546875" bestFit="1" customWidth="1"/>
    <col min="1029" max="1029" width="5.44140625" bestFit="1" customWidth="1"/>
    <col min="1030" max="1030" width="8.33203125" bestFit="1" customWidth="1"/>
    <col min="1031" max="1031" width="7.44140625" bestFit="1" customWidth="1"/>
    <col min="1032" max="1032" width="3.33203125" customWidth="1"/>
    <col min="1033" max="1033" width="7.33203125" bestFit="1" customWidth="1"/>
    <col min="1034" max="1034" width="4.44140625" bestFit="1" customWidth="1"/>
    <col min="1035" max="1035" width="7.5546875" bestFit="1" customWidth="1"/>
    <col min="1036" max="1036" width="5.44140625" bestFit="1" customWidth="1"/>
    <col min="1037" max="1037" width="8.33203125" bestFit="1" customWidth="1"/>
    <col min="1038" max="1038" width="7.44140625" bestFit="1" customWidth="1"/>
    <col min="1039" max="1039" width="3" customWidth="1"/>
    <col min="1040" max="1040" width="7.33203125" bestFit="1" customWidth="1"/>
    <col min="1041" max="1041" width="4.44140625" bestFit="1" customWidth="1"/>
    <col min="1042" max="1042" width="7.5546875" bestFit="1" customWidth="1"/>
    <col min="1043" max="1043" width="5.44140625" bestFit="1" customWidth="1"/>
    <col min="1044" max="1044" width="8.33203125" bestFit="1" customWidth="1"/>
    <col min="1045" max="1045" width="7.44140625" bestFit="1" customWidth="1"/>
    <col min="1046" max="1046" width="3" customWidth="1"/>
    <col min="1047" max="1047" width="7.33203125" bestFit="1" customWidth="1"/>
    <col min="1048" max="1048" width="4.44140625" bestFit="1" customWidth="1"/>
    <col min="1049" max="1049" width="7.5546875" bestFit="1" customWidth="1"/>
    <col min="1050" max="1050" width="5.44140625" bestFit="1" customWidth="1"/>
    <col min="1051" max="1051" width="8.33203125" bestFit="1" customWidth="1"/>
    <col min="1052" max="1052" width="7.44140625" bestFit="1" customWidth="1"/>
    <col min="1053" max="1053" width="3" customWidth="1"/>
    <col min="1054" max="1054" width="7.33203125" bestFit="1" customWidth="1"/>
    <col min="1055" max="1055" width="4.44140625" bestFit="1" customWidth="1"/>
    <col min="1281" max="1281" width="1.44140625" customWidth="1"/>
    <col min="1282" max="1282" width="7.33203125" bestFit="1" customWidth="1"/>
    <col min="1283" max="1283" width="4.44140625" bestFit="1" customWidth="1"/>
    <col min="1284" max="1284" width="7.5546875" bestFit="1" customWidth="1"/>
    <col min="1285" max="1285" width="5.44140625" bestFit="1" customWidth="1"/>
    <col min="1286" max="1286" width="8.33203125" bestFit="1" customWidth="1"/>
    <col min="1287" max="1287" width="7.44140625" bestFit="1" customWidth="1"/>
    <col min="1288" max="1288" width="3.33203125" customWidth="1"/>
    <col min="1289" max="1289" width="7.33203125" bestFit="1" customWidth="1"/>
    <col min="1290" max="1290" width="4.44140625" bestFit="1" customWidth="1"/>
    <col min="1291" max="1291" width="7.5546875" bestFit="1" customWidth="1"/>
    <col min="1292" max="1292" width="5.44140625" bestFit="1" customWidth="1"/>
    <col min="1293" max="1293" width="8.33203125" bestFit="1" customWidth="1"/>
    <col min="1294" max="1294" width="7.44140625" bestFit="1" customWidth="1"/>
    <col min="1295" max="1295" width="3" customWidth="1"/>
    <col min="1296" max="1296" width="7.33203125" bestFit="1" customWidth="1"/>
    <col min="1297" max="1297" width="4.44140625" bestFit="1" customWidth="1"/>
    <col min="1298" max="1298" width="7.5546875" bestFit="1" customWidth="1"/>
    <col min="1299" max="1299" width="5.44140625" bestFit="1" customWidth="1"/>
    <col min="1300" max="1300" width="8.33203125" bestFit="1" customWidth="1"/>
    <col min="1301" max="1301" width="7.44140625" bestFit="1" customWidth="1"/>
    <col min="1302" max="1302" width="3" customWidth="1"/>
    <col min="1303" max="1303" width="7.33203125" bestFit="1" customWidth="1"/>
    <col min="1304" max="1304" width="4.44140625" bestFit="1" customWidth="1"/>
    <col min="1305" max="1305" width="7.5546875" bestFit="1" customWidth="1"/>
    <col min="1306" max="1306" width="5.44140625" bestFit="1" customWidth="1"/>
    <col min="1307" max="1307" width="8.33203125" bestFit="1" customWidth="1"/>
    <col min="1308" max="1308" width="7.44140625" bestFit="1" customWidth="1"/>
    <col min="1309" max="1309" width="3" customWidth="1"/>
    <col min="1310" max="1310" width="7.33203125" bestFit="1" customWidth="1"/>
    <col min="1311" max="1311" width="4.44140625" bestFit="1" customWidth="1"/>
    <col min="1537" max="1537" width="1.44140625" customWidth="1"/>
    <col min="1538" max="1538" width="7.33203125" bestFit="1" customWidth="1"/>
    <col min="1539" max="1539" width="4.44140625" bestFit="1" customWidth="1"/>
    <col min="1540" max="1540" width="7.5546875" bestFit="1" customWidth="1"/>
    <col min="1541" max="1541" width="5.44140625" bestFit="1" customWidth="1"/>
    <col min="1542" max="1542" width="8.33203125" bestFit="1" customWidth="1"/>
    <col min="1543" max="1543" width="7.44140625" bestFit="1" customWidth="1"/>
    <col min="1544" max="1544" width="3.33203125" customWidth="1"/>
    <col min="1545" max="1545" width="7.33203125" bestFit="1" customWidth="1"/>
    <col min="1546" max="1546" width="4.44140625" bestFit="1" customWidth="1"/>
    <col min="1547" max="1547" width="7.5546875" bestFit="1" customWidth="1"/>
    <col min="1548" max="1548" width="5.44140625" bestFit="1" customWidth="1"/>
    <col min="1549" max="1549" width="8.33203125" bestFit="1" customWidth="1"/>
    <col min="1550" max="1550" width="7.44140625" bestFit="1" customWidth="1"/>
    <col min="1551" max="1551" width="3" customWidth="1"/>
    <col min="1552" max="1552" width="7.33203125" bestFit="1" customWidth="1"/>
    <col min="1553" max="1553" width="4.44140625" bestFit="1" customWidth="1"/>
    <col min="1554" max="1554" width="7.5546875" bestFit="1" customWidth="1"/>
    <col min="1555" max="1555" width="5.44140625" bestFit="1" customWidth="1"/>
    <col min="1556" max="1556" width="8.33203125" bestFit="1" customWidth="1"/>
    <col min="1557" max="1557" width="7.44140625" bestFit="1" customWidth="1"/>
    <col min="1558" max="1558" width="3" customWidth="1"/>
    <col min="1559" max="1559" width="7.33203125" bestFit="1" customWidth="1"/>
    <col min="1560" max="1560" width="4.44140625" bestFit="1" customWidth="1"/>
    <col min="1561" max="1561" width="7.5546875" bestFit="1" customWidth="1"/>
    <col min="1562" max="1562" width="5.44140625" bestFit="1" customWidth="1"/>
    <col min="1563" max="1563" width="8.33203125" bestFit="1" customWidth="1"/>
    <col min="1564" max="1564" width="7.44140625" bestFit="1" customWidth="1"/>
    <col min="1565" max="1565" width="3" customWidth="1"/>
    <col min="1566" max="1566" width="7.33203125" bestFit="1" customWidth="1"/>
    <col min="1567" max="1567" width="4.44140625" bestFit="1" customWidth="1"/>
    <col min="1793" max="1793" width="1.44140625" customWidth="1"/>
    <col min="1794" max="1794" width="7.33203125" bestFit="1" customWidth="1"/>
    <col min="1795" max="1795" width="4.44140625" bestFit="1" customWidth="1"/>
    <col min="1796" max="1796" width="7.5546875" bestFit="1" customWidth="1"/>
    <col min="1797" max="1797" width="5.44140625" bestFit="1" customWidth="1"/>
    <col min="1798" max="1798" width="8.33203125" bestFit="1" customWidth="1"/>
    <col min="1799" max="1799" width="7.44140625" bestFit="1" customWidth="1"/>
    <col min="1800" max="1800" width="3.33203125" customWidth="1"/>
    <col min="1801" max="1801" width="7.33203125" bestFit="1" customWidth="1"/>
    <col min="1802" max="1802" width="4.44140625" bestFit="1" customWidth="1"/>
    <col min="1803" max="1803" width="7.5546875" bestFit="1" customWidth="1"/>
    <col min="1804" max="1804" width="5.44140625" bestFit="1" customWidth="1"/>
    <col min="1805" max="1805" width="8.33203125" bestFit="1" customWidth="1"/>
    <col min="1806" max="1806" width="7.44140625" bestFit="1" customWidth="1"/>
    <col min="1807" max="1807" width="3" customWidth="1"/>
    <col min="1808" max="1808" width="7.33203125" bestFit="1" customWidth="1"/>
    <col min="1809" max="1809" width="4.44140625" bestFit="1" customWidth="1"/>
    <col min="1810" max="1810" width="7.5546875" bestFit="1" customWidth="1"/>
    <col min="1811" max="1811" width="5.44140625" bestFit="1" customWidth="1"/>
    <col min="1812" max="1812" width="8.33203125" bestFit="1" customWidth="1"/>
    <col min="1813" max="1813" width="7.44140625" bestFit="1" customWidth="1"/>
    <col min="1814" max="1814" width="3" customWidth="1"/>
    <col min="1815" max="1815" width="7.33203125" bestFit="1" customWidth="1"/>
    <col min="1816" max="1816" width="4.44140625" bestFit="1" customWidth="1"/>
    <col min="1817" max="1817" width="7.5546875" bestFit="1" customWidth="1"/>
    <col min="1818" max="1818" width="5.44140625" bestFit="1" customWidth="1"/>
    <col min="1819" max="1819" width="8.33203125" bestFit="1" customWidth="1"/>
    <col min="1820" max="1820" width="7.44140625" bestFit="1" customWidth="1"/>
    <col min="1821" max="1821" width="3" customWidth="1"/>
    <col min="1822" max="1822" width="7.33203125" bestFit="1" customWidth="1"/>
    <col min="1823" max="1823" width="4.44140625" bestFit="1" customWidth="1"/>
    <col min="2049" max="2049" width="1.44140625" customWidth="1"/>
    <col min="2050" max="2050" width="7.33203125" bestFit="1" customWidth="1"/>
    <col min="2051" max="2051" width="4.44140625" bestFit="1" customWidth="1"/>
    <col min="2052" max="2052" width="7.5546875" bestFit="1" customWidth="1"/>
    <col min="2053" max="2053" width="5.44140625" bestFit="1" customWidth="1"/>
    <col min="2054" max="2054" width="8.33203125" bestFit="1" customWidth="1"/>
    <col min="2055" max="2055" width="7.44140625" bestFit="1" customWidth="1"/>
    <col min="2056" max="2056" width="3.33203125" customWidth="1"/>
    <col min="2057" max="2057" width="7.33203125" bestFit="1" customWidth="1"/>
    <col min="2058" max="2058" width="4.44140625" bestFit="1" customWidth="1"/>
    <col min="2059" max="2059" width="7.5546875" bestFit="1" customWidth="1"/>
    <col min="2060" max="2060" width="5.44140625" bestFit="1" customWidth="1"/>
    <col min="2061" max="2061" width="8.33203125" bestFit="1" customWidth="1"/>
    <col min="2062" max="2062" width="7.44140625" bestFit="1" customWidth="1"/>
    <col min="2063" max="2063" width="3" customWidth="1"/>
    <col min="2064" max="2064" width="7.33203125" bestFit="1" customWidth="1"/>
    <col min="2065" max="2065" width="4.44140625" bestFit="1" customWidth="1"/>
    <col min="2066" max="2066" width="7.5546875" bestFit="1" customWidth="1"/>
    <col min="2067" max="2067" width="5.44140625" bestFit="1" customWidth="1"/>
    <col min="2068" max="2068" width="8.33203125" bestFit="1" customWidth="1"/>
    <col min="2069" max="2069" width="7.44140625" bestFit="1" customWidth="1"/>
    <col min="2070" max="2070" width="3" customWidth="1"/>
    <col min="2071" max="2071" width="7.33203125" bestFit="1" customWidth="1"/>
    <col min="2072" max="2072" width="4.44140625" bestFit="1" customWidth="1"/>
    <col min="2073" max="2073" width="7.5546875" bestFit="1" customWidth="1"/>
    <col min="2074" max="2074" width="5.44140625" bestFit="1" customWidth="1"/>
    <col min="2075" max="2075" width="8.33203125" bestFit="1" customWidth="1"/>
    <col min="2076" max="2076" width="7.44140625" bestFit="1" customWidth="1"/>
    <col min="2077" max="2077" width="3" customWidth="1"/>
    <col min="2078" max="2078" width="7.33203125" bestFit="1" customWidth="1"/>
    <col min="2079" max="2079" width="4.44140625" bestFit="1" customWidth="1"/>
    <col min="2305" max="2305" width="1.44140625" customWidth="1"/>
    <col min="2306" max="2306" width="7.33203125" bestFit="1" customWidth="1"/>
    <col min="2307" max="2307" width="4.44140625" bestFit="1" customWidth="1"/>
    <col min="2308" max="2308" width="7.5546875" bestFit="1" customWidth="1"/>
    <col min="2309" max="2309" width="5.44140625" bestFit="1" customWidth="1"/>
    <col min="2310" max="2310" width="8.33203125" bestFit="1" customWidth="1"/>
    <col min="2311" max="2311" width="7.44140625" bestFit="1" customWidth="1"/>
    <col min="2312" max="2312" width="3.33203125" customWidth="1"/>
    <col min="2313" max="2313" width="7.33203125" bestFit="1" customWidth="1"/>
    <col min="2314" max="2314" width="4.44140625" bestFit="1" customWidth="1"/>
    <col min="2315" max="2315" width="7.5546875" bestFit="1" customWidth="1"/>
    <col min="2316" max="2316" width="5.44140625" bestFit="1" customWidth="1"/>
    <col min="2317" max="2317" width="8.33203125" bestFit="1" customWidth="1"/>
    <col min="2318" max="2318" width="7.44140625" bestFit="1" customWidth="1"/>
    <col min="2319" max="2319" width="3" customWidth="1"/>
    <col min="2320" max="2320" width="7.33203125" bestFit="1" customWidth="1"/>
    <col min="2321" max="2321" width="4.44140625" bestFit="1" customWidth="1"/>
    <col min="2322" max="2322" width="7.5546875" bestFit="1" customWidth="1"/>
    <col min="2323" max="2323" width="5.44140625" bestFit="1" customWidth="1"/>
    <col min="2324" max="2324" width="8.33203125" bestFit="1" customWidth="1"/>
    <col min="2325" max="2325" width="7.44140625" bestFit="1" customWidth="1"/>
    <col min="2326" max="2326" width="3" customWidth="1"/>
    <col min="2327" max="2327" width="7.33203125" bestFit="1" customWidth="1"/>
    <col min="2328" max="2328" width="4.44140625" bestFit="1" customWidth="1"/>
    <col min="2329" max="2329" width="7.5546875" bestFit="1" customWidth="1"/>
    <col min="2330" max="2330" width="5.44140625" bestFit="1" customWidth="1"/>
    <col min="2331" max="2331" width="8.33203125" bestFit="1" customWidth="1"/>
    <col min="2332" max="2332" width="7.44140625" bestFit="1" customWidth="1"/>
    <col min="2333" max="2333" width="3" customWidth="1"/>
    <col min="2334" max="2334" width="7.33203125" bestFit="1" customWidth="1"/>
    <col min="2335" max="2335" width="4.44140625" bestFit="1" customWidth="1"/>
    <col min="2561" max="2561" width="1.44140625" customWidth="1"/>
    <col min="2562" max="2562" width="7.33203125" bestFit="1" customWidth="1"/>
    <col min="2563" max="2563" width="4.44140625" bestFit="1" customWidth="1"/>
    <col min="2564" max="2564" width="7.5546875" bestFit="1" customWidth="1"/>
    <col min="2565" max="2565" width="5.44140625" bestFit="1" customWidth="1"/>
    <col min="2566" max="2566" width="8.33203125" bestFit="1" customWidth="1"/>
    <col min="2567" max="2567" width="7.44140625" bestFit="1" customWidth="1"/>
    <col min="2568" max="2568" width="3.33203125" customWidth="1"/>
    <col min="2569" max="2569" width="7.33203125" bestFit="1" customWidth="1"/>
    <col min="2570" max="2570" width="4.44140625" bestFit="1" customWidth="1"/>
    <col min="2571" max="2571" width="7.5546875" bestFit="1" customWidth="1"/>
    <col min="2572" max="2572" width="5.44140625" bestFit="1" customWidth="1"/>
    <col min="2573" max="2573" width="8.33203125" bestFit="1" customWidth="1"/>
    <col min="2574" max="2574" width="7.44140625" bestFit="1" customWidth="1"/>
    <col min="2575" max="2575" width="3" customWidth="1"/>
    <col min="2576" max="2576" width="7.33203125" bestFit="1" customWidth="1"/>
    <col min="2577" max="2577" width="4.44140625" bestFit="1" customWidth="1"/>
    <col min="2578" max="2578" width="7.5546875" bestFit="1" customWidth="1"/>
    <col min="2579" max="2579" width="5.44140625" bestFit="1" customWidth="1"/>
    <col min="2580" max="2580" width="8.33203125" bestFit="1" customWidth="1"/>
    <col min="2581" max="2581" width="7.44140625" bestFit="1" customWidth="1"/>
    <col min="2582" max="2582" width="3" customWidth="1"/>
    <col min="2583" max="2583" width="7.33203125" bestFit="1" customWidth="1"/>
    <col min="2584" max="2584" width="4.44140625" bestFit="1" customWidth="1"/>
    <col min="2585" max="2585" width="7.5546875" bestFit="1" customWidth="1"/>
    <col min="2586" max="2586" width="5.44140625" bestFit="1" customWidth="1"/>
    <col min="2587" max="2587" width="8.33203125" bestFit="1" customWidth="1"/>
    <col min="2588" max="2588" width="7.44140625" bestFit="1" customWidth="1"/>
    <col min="2589" max="2589" width="3" customWidth="1"/>
    <col min="2590" max="2590" width="7.33203125" bestFit="1" customWidth="1"/>
    <col min="2591" max="2591" width="4.44140625" bestFit="1" customWidth="1"/>
    <col min="2817" max="2817" width="1.44140625" customWidth="1"/>
    <col min="2818" max="2818" width="7.33203125" bestFit="1" customWidth="1"/>
    <col min="2819" max="2819" width="4.44140625" bestFit="1" customWidth="1"/>
    <col min="2820" max="2820" width="7.5546875" bestFit="1" customWidth="1"/>
    <col min="2821" max="2821" width="5.44140625" bestFit="1" customWidth="1"/>
    <col min="2822" max="2822" width="8.33203125" bestFit="1" customWidth="1"/>
    <col min="2823" max="2823" width="7.44140625" bestFit="1" customWidth="1"/>
    <col min="2824" max="2824" width="3.33203125" customWidth="1"/>
    <col min="2825" max="2825" width="7.33203125" bestFit="1" customWidth="1"/>
    <col min="2826" max="2826" width="4.44140625" bestFit="1" customWidth="1"/>
    <col min="2827" max="2827" width="7.5546875" bestFit="1" customWidth="1"/>
    <col min="2828" max="2828" width="5.44140625" bestFit="1" customWidth="1"/>
    <col min="2829" max="2829" width="8.33203125" bestFit="1" customWidth="1"/>
    <col min="2830" max="2830" width="7.44140625" bestFit="1" customWidth="1"/>
    <col min="2831" max="2831" width="3" customWidth="1"/>
    <col min="2832" max="2832" width="7.33203125" bestFit="1" customWidth="1"/>
    <col min="2833" max="2833" width="4.44140625" bestFit="1" customWidth="1"/>
    <col min="2834" max="2834" width="7.5546875" bestFit="1" customWidth="1"/>
    <col min="2835" max="2835" width="5.44140625" bestFit="1" customWidth="1"/>
    <col min="2836" max="2836" width="8.33203125" bestFit="1" customWidth="1"/>
    <col min="2837" max="2837" width="7.44140625" bestFit="1" customWidth="1"/>
    <col min="2838" max="2838" width="3" customWidth="1"/>
    <col min="2839" max="2839" width="7.33203125" bestFit="1" customWidth="1"/>
    <col min="2840" max="2840" width="4.44140625" bestFit="1" customWidth="1"/>
    <col min="2841" max="2841" width="7.5546875" bestFit="1" customWidth="1"/>
    <col min="2842" max="2842" width="5.44140625" bestFit="1" customWidth="1"/>
    <col min="2843" max="2843" width="8.33203125" bestFit="1" customWidth="1"/>
    <col min="2844" max="2844" width="7.44140625" bestFit="1" customWidth="1"/>
    <col min="2845" max="2845" width="3" customWidth="1"/>
    <col min="2846" max="2846" width="7.33203125" bestFit="1" customWidth="1"/>
    <col min="2847" max="2847" width="4.44140625" bestFit="1" customWidth="1"/>
    <col min="3073" max="3073" width="1.44140625" customWidth="1"/>
    <col min="3074" max="3074" width="7.33203125" bestFit="1" customWidth="1"/>
    <col min="3075" max="3075" width="4.44140625" bestFit="1" customWidth="1"/>
    <col min="3076" max="3076" width="7.5546875" bestFit="1" customWidth="1"/>
    <col min="3077" max="3077" width="5.44140625" bestFit="1" customWidth="1"/>
    <col min="3078" max="3078" width="8.33203125" bestFit="1" customWidth="1"/>
    <col min="3079" max="3079" width="7.44140625" bestFit="1" customWidth="1"/>
    <col min="3080" max="3080" width="3.33203125" customWidth="1"/>
    <col min="3081" max="3081" width="7.33203125" bestFit="1" customWidth="1"/>
    <col min="3082" max="3082" width="4.44140625" bestFit="1" customWidth="1"/>
    <col min="3083" max="3083" width="7.5546875" bestFit="1" customWidth="1"/>
    <col min="3084" max="3084" width="5.44140625" bestFit="1" customWidth="1"/>
    <col min="3085" max="3085" width="8.33203125" bestFit="1" customWidth="1"/>
    <col min="3086" max="3086" width="7.44140625" bestFit="1" customWidth="1"/>
    <col min="3087" max="3087" width="3" customWidth="1"/>
    <col min="3088" max="3088" width="7.33203125" bestFit="1" customWidth="1"/>
    <col min="3089" max="3089" width="4.44140625" bestFit="1" customWidth="1"/>
    <col min="3090" max="3090" width="7.5546875" bestFit="1" customWidth="1"/>
    <col min="3091" max="3091" width="5.44140625" bestFit="1" customWidth="1"/>
    <col min="3092" max="3092" width="8.33203125" bestFit="1" customWidth="1"/>
    <col min="3093" max="3093" width="7.44140625" bestFit="1" customWidth="1"/>
    <col min="3094" max="3094" width="3" customWidth="1"/>
    <col min="3095" max="3095" width="7.33203125" bestFit="1" customWidth="1"/>
    <col min="3096" max="3096" width="4.44140625" bestFit="1" customWidth="1"/>
    <col min="3097" max="3097" width="7.5546875" bestFit="1" customWidth="1"/>
    <col min="3098" max="3098" width="5.44140625" bestFit="1" customWidth="1"/>
    <col min="3099" max="3099" width="8.33203125" bestFit="1" customWidth="1"/>
    <col min="3100" max="3100" width="7.44140625" bestFit="1" customWidth="1"/>
    <col min="3101" max="3101" width="3" customWidth="1"/>
    <col min="3102" max="3102" width="7.33203125" bestFit="1" customWidth="1"/>
    <col min="3103" max="3103" width="4.44140625" bestFit="1" customWidth="1"/>
    <col min="3329" max="3329" width="1.44140625" customWidth="1"/>
    <col min="3330" max="3330" width="7.33203125" bestFit="1" customWidth="1"/>
    <col min="3331" max="3331" width="4.44140625" bestFit="1" customWidth="1"/>
    <col min="3332" max="3332" width="7.5546875" bestFit="1" customWidth="1"/>
    <col min="3333" max="3333" width="5.44140625" bestFit="1" customWidth="1"/>
    <col min="3334" max="3334" width="8.33203125" bestFit="1" customWidth="1"/>
    <col min="3335" max="3335" width="7.44140625" bestFit="1" customWidth="1"/>
    <col min="3336" max="3336" width="3.33203125" customWidth="1"/>
    <col min="3337" max="3337" width="7.33203125" bestFit="1" customWidth="1"/>
    <col min="3338" max="3338" width="4.44140625" bestFit="1" customWidth="1"/>
    <col min="3339" max="3339" width="7.5546875" bestFit="1" customWidth="1"/>
    <col min="3340" max="3340" width="5.44140625" bestFit="1" customWidth="1"/>
    <col min="3341" max="3341" width="8.33203125" bestFit="1" customWidth="1"/>
    <col min="3342" max="3342" width="7.44140625" bestFit="1" customWidth="1"/>
    <col min="3343" max="3343" width="3" customWidth="1"/>
    <col min="3344" max="3344" width="7.33203125" bestFit="1" customWidth="1"/>
    <col min="3345" max="3345" width="4.44140625" bestFit="1" customWidth="1"/>
    <col min="3346" max="3346" width="7.5546875" bestFit="1" customWidth="1"/>
    <col min="3347" max="3347" width="5.44140625" bestFit="1" customWidth="1"/>
    <col min="3348" max="3348" width="8.33203125" bestFit="1" customWidth="1"/>
    <col min="3349" max="3349" width="7.44140625" bestFit="1" customWidth="1"/>
    <col min="3350" max="3350" width="3" customWidth="1"/>
    <col min="3351" max="3351" width="7.33203125" bestFit="1" customWidth="1"/>
    <col min="3352" max="3352" width="4.44140625" bestFit="1" customWidth="1"/>
    <col min="3353" max="3353" width="7.5546875" bestFit="1" customWidth="1"/>
    <col min="3354" max="3354" width="5.44140625" bestFit="1" customWidth="1"/>
    <col min="3355" max="3355" width="8.33203125" bestFit="1" customWidth="1"/>
    <col min="3356" max="3356" width="7.44140625" bestFit="1" customWidth="1"/>
    <col min="3357" max="3357" width="3" customWidth="1"/>
    <col min="3358" max="3358" width="7.33203125" bestFit="1" customWidth="1"/>
    <col min="3359" max="3359" width="4.44140625" bestFit="1" customWidth="1"/>
    <col min="3585" max="3585" width="1.44140625" customWidth="1"/>
    <col min="3586" max="3586" width="7.33203125" bestFit="1" customWidth="1"/>
    <col min="3587" max="3587" width="4.44140625" bestFit="1" customWidth="1"/>
    <col min="3588" max="3588" width="7.5546875" bestFit="1" customWidth="1"/>
    <col min="3589" max="3589" width="5.44140625" bestFit="1" customWidth="1"/>
    <col min="3590" max="3590" width="8.33203125" bestFit="1" customWidth="1"/>
    <col min="3591" max="3591" width="7.44140625" bestFit="1" customWidth="1"/>
    <col min="3592" max="3592" width="3.33203125" customWidth="1"/>
    <col min="3593" max="3593" width="7.33203125" bestFit="1" customWidth="1"/>
    <col min="3594" max="3594" width="4.44140625" bestFit="1" customWidth="1"/>
    <col min="3595" max="3595" width="7.5546875" bestFit="1" customWidth="1"/>
    <col min="3596" max="3596" width="5.44140625" bestFit="1" customWidth="1"/>
    <col min="3597" max="3597" width="8.33203125" bestFit="1" customWidth="1"/>
    <col min="3598" max="3598" width="7.44140625" bestFit="1" customWidth="1"/>
    <col min="3599" max="3599" width="3" customWidth="1"/>
    <col min="3600" max="3600" width="7.33203125" bestFit="1" customWidth="1"/>
    <col min="3601" max="3601" width="4.44140625" bestFit="1" customWidth="1"/>
    <col min="3602" max="3602" width="7.5546875" bestFit="1" customWidth="1"/>
    <col min="3603" max="3603" width="5.44140625" bestFit="1" customWidth="1"/>
    <col min="3604" max="3604" width="8.33203125" bestFit="1" customWidth="1"/>
    <col min="3605" max="3605" width="7.44140625" bestFit="1" customWidth="1"/>
    <col min="3606" max="3606" width="3" customWidth="1"/>
    <col min="3607" max="3607" width="7.33203125" bestFit="1" customWidth="1"/>
    <col min="3608" max="3608" width="4.44140625" bestFit="1" customWidth="1"/>
    <col min="3609" max="3609" width="7.5546875" bestFit="1" customWidth="1"/>
    <col min="3610" max="3610" width="5.44140625" bestFit="1" customWidth="1"/>
    <col min="3611" max="3611" width="8.33203125" bestFit="1" customWidth="1"/>
    <col min="3612" max="3612" width="7.44140625" bestFit="1" customWidth="1"/>
    <col min="3613" max="3613" width="3" customWidth="1"/>
    <col min="3614" max="3614" width="7.33203125" bestFit="1" customWidth="1"/>
    <col min="3615" max="3615" width="4.44140625" bestFit="1" customWidth="1"/>
    <col min="3841" max="3841" width="1.44140625" customWidth="1"/>
    <col min="3842" max="3842" width="7.33203125" bestFit="1" customWidth="1"/>
    <col min="3843" max="3843" width="4.44140625" bestFit="1" customWidth="1"/>
    <col min="3844" max="3844" width="7.5546875" bestFit="1" customWidth="1"/>
    <col min="3845" max="3845" width="5.44140625" bestFit="1" customWidth="1"/>
    <col min="3846" max="3846" width="8.33203125" bestFit="1" customWidth="1"/>
    <col min="3847" max="3847" width="7.44140625" bestFit="1" customWidth="1"/>
    <col min="3848" max="3848" width="3.33203125" customWidth="1"/>
    <col min="3849" max="3849" width="7.33203125" bestFit="1" customWidth="1"/>
    <col min="3850" max="3850" width="4.44140625" bestFit="1" customWidth="1"/>
    <col min="3851" max="3851" width="7.5546875" bestFit="1" customWidth="1"/>
    <col min="3852" max="3852" width="5.44140625" bestFit="1" customWidth="1"/>
    <col min="3853" max="3853" width="8.33203125" bestFit="1" customWidth="1"/>
    <col min="3854" max="3854" width="7.44140625" bestFit="1" customWidth="1"/>
    <col min="3855" max="3855" width="3" customWidth="1"/>
    <col min="3856" max="3856" width="7.33203125" bestFit="1" customWidth="1"/>
    <col min="3857" max="3857" width="4.44140625" bestFit="1" customWidth="1"/>
    <col min="3858" max="3858" width="7.5546875" bestFit="1" customWidth="1"/>
    <col min="3859" max="3859" width="5.44140625" bestFit="1" customWidth="1"/>
    <col min="3860" max="3860" width="8.33203125" bestFit="1" customWidth="1"/>
    <col min="3861" max="3861" width="7.44140625" bestFit="1" customWidth="1"/>
    <col min="3862" max="3862" width="3" customWidth="1"/>
    <col min="3863" max="3863" width="7.33203125" bestFit="1" customWidth="1"/>
    <col min="3864" max="3864" width="4.44140625" bestFit="1" customWidth="1"/>
    <col min="3865" max="3865" width="7.5546875" bestFit="1" customWidth="1"/>
    <col min="3866" max="3866" width="5.44140625" bestFit="1" customWidth="1"/>
    <col min="3867" max="3867" width="8.33203125" bestFit="1" customWidth="1"/>
    <col min="3868" max="3868" width="7.44140625" bestFit="1" customWidth="1"/>
    <col min="3869" max="3869" width="3" customWidth="1"/>
    <col min="3870" max="3870" width="7.33203125" bestFit="1" customWidth="1"/>
    <col min="3871" max="3871" width="4.44140625" bestFit="1" customWidth="1"/>
    <col min="4097" max="4097" width="1.44140625" customWidth="1"/>
    <col min="4098" max="4098" width="7.33203125" bestFit="1" customWidth="1"/>
    <col min="4099" max="4099" width="4.44140625" bestFit="1" customWidth="1"/>
    <col min="4100" max="4100" width="7.5546875" bestFit="1" customWidth="1"/>
    <col min="4101" max="4101" width="5.44140625" bestFit="1" customWidth="1"/>
    <col min="4102" max="4102" width="8.33203125" bestFit="1" customWidth="1"/>
    <col min="4103" max="4103" width="7.44140625" bestFit="1" customWidth="1"/>
    <col min="4104" max="4104" width="3.33203125" customWidth="1"/>
    <col min="4105" max="4105" width="7.33203125" bestFit="1" customWidth="1"/>
    <col min="4106" max="4106" width="4.44140625" bestFit="1" customWidth="1"/>
    <col min="4107" max="4107" width="7.5546875" bestFit="1" customWidth="1"/>
    <col min="4108" max="4108" width="5.44140625" bestFit="1" customWidth="1"/>
    <col min="4109" max="4109" width="8.33203125" bestFit="1" customWidth="1"/>
    <col min="4110" max="4110" width="7.44140625" bestFit="1" customWidth="1"/>
    <col min="4111" max="4111" width="3" customWidth="1"/>
    <col min="4112" max="4112" width="7.33203125" bestFit="1" customWidth="1"/>
    <col min="4113" max="4113" width="4.44140625" bestFit="1" customWidth="1"/>
    <col min="4114" max="4114" width="7.5546875" bestFit="1" customWidth="1"/>
    <col min="4115" max="4115" width="5.44140625" bestFit="1" customWidth="1"/>
    <col min="4116" max="4116" width="8.33203125" bestFit="1" customWidth="1"/>
    <col min="4117" max="4117" width="7.44140625" bestFit="1" customWidth="1"/>
    <col min="4118" max="4118" width="3" customWidth="1"/>
    <col min="4119" max="4119" width="7.33203125" bestFit="1" customWidth="1"/>
    <col min="4120" max="4120" width="4.44140625" bestFit="1" customWidth="1"/>
    <col min="4121" max="4121" width="7.5546875" bestFit="1" customWidth="1"/>
    <col min="4122" max="4122" width="5.44140625" bestFit="1" customWidth="1"/>
    <col min="4123" max="4123" width="8.33203125" bestFit="1" customWidth="1"/>
    <col min="4124" max="4124" width="7.44140625" bestFit="1" customWidth="1"/>
    <col min="4125" max="4125" width="3" customWidth="1"/>
    <col min="4126" max="4126" width="7.33203125" bestFit="1" customWidth="1"/>
    <col min="4127" max="4127" width="4.44140625" bestFit="1" customWidth="1"/>
    <col min="4353" max="4353" width="1.44140625" customWidth="1"/>
    <col min="4354" max="4354" width="7.33203125" bestFit="1" customWidth="1"/>
    <col min="4355" max="4355" width="4.44140625" bestFit="1" customWidth="1"/>
    <col min="4356" max="4356" width="7.5546875" bestFit="1" customWidth="1"/>
    <col min="4357" max="4357" width="5.44140625" bestFit="1" customWidth="1"/>
    <col min="4358" max="4358" width="8.33203125" bestFit="1" customWidth="1"/>
    <col min="4359" max="4359" width="7.44140625" bestFit="1" customWidth="1"/>
    <col min="4360" max="4360" width="3.33203125" customWidth="1"/>
    <col min="4361" max="4361" width="7.33203125" bestFit="1" customWidth="1"/>
    <col min="4362" max="4362" width="4.44140625" bestFit="1" customWidth="1"/>
    <col min="4363" max="4363" width="7.5546875" bestFit="1" customWidth="1"/>
    <col min="4364" max="4364" width="5.44140625" bestFit="1" customWidth="1"/>
    <col min="4365" max="4365" width="8.33203125" bestFit="1" customWidth="1"/>
    <col min="4366" max="4366" width="7.44140625" bestFit="1" customWidth="1"/>
    <col min="4367" max="4367" width="3" customWidth="1"/>
    <col min="4368" max="4368" width="7.33203125" bestFit="1" customWidth="1"/>
    <col min="4369" max="4369" width="4.44140625" bestFit="1" customWidth="1"/>
    <col min="4370" max="4370" width="7.5546875" bestFit="1" customWidth="1"/>
    <col min="4371" max="4371" width="5.44140625" bestFit="1" customWidth="1"/>
    <col min="4372" max="4372" width="8.33203125" bestFit="1" customWidth="1"/>
    <col min="4373" max="4373" width="7.44140625" bestFit="1" customWidth="1"/>
    <col min="4374" max="4374" width="3" customWidth="1"/>
    <col min="4375" max="4375" width="7.33203125" bestFit="1" customWidth="1"/>
    <col min="4376" max="4376" width="4.44140625" bestFit="1" customWidth="1"/>
    <col min="4377" max="4377" width="7.5546875" bestFit="1" customWidth="1"/>
    <col min="4378" max="4378" width="5.44140625" bestFit="1" customWidth="1"/>
    <col min="4379" max="4379" width="8.33203125" bestFit="1" customWidth="1"/>
    <col min="4380" max="4380" width="7.44140625" bestFit="1" customWidth="1"/>
    <col min="4381" max="4381" width="3" customWidth="1"/>
    <col min="4382" max="4382" width="7.33203125" bestFit="1" customWidth="1"/>
    <col min="4383" max="4383" width="4.44140625" bestFit="1" customWidth="1"/>
    <col min="4609" max="4609" width="1.44140625" customWidth="1"/>
    <col min="4610" max="4610" width="7.33203125" bestFit="1" customWidth="1"/>
    <col min="4611" max="4611" width="4.44140625" bestFit="1" customWidth="1"/>
    <col min="4612" max="4612" width="7.5546875" bestFit="1" customWidth="1"/>
    <col min="4613" max="4613" width="5.44140625" bestFit="1" customWidth="1"/>
    <col min="4614" max="4614" width="8.33203125" bestFit="1" customWidth="1"/>
    <col min="4615" max="4615" width="7.44140625" bestFit="1" customWidth="1"/>
    <col min="4616" max="4616" width="3.33203125" customWidth="1"/>
    <col min="4617" max="4617" width="7.33203125" bestFit="1" customWidth="1"/>
    <col min="4618" max="4618" width="4.44140625" bestFit="1" customWidth="1"/>
    <col min="4619" max="4619" width="7.5546875" bestFit="1" customWidth="1"/>
    <col min="4620" max="4620" width="5.44140625" bestFit="1" customWidth="1"/>
    <col min="4621" max="4621" width="8.33203125" bestFit="1" customWidth="1"/>
    <col min="4622" max="4622" width="7.44140625" bestFit="1" customWidth="1"/>
    <col min="4623" max="4623" width="3" customWidth="1"/>
    <col min="4624" max="4624" width="7.33203125" bestFit="1" customWidth="1"/>
    <col min="4625" max="4625" width="4.44140625" bestFit="1" customWidth="1"/>
    <col min="4626" max="4626" width="7.5546875" bestFit="1" customWidth="1"/>
    <col min="4627" max="4627" width="5.44140625" bestFit="1" customWidth="1"/>
    <col min="4628" max="4628" width="8.33203125" bestFit="1" customWidth="1"/>
    <col min="4629" max="4629" width="7.44140625" bestFit="1" customWidth="1"/>
    <col min="4630" max="4630" width="3" customWidth="1"/>
    <col min="4631" max="4631" width="7.33203125" bestFit="1" customWidth="1"/>
    <col min="4632" max="4632" width="4.44140625" bestFit="1" customWidth="1"/>
    <col min="4633" max="4633" width="7.5546875" bestFit="1" customWidth="1"/>
    <col min="4634" max="4634" width="5.44140625" bestFit="1" customWidth="1"/>
    <col min="4635" max="4635" width="8.33203125" bestFit="1" customWidth="1"/>
    <col min="4636" max="4636" width="7.44140625" bestFit="1" customWidth="1"/>
    <col min="4637" max="4637" width="3" customWidth="1"/>
    <col min="4638" max="4638" width="7.33203125" bestFit="1" customWidth="1"/>
    <col min="4639" max="4639" width="4.44140625" bestFit="1" customWidth="1"/>
    <col min="4865" max="4865" width="1.44140625" customWidth="1"/>
    <col min="4866" max="4866" width="7.33203125" bestFit="1" customWidth="1"/>
    <col min="4867" max="4867" width="4.44140625" bestFit="1" customWidth="1"/>
    <col min="4868" max="4868" width="7.5546875" bestFit="1" customWidth="1"/>
    <col min="4869" max="4869" width="5.44140625" bestFit="1" customWidth="1"/>
    <col min="4870" max="4870" width="8.33203125" bestFit="1" customWidth="1"/>
    <col min="4871" max="4871" width="7.44140625" bestFit="1" customWidth="1"/>
    <col min="4872" max="4872" width="3.33203125" customWidth="1"/>
    <col min="4873" max="4873" width="7.33203125" bestFit="1" customWidth="1"/>
    <col min="4874" max="4874" width="4.44140625" bestFit="1" customWidth="1"/>
    <col min="4875" max="4875" width="7.5546875" bestFit="1" customWidth="1"/>
    <col min="4876" max="4876" width="5.44140625" bestFit="1" customWidth="1"/>
    <col min="4877" max="4877" width="8.33203125" bestFit="1" customWidth="1"/>
    <col min="4878" max="4878" width="7.44140625" bestFit="1" customWidth="1"/>
    <col min="4879" max="4879" width="3" customWidth="1"/>
    <col min="4880" max="4880" width="7.33203125" bestFit="1" customWidth="1"/>
    <col min="4881" max="4881" width="4.44140625" bestFit="1" customWidth="1"/>
    <col min="4882" max="4882" width="7.5546875" bestFit="1" customWidth="1"/>
    <col min="4883" max="4883" width="5.44140625" bestFit="1" customWidth="1"/>
    <col min="4884" max="4884" width="8.33203125" bestFit="1" customWidth="1"/>
    <col min="4885" max="4885" width="7.44140625" bestFit="1" customWidth="1"/>
    <col min="4886" max="4886" width="3" customWidth="1"/>
    <col min="4887" max="4887" width="7.33203125" bestFit="1" customWidth="1"/>
    <col min="4888" max="4888" width="4.44140625" bestFit="1" customWidth="1"/>
    <col min="4889" max="4889" width="7.5546875" bestFit="1" customWidth="1"/>
    <col min="4890" max="4890" width="5.44140625" bestFit="1" customWidth="1"/>
    <col min="4891" max="4891" width="8.33203125" bestFit="1" customWidth="1"/>
    <col min="4892" max="4892" width="7.44140625" bestFit="1" customWidth="1"/>
    <col min="4893" max="4893" width="3" customWidth="1"/>
    <col min="4894" max="4894" width="7.33203125" bestFit="1" customWidth="1"/>
    <col min="4895" max="4895" width="4.44140625" bestFit="1" customWidth="1"/>
    <col min="5121" max="5121" width="1.44140625" customWidth="1"/>
    <col min="5122" max="5122" width="7.33203125" bestFit="1" customWidth="1"/>
    <col min="5123" max="5123" width="4.44140625" bestFit="1" customWidth="1"/>
    <col min="5124" max="5124" width="7.5546875" bestFit="1" customWidth="1"/>
    <col min="5125" max="5125" width="5.44140625" bestFit="1" customWidth="1"/>
    <col min="5126" max="5126" width="8.33203125" bestFit="1" customWidth="1"/>
    <col min="5127" max="5127" width="7.44140625" bestFit="1" customWidth="1"/>
    <col min="5128" max="5128" width="3.33203125" customWidth="1"/>
    <col min="5129" max="5129" width="7.33203125" bestFit="1" customWidth="1"/>
    <col min="5130" max="5130" width="4.44140625" bestFit="1" customWidth="1"/>
    <col min="5131" max="5131" width="7.5546875" bestFit="1" customWidth="1"/>
    <col min="5132" max="5132" width="5.44140625" bestFit="1" customWidth="1"/>
    <col min="5133" max="5133" width="8.33203125" bestFit="1" customWidth="1"/>
    <col min="5134" max="5134" width="7.44140625" bestFit="1" customWidth="1"/>
    <col min="5135" max="5135" width="3" customWidth="1"/>
    <col min="5136" max="5136" width="7.33203125" bestFit="1" customWidth="1"/>
    <col min="5137" max="5137" width="4.44140625" bestFit="1" customWidth="1"/>
    <col min="5138" max="5138" width="7.5546875" bestFit="1" customWidth="1"/>
    <col min="5139" max="5139" width="5.44140625" bestFit="1" customWidth="1"/>
    <col min="5140" max="5140" width="8.33203125" bestFit="1" customWidth="1"/>
    <col min="5141" max="5141" width="7.44140625" bestFit="1" customWidth="1"/>
    <col min="5142" max="5142" width="3" customWidth="1"/>
    <col min="5143" max="5143" width="7.33203125" bestFit="1" customWidth="1"/>
    <col min="5144" max="5144" width="4.44140625" bestFit="1" customWidth="1"/>
    <col min="5145" max="5145" width="7.5546875" bestFit="1" customWidth="1"/>
    <col min="5146" max="5146" width="5.44140625" bestFit="1" customWidth="1"/>
    <col min="5147" max="5147" width="8.33203125" bestFit="1" customWidth="1"/>
    <col min="5148" max="5148" width="7.44140625" bestFit="1" customWidth="1"/>
    <col min="5149" max="5149" width="3" customWidth="1"/>
    <col min="5150" max="5150" width="7.33203125" bestFit="1" customWidth="1"/>
    <col min="5151" max="5151" width="4.44140625" bestFit="1" customWidth="1"/>
    <col min="5377" max="5377" width="1.44140625" customWidth="1"/>
    <col min="5378" max="5378" width="7.33203125" bestFit="1" customWidth="1"/>
    <col min="5379" max="5379" width="4.44140625" bestFit="1" customWidth="1"/>
    <col min="5380" max="5380" width="7.5546875" bestFit="1" customWidth="1"/>
    <col min="5381" max="5381" width="5.44140625" bestFit="1" customWidth="1"/>
    <col min="5382" max="5382" width="8.33203125" bestFit="1" customWidth="1"/>
    <col min="5383" max="5383" width="7.44140625" bestFit="1" customWidth="1"/>
    <col min="5384" max="5384" width="3.33203125" customWidth="1"/>
    <col min="5385" max="5385" width="7.33203125" bestFit="1" customWidth="1"/>
    <col min="5386" max="5386" width="4.44140625" bestFit="1" customWidth="1"/>
    <col min="5387" max="5387" width="7.5546875" bestFit="1" customWidth="1"/>
    <col min="5388" max="5388" width="5.44140625" bestFit="1" customWidth="1"/>
    <col min="5389" max="5389" width="8.33203125" bestFit="1" customWidth="1"/>
    <col min="5390" max="5390" width="7.44140625" bestFit="1" customWidth="1"/>
    <col min="5391" max="5391" width="3" customWidth="1"/>
    <col min="5392" max="5392" width="7.33203125" bestFit="1" customWidth="1"/>
    <col min="5393" max="5393" width="4.44140625" bestFit="1" customWidth="1"/>
    <col min="5394" max="5394" width="7.5546875" bestFit="1" customWidth="1"/>
    <col min="5395" max="5395" width="5.44140625" bestFit="1" customWidth="1"/>
    <col min="5396" max="5396" width="8.33203125" bestFit="1" customWidth="1"/>
    <col min="5397" max="5397" width="7.44140625" bestFit="1" customWidth="1"/>
    <col min="5398" max="5398" width="3" customWidth="1"/>
    <col min="5399" max="5399" width="7.33203125" bestFit="1" customWidth="1"/>
    <col min="5400" max="5400" width="4.44140625" bestFit="1" customWidth="1"/>
    <col min="5401" max="5401" width="7.5546875" bestFit="1" customWidth="1"/>
    <col min="5402" max="5402" width="5.44140625" bestFit="1" customWidth="1"/>
    <col min="5403" max="5403" width="8.33203125" bestFit="1" customWidth="1"/>
    <col min="5404" max="5404" width="7.44140625" bestFit="1" customWidth="1"/>
    <col min="5405" max="5405" width="3" customWidth="1"/>
    <col min="5406" max="5406" width="7.33203125" bestFit="1" customWidth="1"/>
    <col min="5407" max="5407" width="4.44140625" bestFit="1" customWidth="1"/>
    <col min="5633" max="5633" width="1.44140625" customWidth="1"/>
    <col min="5634" max="5634" width="7.33203125" bestFit="1" customWidth="1"/>
    <col min="5635" max="5635" width="4.44140625" bestFit="1" customWidth="1"/>
    <col min="5636" max="5636" width="7.5546875" bestFit="1" customWidth="1"/>
    <col min="5637" max="5637" width="5.44140625" bestFit="1" customWidth="1"/>
    <col min="5638" max="5638" width="8.33203125" bestFit="1" customWidth="1"/>
    <col min="5639" max="5639" width="7.44140625" bestFit="1" customWidth="1"/>
    <col min="5640" max="5640" width="3.33203125" customWidth="1"/>
    <col min="5641" max="5641" width="7.33203125" bestFit="1" customWidth="1"/>
    <col min="5642" max="5642" width="4.44140625" bestFit="1" customWidth="1"/>
    <col min="5643" max="5643" width="7.5546875" bestFit="1" customWidth="1"/>
    <col min="5644" max="5644" width="5.44140625" bestFit="1" customWidth="1"/>
    <col min="5645" max="5645" width="8.33203125" bestFit="1" customWidth="1"/>
    <col min="5646" max="5646" width="7.44140625" bestFit="1" customWidth="1"/>
    <col min="5647" max="5647" width="3" customWidth="1"/>
    <col min="5648" max="5648" width="7.33203125" bestFit="1" customWidth="1"/>
    <col min="5649" max="5649" width="4.44140625" bestFit="1" customWidth="1"/>
    <col min="5650" max="5650" width="7.5546875" bestFit="1" customWidth="1"/>
    <col min="5651" max="5651" width="5.44140625" bestFit="1" customWidth="1"/>
    <col min="5652" max="5652" width="8.33203125" bestFit="1" customWidth="1"/>
    <col min="5653" max="5653" width="7.44140625" bestFit="1" customWidth="1"/>
    <col min="5654" max="5654" width="3" customWidth="1"/>
    <col min="5655" max="5655" width="7.33203125" bestFit="1" customWidth="1"/>
    <col min="5656" max="5656" width="4.44140625" bestFit="1" customWidth="1"/>
    <col min="5657" max="5657" width="7.5546875" bestFit="1" customWidth="1"/>
    <col min="5658" max="5658" width="5.44140625" bestFit="1" customWidth="1"/>
    <col min="5659" max="5659" width="8.33203125" bestFit="1" customWidth="1"/>
    <col min="5660" max="5660" width="7.44140625" bestFit="1" customWidth="1"/>
    <col min="5661" max="5661" width="3" customWidth="1"/>
    <col min="5662" max="5662" width="7.33203125" bestFit="1" customWidth="1"/>
    <col min="5663" max="5663" width="4.44140625" bestFit="1" customWidth="1"/>
    <col min="5889" max="5889" width="1.44140625" customWidth="1"/>
    <col min="5890" max="5890" width="7.33203125" bestFit="1" customWidth="1"/>
    <col min="5891" max="5891" width="4.44140625" bestFit="1" customWidth="1"/>
    <col min="5892" max="5892" width="7.5546875" bestFit="1" customWidth="1"/>
    <col min="5893" max="5893" width="5.44140625" bestFit="1" customWidth="1"/>
    <col min="5894" max="5894" width="8.33203125" bestFit="1" customWidth="1"/>
    <col min="5895" max="5895" width="7.44140625" bestFit="1" customWidth="1"/>
    <col min="5896" max="5896" width="3.33203125" customWidth="1"/>
    <col min="5897" max="5897" width="7.33203125" bestFit="1" customWidth="1"/>
    <col min="5898" max="5898" width="4.44140625" bestFit="1" customWidth="1"/>
    <col min="5899" max="5899" width="7.5546875" bestFit="1" customWidth="1"/>
    <col min="5900" max="5900" width="5.44140625" bestFit="1" customWidth="1"/>
    <col min="5901" max="5901" width="8.33203125" bestFit="1" customWidth="1"/>
    <col min="5902" max="5902" width="7.44140625" bestFit="1" customWidth="1"/>
    <col min="5903" max="5903" width="3" customWidth="1"/>
    <col min="5904" max="5904" width="7.33203125" bestFit="1" customWidth="1"/>
    <col min="5905" max="5905" width="4.44140625" bestFit="1" customWidth="1"/>
    <col min="5906" max="5906" width="7.5546875" bestFit="1" customWidth="1"/>
    <col min="5907" max="5907" width="5.44140625" bestFit="1" customWidth="1"/>
    <col min="5908" max="5908" width="8.33203125" bestFit="1" customWidth="1"/>
    <col min="5909" max="5909" width="7.44140625" bestFit="1" customWidth="1"/>
    <col min="5910" max="5910" width="3" customWidth="1"/>
    <col min="5911" max="5911" width="7.33203125" bestFit="1" customWidth="1"/>
    <col min="5912" max="5912" width="4.44140625" bestFit="1" customWidth="1"/>
    <col min="5913" max="5913" width="7.5546875" bestFit="1" customWidth="1"/>
    <col min="5914" max="5914" width="5.44140625" bestFit="1" customWidth="1"/>
    <col min="5915" max="5915" width="8.33203125" bestFit="1" customWidth="1"/>
    <col min="5916" max="5916" width="7.44140625" bestFit="1" customWidth="1"/>
    <col min="5917" max="5917" width="3" customWidth="1"/>
    <col min="5918" max="5918" width="7.33203125" bestFit="1" customWidth="1"/>
    <col min="5919" max="5919" width="4.44140625" bestFit="1" customWidth="1"/>
    <col min="6145" max="6145" width="1.44140625" customWidth="1"/>
    <col min="6146" max="6146" width="7.33203125" bestFit="1" customWidth="1"/>
    <col min="6147" max="6147" width="4.44140625" bestFit="1" customWidth="1"/>
    <col min="6148" max="6148" width="7.5546875" bestFit="1" customWidth="1"/>
    <col min="6149" max="6149" width="5.44140625" bestFit="1" customWidth="1"/>
    <col min="6150" max="6150" width="8.33203125" bestFit="1" customWidth="1"/>
    <col min="6151" max="6151" width="7.44140625" bestFit="1" customWidth="1"/>
    <col min="6152" max="6152" width="3.33203125" customWidth="1"/>
    <col min="6153" max="6153" width="7.33203125" bestFit="1" customWidth="1"/>
    <col min="6154" max="6154" width="4.44140625" bestFit="1" customWidth="1"/>
    <col min="6155" max="6155" width="7.5546875" bestFit="1" customWidth="1"/>
    <col min="6156" max="6156" width="5.44140625" bestFit="1" customWidth="1"/>
    <col min="6157" max="6157" width="8.33203125" bestFit="1" customWidth="1"/>
    <col min="6158" max="6158" width="7.44140625" bestFit="1" customWidth="1"/>
    <col min="6159" max="6159" width="3" customWidth="1"/>
    <col min="6160" max="6160" width="7.33203125" bestFit="1" customWidth="1"/>
    <col min="6161" max="6161" width="4.44140625" bestFit="1" customWidth="1"/>
    <col min="6162" max="6162" width="7.5546875" bestFit="1" customWidth="1"/>
    <col min="6163" max="6163" width="5.44140625" bestFit="1" customWidth="1"/>
    <col min="6164" max="6164" width="8.33203125" bestFit="1" customWidth="1"/>
    <col min="6165" max="6165" width="7.44140625" bestFit="1" customWidth="1"/>
    <col min="6166" max="6166" width="3" customWidth="1"/>
    <col min="6167" max="6167" width="7.33203125" bestFit="1" customWidth="1"/>
    <col min="6168" max="6168" width="4.44140625" bestFit="1" customWidth="1"/>
    <col min="6169" max="6169" width="7.5546875" bestFit="1" customWidth="1"/>
    <col min="6170" max="6170" width="5.44140625" bestFit="1" customWidth="1"/>
    <col min="6171" max="6171" width="8.33203125" bestFit="1" customWidth="1"/>
    <col min="6172" max="6172" width="7.44140625" bestFit="1" customWidth="1"/>
    <col min="6173" max="6173" width="3" customWidth="1"/>
    <col min="6174" max="6174" width="7.33203125" bestFit="1" customWidth="1"/>
    <col min="6175" max="6175" width="4.44140625" bestFit="1" customWidth="1"/>
    <col min="6401" max="6401" width="1.44140625" customWidth="1"/>
    <col min="6402" max="6402" width="7.33203125" bestFit="1" customWidth="1"/>
    <col min="6403" max="6403" width="4.44140625" bestFit="1" customWidth="1"/>
    <col min="6404" max="6404" width="7.5546875" bestFit="1" customWidth="1"/>
    <col min="6405" max="6405" width="5.44140625" bestFit="1" customWidth="1"/>
    <col min="6406" max="6406" width="8.33203125" bestFit="1" customWidth="1"/>
    <col min="6407" max="6407" width="7.44140625" bestFit="1" customWidth="1"/>
    <col min="6408" max="6408" width="3.33203125" customWidth="1"/>
    <col min="6409" max="6409" width="7.33203125" bestFit="1" customWidth="1"/>
    <col min="6410" max="6410" width="4.44140625" bestFit="1" customWidth="1"/>
    <col min="6411" max="6411" width="7.5546875" bestFit="1" customWidth="1"/>
    <col min="6412" max="6412" width="5.44140625" bestFit="1" customWidth="1"/>
    <col min="6413" max="6413" width="8.33203125" bestFit="1" customWidth="1"/>
    <col min="6414" max="6414" width="7.44140625" bestFit="1" customWidth="1"/>
    <col min="6415" max="6415" width="3" customWidth="1"/>
    <col min="6416" max="6416" width="7.33203125" bestFit="1" customWidth="1"/>
    <col min="6417" max="6417" width="4.44140625" bestFit="1" customWidth="1"/>
    <col min="6418" max="6418" width="7.5546875" bestFit="1" customWidth="1"/>
    <col min="6419" max="6419" width="5.44140625" bestFit="1" customWidth="1"/>
    <col min="6420" max="6420" width="8.33203125" bestFit="1" customWidth="1"/>
    <col min="6421" max="6421" width="7.44140625" bestFit="1" customWidth="1"/>
    <col min="6422" max="6422" width="3" customWidth="1"/>
    <col min="6423" max="6423" width="7.33203125" bestFit="1" customWidth="1"/>
    <col min="6424" max="6424" width="4.44140625" bestFit="1" customWidth="1"/>
    <col min="6425" max="6425" width="7.5546875" bestFit="1" customWidth="1"/>
    <col min="6426" max="6426" width="5.44140625" bestFit="1" customWidth="1"/>
    <col min="6427" max="6427" width="8.33203125" bestFit="1" customWidth="1"/>
    <col min="6428" max="6428" width="7.44140625" bestFit="1" customWidth="1"/>
    <col min="6429" max="6429" width="3" customWidth="1"/>
    <col min="6430" max="6430" width="7.33203125" bestFit="1" customWidth="1"/>
    <col min="6431" max="6431" width="4.44140625" bestFit="1" customWidth="1"/>
    <col min="6657" max="6657" width="1.44140625" customWidth="1"/>
    <col min="6658" max="6658" width="7.33203125" bestFit="1" customWidth="1"/>
    <col min="6659" max="6659" width="4.44140625" bestFit="1" customWidth="1"/>
    <col min="6660" max="6660" width="7.5546875" bestFit="1" customWidth="1"/>
    <col min="6661" max="6661" width="5.44140625" bestFit="1" customWidth="1"/>
    <col min="6662" max="6662" width="8.33203125" bestFit="1" customWidth="1"/>
    <col min="6663" max="6663" width="7.44140625" bestFit="1" customWidth="1"/>
    <col min="6664" max="6664" width="3.33203125" customWidth="1"/>
    <col min="6665" max="6665" width="7.33203125" bestFit="1" customWidth="1"/>
    <col min="6666" max="6666" width="4.44140625" bestFit="1" customWidth="1"/>
    <col min="6667" max="6667" width="7.5546875" bestFit="1" customWidth="1"/>
    <col min="6668" max="6668" width="5.44140625" bestFit="1" customWidth="1"/>
    <col min="6669" max="6669" width="8.33203125" bestFit="1" customWidth="1"/>
    <col min="6670" max="6670" width="7.44140625" bestFit="1" customWidth="1"/>
    <col min="6671" max="6671" width="3" customWidth="1"/>
    <col min="6672" max="6672" width="7.33203125" bestFit="1" customWidth="1"/>
    <col min="6673" max="6673" width="4.44140625" bestFit="1" customWidth="1"/>
    <col min="6674" max="6674" width="7.5546875" bestFit="1" customWidth="1"/>
    <col min="6675" max="6675" width="5.44140625" bestFit="1" customWidth="1"/>
    <col min="6676" max="6676" width="8.33203125" bestFit="1" customWidth="1"/>
    <col min="6677" max="6677" width="7.44140625" bestFit="1" customWidth="1"/>
    <col min="6678" max="6678" width="3" customWidth="1"/>
    <col min="6679" max="6679" width="7.33203125" bestFit="1" customWidth="1"/>
    <col min="6680" max="6680" width="4.44140625" bestFit="1" customWidth="1"/>
    <col min="6681" max="6681" width="7.5546875" bestFit="1" customWidth="1"/>
    <col min="6682" max="6682" width="5.44140625" bestFit="1" customWidth="1"/>
    <col min="6683" max="6683" width="8.33203125" bestFit="1" customWidth="1"/>
    <col min="6684" max="6684" width="7.44140625" bestFit="1" customWidth="1"/>
    <col min="6685" max="6685" width="3" customWidth="1"/>
    <col min="6686" max="6686" width="7.33203125" bestFit="1" customWidth="1"/>
    <col min="6687" max="6687" width="4.44140625" bestFit="1" customWidth="1"/>
    <col min="6913" max="6913" width="1.44140625" customWidth="1"/>
    <col min="6914" max="6914" width="7.33203125" bestFit="1" customWidth="1"/>
    <col min="6915" max="6915" width="4.44140625" bestFit="1" customWidth="1"/>
    <col min="6916" max="6916" width="7.5546875" bestFit="1" customWidth="1"/>
    <col min="6917" max="6917" width="5.44140625" bestFit="1" customWidth="1"/>
    <col min="6918" max="6918" width="8.33203125" bestFit="1" customWidth="1"/>
    <col min="6919" max="6919" width="7.44140625" bestFit="1" customWidth="1"/>
    <col min="6920" max="6920" width="3.33203125" customWidth="1"/>
    <col min="6921" max="6921" width="7.33203125" bestFit="1" customWidth="1"/>
    <col min="6922" max="6922" width="4.44140625" bestFit="1" customWidth="1"/>
    <col min="6923" max="6923" width="7.5546875" bestFit="1" customWidth="1"/>
    <col min="6924" max="6924" width="5.44140625" bestFit="1" customWidth="1"/>
    <col min="6925" max="6925" width="8.33203125" bestFit="1" customWidth="1"/>
    <col min="6926" max="6926" width="7.44140625" bestFit="1" customWidth="1"/>
    <col min="6927" max="6927" width="3" customWidth="1"/>
    <col min="6928" max="6928" width="7.33203125" bestFit="1" customWidth="1"/>
    <col min="6929" max="6929" width="4.44140625" bestFit="1" customWidth="1"/>
    <col min="6930" max="6930" width="7.5546875" bestFit="1" customWidth="1"/>
    <col min="6931" max="6931" width="5.44140625" bestFit="1" customWidth="1"/>
    <col min="6932" max="6932" width="8.33203125" bestFit="1" customWidth="1"/>
    <col min="6933" max="6933" width="7.44140625" bestFit="1" customWidth="1"/>
    <col min="6934" max="6934" width="3" customWidth="1"/>
    <col min="6935" max="6935" width="7.33203125" bestFit="1" customWidth="1"/>
    <col min="6936" max="6936" width="4.44140625" bestFit="1" customWidth="1"/>
    <col min="6937" max="6937" width="7.5546875" bestFit="1" customWidth="1"/>
    <col min="6938" max="6938" width="5.44140625" bestFit="1" customWidth="1"/>
    <col min="6939" max="6939" width="8.33203125" bestFit="1" customWidth="1"/>
    <col min="6940" max="6940" width="7.44140625" bestFit="1" customWidth="1"/>
    <col min="6941" max="6941" width="3" customWidth="1"/>
    <col min="6942" max="6942" width="7.33203125" bestFit="1" customWidth="1"/>
    <col min="6943" max="6943" width="4.44140625" bestFit="1" customWidth="1"/>
    <col min="7169" max="7169" width="1.44140625" customWidth="1"/>
    <col min="7170" max="7170" width="7.33203125" bestFit="1" customWidth="1"/>
    <col min="7171" max="7171" width="4.44140625" bestFit="1" customWidth="1"/>
    <col min="7172" max="7172" width="7.5546875" bestFit="1" customWidth="1"/>
    <col min="7173" max="7173" width="5.44140625" bestFit="1" customWidth="1"/>
    <col min="7174" max="7174" width="8.33203125" bestFit="1" customWidth="1"/>
    <col min="7175" max="7175" width="7.44140625" bestFit="1" customWidth="1"/>
    <col min="7176" max="7176" width="3.33203125" customWidth="1"/>
    <col min="7177" max="7177" width="7.33203125" bestFit="1" customWidth="1"/>
    <col min="7178" max="7178" width="4.44140625" bestFit="1" customWidth="1"/>
    <col min="7179" max="7179" width="7.5546875" bestFit="1" customWidth="1"/>
    <col min="7180" max="7180" width="5.44140625" bestFit="1" customWidth="1"/>
    <col min="7181" max="7181" width="8.33203125" bestFit="1" customWidth="1"/>
    <col min="7182" max="7182" width="7.44140625" bestFit="1" customWidth="1"/>
    <col min="7183" max="7183" width="3" customWidth="1"/>
    <col min="7184" max="7184" width="7.33203125" bestFit="1" customWidth="1"/>
    <col min="7185" max="7185" width="4.44140625" bestFit="1" customWidth="1"/>
    <col min="7186" max="7186" width="7.5546875" bestFit="1" customWidth="1"/>
    <col min="7187" max="7187" width="5.44140625" bestFit="1" customWidth="1"/>
    <col min="7188" max="7188" width="8.33203125" bestFit="1" customWidth="1"/>
    <col min="7189" max="7189" width="7.44140625" bestFit="1" customWidth="1"/>
    <col min="7190" max="7190" width="3" customWidth="1"/>
    <col min="7191" max="7191" width="7.33203125" bestFit="1" customWidth="1"/>
    <col min="7192" max="7192" width="4.44140625" bestFit="1" customWidth="1"/>
    <col min="7193" max="7193" width="7.5546875" bestFit="1" customWidth="1"/>
    <col min="7194" max="7194" width="5.44140625" bestFit="1" customWidth="1"/>
    <col min="7195" max="7195" width="8.33203125" bestFit="1" customWidth="1"/>
    <col min="7196" max="7196" width="7.44140625" bestFit="1" customWidth="1"/>
    <col min="7197" max="7197" width="3" customWidth="1"/>
    <col min="7198" max="7198" width="7.33203125" bestFit="1" customWidth="1"/>
    <col min="7199" max="7199" width="4.44140625" bestFit="1" customWidth="1"/>
    <col min="7425" max="7425" width="1.44140625" customWidth="1"/>
    <col min="7426" max="7426" width="7.33203125" bestFit="1" customWidth="1"/>
    <col min="7427" max="7427" width="4.44140625" bestFit="1" customWidth="1"/>
    <col min="7428" max="7428" width="7.5546875" bestFit="1" customWidth="1"/>
    <col min="7429" max="7429" width="5.44140625" bestFit="1" customWidth="1"/>
    <col min="7430" max="7430" width="8.33203125" bestFit="1" customWidth="1"/>
    <col min="7431" max="7431" width="7.44140625" bestFit="1" customWidth="1"/>
    <col min="7432" max="7432" width="3.33203125" customWidth="1"/>
    <col min="7433" max="7433" width="7.33203125" bestFit="1" customWidth="1"/>
    <col min="7434" max="7434" width="4.44140625" bestFit="1" customWidth="1"/>
    <col min="7435" max="7435" width="7.5546875" bestFit="1" customWidth="1"/>
    <col min="7436" max="7436" width="5.44140625" bestFit="1" customWidth="1"/>
    <col min="7437" max="7437" width="8.33203125" bestFit="1" customWidth="1"/>
    <col min="7438" max="7438" width="7.44140625" bestFit="1" customWidth="1"/>
    <col min="7439" max="7439" width="3" customWidth="1"/>
    <col min="7440" max="7440" width="7.33203125" bestFit="1" customWidth="1"/>
    <col min="7441" max="7441" width="4.44140625" bestFit="1" customWidth="1"/>
    <col min="7442" max="7442" width="7.5546875" bestFit="1" customWidth="1"/>
    <col min="7443" max="7443" width="5.44140625" bestFit="1" customWidth="1"/>
    <col min="7444" max="7444" width="8.33203125" bestFit="1" customWidth="1"/>
    <col min="7445" max="7445" width="7.44140625" bestFit="1" customWidth="1"/>
    <col min="7446" max="7446" width="3" customWidth="1"/>
    <col min="7447" max="7447" width="7.33203125" bestFit="1" customWidth="1"/>
    <col min="7448" max="7448" width="4.44140625" bestFit="1" customWidth="1"/>
    <col min="7449" max="7449" width="7.5546875" bestFit="1" customWidth="1"/>
    <col min="7450" max="7450" width="5.44140625" bestFit="1" customWidth="1"/>
    <col min="7451" max="7451" width="8.33203125" bestFit="1" customWidth="1"/>
    <col min="7452" max="7452" width="7.44140625" bestFit="1" customWidth="1"/>
    <col min="7453" max="7453" width="3" customWidth="1"/>
    <col min="7454" max="7454" width="7.33203125" bestFit="1" customWidth="1"/>
    <col min="7455" max="7455" width="4.44140625" bestFit="1" customWidth="1"/>
    <col min="7681" max="7681" width="1.44140625" customWidth="1"/>
    <col min="7682" max="7682" width="7.33203125" bestFit="1" customWidth="1"/>
    <col min="7683" max="7683" width="4.44140625" bestFit="1" customWidth="1"/>
    <col min="7684" max="7684" width="7.5546875" bestFit="1" customWidth="1"/>
    <col min="7685" max="7685" width="5.44140625" bestFit="1" customWidth="1"/>
    <col min="7686" max="7686" width="8.33203125" bestFit="1" customWidth="1"/>
    <col min="7687" max="7687" width="7.44140625" bestFit="1" customWidth="1"/>
    <col min="7688" max="7688" width="3.33203125" customWidth="1"/>
    <col min="7689" max="7689" width="7.33203125" bestFit="1" customWidth="1"/>
    <col min="7690" max="7690" width="4.44140625" bestFit="1" customWidth="1"/>
    <col min="7691" max="7691" width="7.5546875" bestFit="1" customWidth="1"/>
    <col min="7692" max="7692" width="5.44140625" bestFit="1" customWidth="1"/>
    <col min="7693" max="7693" width="8.33203125" bestFit="1" customWidth="1"/>
    <col min="7694" max="7694" width="7.44140625" bestFit="1" customWidth="1"/>
    <col min="7695" max="7695" width="3" customWidth="1"/>
    <col min="7696" max="7696" width="7.33203125" bestFit="1" customWidth="1"/>
    <col min="7697" max="7697" width="4.44140625" bestFit="1" customWidth="1"/>
    <col min="7698" max="7698" width="7.5546875" bestFit="1" customWidth="1"/>
    <col min="7699" max="7699" width="5.44140625" bestFit="1" customWidth="1"/>
    <col min="7700" max="7700" width="8.33203125" bestFit="1" customWidth="1"/>
    <col min="7701" max="7701" width="7.44140625" bestFit="1" customWidth="1"/>
    <col min="7702" max="7702" width="3" customWidth="1"/>
    <col min="7703" max="7703" width="7.33203125" bestFit="1" customWidth="1"/>
    <col min="7704" max="7704" width="4.44140625" bestFit="1" customWidth="1"/>
    <col min="7705" max="7705" width="7.5546875" bestFit="1" customWidth="1"/>
    <col min="7706" max="7706" width="5.44140625" bestFit="1" customWidth="1"/>
    <col min="7707" max="7707" width="8.33203125" bestFit="1" customWidth="1"/>
    <col min="7708" max="7708" width="7.44140625" bestFit="1" customWidth="1"/>
    <col min="7709" max="7709" width="3" customWidth="1"/>
    <col min="7710" max="7710" width="7.33203125" bestFit="1" customWidth="1"/>
    <col min="7711" max="7711" width="4.44140625" bestFit="1" customWidth="1"/>
    <col min="7937" max="7937" width="1.44140625" customWidth="1"/>
    <col min="7938" max="7938" width="7.33203125" bestFit="1" customWidth="1"/>
    <col min="7939" max="7939" width="4.44140625" bestFit="1" customWidth="1"/>
    <col min="7940" max="7940" width="7.5546875" bestFit="1" customWidth="1"/>
    <col min="7941" max="7941" width="5.44140625" bestFit="1" customWidth="1"/>
    <col min="7942" max="7942" width="8.33203125" bestFit="1" customWidth="1"/>
    <col min="7943" max="7943" width="7.44140625" bestFit="1" customWidth="1"/>
    <col min="7944" max="7944" width="3.33203125" customWidth="1"/>
    <col min="7945" max="7945" width="7.33203125" bestFit="1" customWidth="1"/>
    <col min="7946" max="7946" width="4.44140625" bestFit="1" customWidth="1"/>
    <col min="7947" max="7947" width="7.5546875" bestFit="1" customWidth="1"/>
    <col min="7948" max="7948" width="5.44140625" bestFit="1" customWidth="1"/>
    <col min="7949" max="7949" width="8.33203125" bestFit="1" customWidth="1"/>
    <col min="7950" max="7950" width="7.44140625" bestFit="1" customWidth="1"/>
    <col min="7951" max="7951" width="3" customWidth="1"/>
    <col min="7952" max="7952" width="7.33203125" bestFit="1" customWidth="1"/>
    <col min="7953" max="7953" width="4.44140625" bestFit="1" customWidth="1"/>
    <col min="7954" max="7954" width="7.5546875" bestFit="1" customWidth="1"/>
    <col min="7955" max="7955" width="5.44140625" bestFit="1" customWidth="1"/>
    <col min="7956" max="7956" width="8.33203125" bestFit="1" customWidth="1"/>
    <col min="7957" max="7957" width="7.44140625" bestFit="1" customWidth="1"/>
    <col min="7958" max="7958" width="3" customWidth="1"/>
    <col min="7959" max="7959" width="7.33203125" bestFit="1" customWidth="1"/>
    <col min="7960" max="7960" width="4.44140625" bestFit="1" customWidth="1"/>
    <col min="7961" max="7961" width="7.5546875" bestFit="1" customWidth="1"/>
    <col min="7962" max="7962" width="5.44140625" bestFit="1" customWidth="1"/>
    <col min="7963" max="7963" width="8.33203125" bestFit="1" customWidth="1"/>
    <col min="7964" max="7964" width="7.44140625" bestFit="1" customWidth="1"/>
    <col min="7965" max="7965" width="3" customWidth="1"/>
    <col min="7966" max="7966" width="7.33203125" bestFit="1" customWidth="1"/>
    <col min="7967" max="7967" width="4.44140625" bestFit="1" customWidth="1"/>
    <col min="8193" max="8193" width="1.44140625" customWidth="1"/>
    <col min="8194" max="8194" width="7.33203125" bestFit="1" customWidth="1"/>
    <col min="8195" max="8195" width="4.44140625" bestFit="1" customWidth="1"/>
    <col min="8196" max="8196" width="7.5546875" bestFit="1" customWidth="1"/>
    <col min="8197" max="8197" width="5.44140625" bestFit="1" customWidth="1"/>
    <col min="8198" max="8198" width="8.33203125" bestFit="1" customWidth="1"/>
    <col min="8199" max="8199" width="7.44140625" bestFit="1" customWidth="1"/>
    <col min="8200" max="8200" width="3.33203125" customWidth="1"/>
    <col min="8201" max="8201" width="7.33203125" bestFit="1" customWidth="1"/>
    <col min="8202" max="8202" width="4.44140625" bestFit="1" customWidth="1"/>
    <col min="8203" max="8203" width="7.5546875" bestFit="1" customWidth="1"/>
    <col min="8204" max="8204" width="5.44140625" bestFit="1" customWidth="1"/>
    <col min="8205" max="8205" width="8.33203125" bestFit="1" customWidth="1"/>
    <col min="8206" max="8206" width="7.44140625" bestFit="1" customWidth="1"/>
    <col min="8207" max="8207" width="3" customWidth="1"/>
    <col min="8208" max="8208" width="7.33203125" bestFit="1" customWidth="1"/>
    <col min="8209" max="8209" width="4.44140625" bestFit="1" customWidth="1"/>
    <col min="8210" max="8210" width="7.5546875" bestFit="1" customWidth="1"/>
    <col min="8211" max="8211" width="5.44140625" bestFit="1" customWidth="1"/>
    <col min="8212" max="8212" width="8.33203125" bestFit="1" customWidth="1"/>
    <col min="8213" max="8213" width="7.44140625" bestFit="1" customWidth="1"/>
    <col min="8214" max="8214" width="3" customWidth="1"/>
    <col min="8215" max="8215" width="7.33203125" bestFit="1" customWidth="1"/>
    <col min="8216" max="8216" width="4.44140625" bestFit="1" customWidth="1"/>
    <col min="8217" max="8217" width="7.5546875" bestFit="1" customWidth="1"/>
    <col min="8218" max="8218" width="5.44140625" bestFit="1" customWidth="1"/>
    <col min="8219" max="8219" width="8.33203125" bestFit="1" customWidth="1"/>
    <col min="8220" max="8220" width="7.44140625" bestFit="1" customWidth="1"/>
    <col min="8221" max="8221" width="3" customWidth="1"/>
    <col min="8222" max="8222" width="7.33203125" bestFit="1" customWidth="1"/>
    <col min="8223" max="8223" width="4.44140625" bestFit="1" customWidth="1"/>
    <col min="8449" max="8449" width="1.44140625" customWidth="1"/>
    <col min="8450" max="8450" width="7.33203125" bestFit="1" customWidth="1"/>
    <col min="8451" max="8451" width="4.44140625" bestFit="1" customWidth="1"/>
    <col min="8452" max="8452" width="7.5546875" bestFit="1" customWidth="1"/>
    <col min="8453" max="8453" width="5.44140625" bestFit="1" customWidth="1"/>
    <col min="8454" max="8454" width="8.33203125" bestFit="1" customWidth="1"/>
    <col min="8455" max="8455" width="7.44140625" bestFit="1" customWidth="1"/>
    <col min="8456" max="8456" width="3.33203125" customWidth="1"/>
    <col min="8457" max="8457" width="7.33203125" bestFit="1" customWidth="1"/>
    <col min="8458" max="8458" width="4.44140625" bestFit="1" customWidth="1"/>
    <col min="8459" max="8459" width="7.5546875" bestFit="1" customWidth="1"/>
    <col min="8460" max="8460" width="5.44140625" bestFit="1" customWidth="1"/>
    <col min="8461" max="8461" width="8.33203125" bestFit="1" customWidth="1"/>
    <col min="8462" max="8462" width="7.44140625" bestFit="1" customWidth="1"/>
    <col min="8463" max="8463" width="3" customWidth="1"/>
    <col min="8464" max="8464" width="7.33203125" bestFit="1" customWidth="1"/>
    <col min="8465" max="8465" width="4.44140625" bestFit="1" customWidth="1"/>
    <col min="8466" max="8466" width="7.5546875" bestFit="1" customWidth="1"/>
    <col min="8467" max="8467" width="5.44140625" bestFit="1" customWidth="1"/>
    <col min="8468" max="8468" width="8.33203125" bestFit="1" customWidth="1"/>
    <col min="8469" max="8469" width="7.44140625" bestFit="1" customWidth="1"/>
    <col min="8470" max="8470" width="3" customWidth="1"/>
    <col min="8471" max="8471" width="7.33203125" bestFit="1" customWidth="1"/>
    <col min="8472" max="8472" width="4.44140625" bestFit="1" customWidth="1"/>
    <col min="8473" max="8473" width="7.5546875" bestFit="1" customWidth="1"/>
    <col min="8474" max="8474" width="5.44140625" bestFit="1" customWidth="1"/>
    <col min="8475" max="8475" width="8.33203125" bestFit="1" customWidth="1"/>
    <col min="8476" max="8476" width="7.44140625" bestFit="1" customWidth="1"/>
    <col min="8477" max="8477" width="3" customWidth="1"/>
    <col min="8478" max="8478" width="7.33203125" bestFit="1" customWidth="1"/>
    <col min="8479" max="8479" width="4.44140625" bestFit="1" customWidth="1"/>
    <col min="8705" max="8705" width="1.44140625" customWidth="1"/>
    <col min="8706" max="8706" width="7.33203125" bestFit="1" customWidth="1"/>
    <col min="8707" max="8707" width="4.44140625" bestFit="1" customWidth="1"/>
    <col min="8708" max="8708" width="7.5546875" bestFit="1" customWidth="1"/>
    <col min="8709" max="8709" width="5.44140625" bestFit="1" customWidth="1"/>
    <col min="8710" max="8710" width="8.33203125" bestFit="1" customWidth="1"/>
    <col min="8711" max="8711" width="7.44140625" bestFit="1" customWidth="1"/>
    <col min="8712" max="8712" width="3.33203125" customWidth="1"/>
    <col min="8713" max="8713" width="7.33203125" bestFit="1" customWidth="1"/>
    <col min="8714" max="8714" width="4.44140625" bestFit="1" customWidth="1"/>
    <col min="8715" max="8715" width="7.5546875" bestFit="1" customWidth="1"/>
    <col min="8716" max="8716" width="5.44140625" bestFit="1" customWidth="1"/>
    <col min="8717" max="8717" width="8.33203125" bestFit="1" customWidth="1"/>
    <col min="8718" max="8718" width="7.44140625" bestFit="1" customWidth="1"/>
    <col min="8719" max="8719" width="3" customWidth="1"/>
    <col min="8720" max="8720" width="7.33203125" bestFit="1" customWidth="1"/>
    <col min="8721" max="8721" width="4.44140625" bestFit="1" customWidth="1"/>
    <col min="8722" max="8722" width="7.5546875" bestFit="1" customWidth="1"/>
    <col min="8723" max="8723" width="5.44140625" bestFit="1" customWidth="1"/>
    <col min="8724" max="8724" width="8.33203125" bestFit="1" customWidth="1"/>
    <col min="8725" max="8725" width="7.44140625" bestFit="1" customWidth="1"/>
    <col min="8726" max="8726" width="3" customWidth="1"/>
    <col min="8727" max="8727" width="7.33203125" bestFit="1" customWidth="1"/>
    <col min="8728" max="8728" width="4.44140625" bestFit="1" customWidth="1"/>
    <col min="8729" max="8729" width="7.5546875" bestFit="1" customWidth="1"/>
    <col min="8730" max="8730" width="5.44140625" bestFit="1" customWidth="1"/>
    <col min="8731" max="8731" width="8.33203125" bestFit="1" customWidth="1"/>
    <col min="8732" max="8732" width="7.44140625" bestFit="1" customWidth="1"/>
    <col min="8733" max="8733" width="3" customWidth="1"/>
    <col min="8734" max="8734" width="7.33203125" bestFit="1" customWidth="1"/>
    <col min="8735" max="8735" width="4.44140625" bestFit="1" customWidth="1"/>
    <col min="8961" max="8961" width="1.44140625" customWidth="1"/>
    <col min="8962" max="8962" width="7.33203125" bestFit="1" customWidth="1"/>
    <col min="8963" max="8963" width="4.44140625" bestFit="1" customWidth="1"/>
    <col min="8964" max="8964" width="7.5546875" bestFit="1" customWidth="1"/>
    <col min="8965" max="8965" width="5.44140625" bestFit="1" customWidth="1"/>
    <col min="8966" max="8966" width="8.33203125" bestFit="1" customWidth="1"/>
    <col min="8967" max="8967" width="7.44140625" bestFit="1" customWidth="1"/>
    <col min="8968" max="8968" width="3.33203125" customWidth="1"/>
    <col min="8969" max="8969" width="7.33203125" bestFit="1" customWidth="1"/>
    <col min="8970" max="8970" width="4.44140625" bestFit="1" customWidth="1"/>
    <col min="8971" max="8971" width="7.5546875" bestFit="1" customWidth="1"/>
    <col min="8972" max="8972" width="5.44140625" bestFit="1" customWidth="1"/>
    <col min="8973" max="8973" width="8.33203125" bestFit="1" customWidth="1"/>
    <col min="8974" max="8974" width="7.44140625" bestFit="1" customWidth="1"/>
    <col min="8975" max="8975" width="3" customWidth="1"/>
    <col min="8976" max="8976" width="7.33203125" bestFit="1" customWidth="1"/>
    <col min="8977" max="8977" width="4.44140625" bestFit="1" customWidth="1"/>
    <col min="8978" max="8978" width="7.5546875" bestFit="1" customWidth="1"/>
    <col min="8979" max="8979" width="5.44140625" bestFit="1" customWidth="1"/>
    <col min="8980" max="8980" width="8.33203125" bestFit="1" customWidth="1"/>
    <col min="8981" max="8981" width="7.44140625" bestFit="1" customWidth="1"/>
    <col min="8982" max="8982" width="3" customWidth="1"/>
    <col min="8983" max="8983" width="7.33203125" bestFit="1" customWidth="1"/>
    <col min="8984" max="8984" width="4.44140625" bestFit="1" customWidth="1"/>
    <col min="8985" max="8985" width="7.5546875" bestFit="1" customWidth="1"/>
    <col min="8986" max="8986" width="5.44140625" bestFit="1" customWidth="1"/>
    <col min="8987" max="8987" width="8.33203125" bestFit="1" customWidth="1"/>
    <col min="8988" max="8988" width="7.44140625" bestFit="1" customWidth="1"/>
    <col min="8989" max="8989" width="3" customWidth="1"/>
    <col min="8990" max="8990" width="7.33203125" bestFit="1" customWidth="1"/>
    <col min="8991" max="8991" width="4.44140625" bestFit="1" customWidth="1"/>
    <col min="9217" max="9217" width="1.44140625" customWidth="1"/>
    <col min="9218" max="9218" width="7.33203125" bestFit="1" customWidth="1"/>
    <col min="9219" max="9219" width="4.44140625" bestFit="1" customWidth="1"/>
    <col min="9220" max="9220" width="7.5546875" bestFit="1" customWidth="1"/>
    <col min="9221" max="9221" width="5.44140625" bestFit="1" customWidth="1"/>
    <col min="9222" max="9222" width="8.33203125" bestFit="1" customWidth="1"/>
    <col min="9223" max="9223" width="7.44140625" bestFit="1" customWidth="1"/>
    <col min="9224" max="9224" width="3.33203125" customWidth="1"/>
    <col min="9225" max="9225" width="7.33203125" bestFit="1" customWidth="1"/>
    <col min="9226" max="9226" width="4.44140625" bestFit="1" customWidth="1"/>
    <col min="9227" max="9227" width="7.5546875" bestFit="1" customWidth="1"/>
    <col min="9228" max="9228" width="5.44140625" bestFit="1" customWidth="1"/>
    <col min="9229" max="9229" width="8.33203125" bestFit="1" customWidth="1"/>
    <col min="9230" max="9230" width="7.44140625" bestFit="1" customWidth="1"/>
    <col min="9231" max="9231" width="3" customWidth="1"/>
    <col min="9232" max="9232" width="7.33203125" bestFit="1" customWidth="1"/>
    <col min="9233" max="9233" width="4.44140625" bestFit="1" customWidth="1"/>
    <col min="9234" max="9234" width="7.5546875" bestFit="1" customWidth="1"/>
    <col min="9235" max="9235" width="5.44140625" bestFit="1" customWidth="1"/>
    <col min="9236" max="9236" width="8.33203125" bestFit="1" customWidth="1"/>
    <col min="9237" max="9237" width="7.44140625" bestFit="1" customWidth="1"/>
    <col min="9238" max="9238" width="3" customWidth="1"/>
    <col min="9239" max="9239" width="7.33203125" bestFit="1" customWidth="1"/>
    <col min="9240" max="9240" width="4.44140625" bestFit="1" customWidth="1"/>
    <col min="9241" max="9241" width="7.5546875" bestFit="1" customWidth="1"/>
    <col min="9242" max="9242" width="5.44140625" bestFit="1" customWidth="1"/>
    <col min="9243" max="9243" width="8.33203125" bestFit="1" customWidth="1"/>
    <col min="9244" max="9244" width="7.44140625" bestFit="1" customWidth="1"/>
    <col min="9245" max="9245" width="3" customWidth="1"/>
    <col min="9246" max="9246" width="7.33203125" bestFit="1" customWidth="1"/>
    <col min="9247" max="9247" width="4.44140625" bestFit="1" customWidth="1"/>
    <col min="9473" max="9473" width="1.44140625" customWidth="1"/>
    <col min="9474" max="9474" width="7.33203125" bestFit="1" customWidth="1"/>
    <col min="9475" max="9475" width="4.44140625" bestFit="1" customWidth="1"/>
    <col min="9476" max="9476" width="7.5546875" bestFit="1" customWidth="1"/>
    <col min="9477" max="9477" width="5.44140625" bestFit="1" customWidth="1"/>
    <col min="9478" max="9478" width="8.33203125" bestFit="1" customWidth="1"/>
    <col min="9479" max="9479" width="7.44140625" bestFit="1" customWidth="1"/>
    <col min="9480" max="9480" width="3.33203125" customWidth="1"/>
    <col min="9481" max="9481" width="7.33203125" bestFit="1" customWidth="1"/>
    <col min="9482" max="9482" width="4.44140625" bestFit="1" customWidth="1"/>
    <col min="9483" max="9483" width="7.5546875" bestFit="1" customWidth="1"/>
    <col min="9484" max="9484" width="5.44140625" bestFit="1" customWidth="1"/>
    <col min="9485" max="9485" width="8.33203125" bestFit="1" customWidth="1"/>
    <col min="9486" max="9486" width="7.44140625" bestFit="1" customWidth="1"/>
    <col min="9487" max="9487" width="3" customWidth="1"/>
    <col min="9488" max="9488" width="7.33203125" bestFit="1" customWidth="1"/>
    <col min="9489" max="9489" width="4.44140625" bestFit="1" customWidth="1"/>
    <col min="9490" max="9490" width="7.5546875" bestFit="1" customWidth="1"/>
    <col min="9491" max="9491" width="5.44140625" bestFit="1" customWidth="1"/>
    <col min="9492" max="9492" width="8.33203125" bestFit="1" customWidth="1"/>
    <col min="9493" max="9493" width="7.44140625" bestFit="1" customWidth="1"/>
    <col min="9494" max="9494" width="3" customWidth="1"/>
    <col min="9495" max="9495" width="7.33203125" bestFit="1" customWidth="1"/>
    <col min="9496" max="9496" width="4.44140625" bestFit="1" customWidth="1"/>
    <col min="9497" max="9497" width="7.5546875" bestFit="1" customWidth="1"/>
    <col min="9498" max="9498" width="5.44140625" bestFit="1" customWidth="1"/>
    <col min="9499" max="9499" width="8.33203125" bestFit="1" customWidth="1"/>
    <col min="9500" max="9500" width="7.44140625" bestFit="1" customWidth="1"/>
    <col min="9501" max="9501" width="3" customWidth="1"/>
    <col min="9502" max="9502" width="7.33203125" bestFit="1" customWidth="1"/>
    <col min="9503" max="9503" width="4.44140625" bestFit="1" customWidth="1"/>
    <col min="9729" max="9729" width="1.44140625" customWidth="1"/>
    <col min="9730" max="9730" width="7.33203125" bestFit="1" customWidth="1"/>
    <col min="9731" max="9731" width="4.44140625" bestFit="1" customWidth="1"/>
    <col min="9732" max="9732" width="7.5546875" bestFit="1" customWidth="1"/>
    <col min="9733" max="9733" width="5.44140625" bestFit="1" customWidth="1"/>
    <col min="9734" max="9734" width="8.33203125" bestFit="1" customWidth="1"/>
    <col min="9735" max="9735" width="7.44140625" bestFit="1" customWidth="1"/>
    <col min="9736" max="9736" width="3.33203125" customWidth="1"/>
    <col min="9737" max="9737" width="7.33203125" bestFit="1" customWidth="1"/>
    <col min="9738" max="9738" width="4.44140625" bestFit="1" customWidth="1"/>
    <col min="9739" max="9739" width="7.5546875" bestFit="1" customWidth="1"/>
    <col min="9740" max="9740" width="5.44140625" bestFit="1" customWidth="1"/>
    <col min="9741" max="9741" width="8.33203125" bestFit="1" customWidth="1"/>
    <col min="9742" max="9742" width="7.44140625" bestFit="1" customWidth="1"/>
    <col min="9743" max="9743" width="3" customWidth="1"/>
    <col min="9744" max="9744" width="7.33203125" bestFit="1" customWidth="1"/>
    <col min="9745" max="9745" width="4.44140625" bestFit="1" customWidth="1"/>
    <col min="9746" max="9746" width="7.5546875" bestFit="1" customWidth="1"/>
    <col min="9747" max="9747" width="5.44140625" bestFit="1" customWidth="1"/>
    <col min="9748" max="9748" width="8.33203125" bestFit="1" customWidth="1"/>
    <col min="9749" max="9749" width="7.44140625" bestFit="1" customWidth="1"/>
    <col min="9750" max="9750" width="3" customWidth="1"/>
    <col min="9751" max="9751" width="7.33203125" bestFit="1" customWidth="1"/>
    <col min="9752" max="9752" width="4.44140625" bestFit="1" customWidth="1"/>
    <col min="9753" max="9753" width="7.5546875" bestFit="1" customWidth="1"/>
    <col min="9754" max="9754" width="5.44140625" bestFit="1" customWidth="1"/>
    <col min="9755" max="9755" width="8.33203125" bestFit="1" customWidth="1"/>
    <col min="9756" max="9756" width="7.44140625" bestFit="1" customWidth="1"/>
    <col min="9757" max="9757" width="3" customWidth="1"/>
    <col min="9758" max="9758" width="7.33203125" bestFit="1" customWidth="1"/>
    <col min="9759" max="9759" width="4.44140625" bestFit="1" customWidth="1"/>
    <col min="9985" max="9985" width="1.44140625" customWidth="1"/>
    <col min="9986" max="9986" width="7.33203125" bestFit="1" customWidth="1"/>
    <col min="9987" max="9987" width="4.44140625" bestFit="1" customWidth="1"/>
    <col min="9988" max="9988" width="7.5546875" bestFit="1" customWidth="1"/>
    <col min="9989" max="9989" width="5.44140625" bestFit="1" customWidth="1"/>
    <col min="9990" max="9990" width="8.33203125" bestFit="1" customWidth="1"/>
    <col min="9991" max="9991" width="7.44140625" bestFit="1" customWidth="1"/>
    <col min="9992" max="9992" width="3.33203125" customWidth="1"/>
    <col min="9993" max="9993" width="7.33203125" bestFit="1" customWidth="1"/>
    <col min="9994" max="9994" width="4.44140625" bestFit="1" customWidth="1"/>
    <col min="9995" max="9995" width="7.5546875" bestFit="1" customWidth="1"/>
    <col min="9996" max="9996" width="5.44140625" bestFit="1" customWidth="1"/>
    <col min="9997" max="9997" width="8.33203125" bestFit="1" customWidth="1"/>
    <col min="9998" max="9998" width="7.44140625" bestFit="1" customWidth="1"/>
    <col min="9999" max="9999" width="3" customWidth="1"/>
    <col min="10000" max="10000" width="7.33203125" bestFit="1" customWidth="1"/>
    <col min="10001" max="10001" width="4.44140625" bestFit="1" customWidth="1"/>
    <col min="10002" max="10002" width="7.5546875" bestFit="1" customWidth="1"/>
    <col min="10003" max="10003" width="5.44140625" bestFit="1" customWidth="1"/>
    <col min="10004" max="10004" width="8.33203125" bestFit="1" customWidth="1"/>
    <col min="10005" max="10005" width="7.44140625" bestFit="1" customWidth="1"/>
    <col min="10006" max="10006" width="3" customWidth="1"/>
    <col min="10007" max="10007" width="7.33203125" bestFit="1" customWidth="1"/>
    <col min="10008" max="10008" width="4.44140625" bestFit="1" customWidth="1"/>
    <col min="10009" max="10009" width="7.5546875" bestFit="1" customWidth="1"/>
    <col min="10010" max="10010" width="5.44140625" bestFit="1" customWidth="1"/>
    <col min="10011" max="10011" width="8.33203125" bestFit="1" customWidth="1"/>
    <col min="10012" max="10012" width="7.44140625" bestFit="1" customWidth="1"/>
    <col min="10013" max="10013" width="3" customWidth="1"/>
    <col min="10014" max="10014" width="7.33203125" bestFit="1" customWidth="1"/>
    <col min="10015" max="10015" width="4.44140625" bestFit="1" customWidth="1"/>
    <col min="10241" max="10241" width="1.44140625" customWidth="1"/>
    <col min="10242" max="10242" width="7.33203125" bestFit="1" customWidth="1"/>
    <col min="10243" max="10243" width="4.44140625" bestFit="1" customWidth="1"/>
    <col min="10244" max="10244" width="7.5546875" bestFit="1" customWidth="1"/>
    <col min="10245" max="10245" width="5.44140625" bestFit="1" customWidth="1"/>
    <col min="10246" max="10246" width="8.33203125" bestFit="1" customWidth="1"/>
    <col min="10247" max="10247" width="7.44140625" bestFit="1" customWidth="1"/>
    <col min="10248" max="10248" width="3.33203125" customWidth="1"/>
    <col min="10249" max="10249" width="7.33203125" bestFit="1" customWidth="1"/>
    <col min="10250" max="10250" width="4.44140625" bestFit="1" customWidth="1"/>
    <col min="10251" max="10251" width="7.5546875" bestFit="1" customWidth="1"/>
    <col min="10252" max="10252" width="5.44140625" bestFit="1" customWidth="1"/>
    <col min="10253" max="10253" width="8.33203125" bestFit="1" customWidth="1"/>
    <col min="10254" max="10254" width="7.44140625" bestFit="1" customWidth="1"/>
    <col min="10255" max="10255" width="3" customWidth="1"/>
    <col min="10256" max="10256" width="7.33203125" bestFit="1" customWidth="1"/>
    <col min="10257" max="10257" width="4.44140625" bestFit="1" customWidth="1"/>
    <col min="10258" max="10258" width="7.5546875" bestFit="1" customWidth="1"/>
    <col min="10259" max="10259" width="5.44140625" bestFit="1" customWidth="1"/>
    <col min="10260" max="10260" width="8.33203125" bestFit="1" customWidth="1"/>
    <col min="10261" max="10261" width="7.44140625" bestFit="1" customWidth="1"/>
    <col min="10262" max="10262" width="3" customWidth="1"/>
    <col min="10263" max="10263" width="7.33203125" bestFit="1" customWidth="1"/>
    <col min="10264" max="10264" width="4.44140625" bestFit="1" customWidth="1"/>
    <col min="10265" max="10265" width="7.5546875" bestFit="1" customWidth="1"/>
    <col min="10266" max="10266" width="5.44140625" bestFit="1" customWidth="1"/>
    <col min="10267" max="10267" width="8.33203125" bestFit="1" customWidth="1"/>
    <col min="10268" max="10268" width="7.44140625" bestFit="1" customWidth="1"/>
    <col min="10269" max="10269" width="3" customWidth="1"/>
    <col min="10270" max="10270" width="7.33203125" bestFit="1" customWidth="1"/>
    <col min="10271" max="10271" width="4.44140625" bestFit="1" customWidth="1"/>
    <col min="10497" max="10497" width="1.44140625" customWidth="1"/>
    <col min="10498" max="10498" width="7.33203125" bestFit="1" customWidth="1"/>
    <col min="10499" max="10499" width="4.44140625" bestFit="1" customWidth="1"/>
    <col min="10500" max="10500" width="7.5546875" bestFit="1" customWidth="1"/>
    <col min="10501" max="10501" width="5.44140625" bestFit="1" customWidth="1"/>
    <col min="10502" max="10502" width="8.33203125" bestFit="1" customWidth="1"/>
    <col min="10503" max="10503" width="7.44140625" bestFit="1" customWidth="1"/>
    <col min="10504" max="10504" width="3.33203125" customWidth="1"/>
    <col min="10505" max="10505" width="7.33203125" bestFit="1" customWidth="1"/>
    <col min="10506" max="10506" width="4.44140625" bestFit="1" customWidth="1"/>
    <col min="10507" max="10507" width="7.5546875" bestFit="1" customWidth="1"/>
    <col min="10508" max="10508" width="5.44140625" bestFit="1" customWidth="1"/>
    <col min="10509" max="10509" width="8.33203125" bestFit="1" customWidth="1"/>
    <col min="10510" max="10510" width="7.44140625" bestFit="1" customWidth="1"/>
    <col min="10511" max="10511" width="3" customWidth="1"/>
    <col min="10512" max="10512" width="7.33203125" bestFit="1" customWidth="1"/>
    <col min="10513" max="10513" width="4.44140625" bestFit="1" customWidth="1"/>
    <col min="10514" max="10514" width="7.5546875" bestFit="1" customWidth="1"/>
    <col min="10515" max="10515" width="5.44140625" bestFit="1" customWidth="1"/>
    <col min="10516" max="10516" width="8.33203125" bestFit="1" customWidth="1"/>
    <col min="10517" max="10517" width="7.44140625" bestFit="1" customWidth="1"/>
    <col min="10518" max="10518" width="3" customWidth="1"/>
    <col min="10519" max="10519" width="7.33203125" bestFit="1" customWidth="1"/>
    <col min="10520" max="10520" width="4.44140625" bestFit="1" customWidth="1"/>
    <col min="10521" max="10521" width="7.5546875" bestFit="1" customWidth="1"/>
    <col min="10522" max="10522" width="5.44140625" bestFit="1" customWidth="1"/>
    <col min="10523" max="10523" width="8.33203125" bestFit="1" customWidth="1"/>
    <col min="10524" max="10524" width="7.44140625" bestFit="1" customWidth="1"/>
    <col min="10525" max="10525" width="3" customWidth="1"/>
    <col min="10526" max="10526" width="7.33203125" bestFit="1" customWidth="1"/>
    <col min="10527" max="10527" width="4.44140625" bestFit="1" customWidth="1"/>
    <col min="10753" max="10753" width="1.44140625" customWidth="1"/>
    <col min="10754" max="10754" width="7.33203125" bestFit="1" customWidth="1"/>
    <col min="10755" max="10755" width="4.44140625" bestFit="1" customWidth="1"/>
    <col min="10756" max="10756" width="7.5546875" bestFit="1" customWidth="1"/>
    <col min="10757" max="10757" width="5.44140625" bestFit="1" customWidth="1"/>
    <col min="10758" max="10758" width="8.33203125" bestFit="1" customWidth="1"/>
    <col min="10759" max="10759" width="7.44140625" bestFit="1" customWidth="1"/>
    <col min="10760" max="10760" width="3.33203125" customWidth="1"/>
    <col min="10761" max="10761" width="7.33203125" bestFit="1" customWidth="1"/>
    <col min="10762" max="10762" width="4.44140625" bestFit="1" customWidth="1"/>
    <col min="10763" max="10763" width="7.5546875" bestFit="1" customWidth="1"/>
    <col min="10764" max="10764" width="5.44140625" bestFit="1" customWidth="1"/>
    <col min="10765" max="10765" width="8.33203125" bestFit="1" customWidth="1"/>
    <col min="10766" max="10766" width="7.44140625" bestFit="1" customWidth="1"/>
    <col min="10767" max="10767" width="3" customWidth="1"/>
    <col min="10768" max="10768" width="7.33203125" bestFit="1" customWidth="1"/>
    <col min="10769" max="10769" width="4.44140625" bestFit="1" customWidth="1"/>
    <col min="10770" max="10770" width="7.5546875" bestFit="1" customWidth="1"/>
    <col min="10771" max="10771" width="5.44140625" bestFit="1" customWidth="1"/>
    <col min="10772" max="10772" width="8.33203125" bestFit="1" customWidth="1"/>
    <col min="10773" max="10773" width="7.44140625" bestFit="1" customWidth="1"/>
    <col min="10774" max="10774" width="3" customWidth="1"/>
    <col min="10775" max="10775" width="7.33203125" bestFit="1" customWidth="1"/>
    <col min="10776" max="10776" width="4.44140625" bestFit="1" customWidth="1"/>
    <col min="10777" max="10777" width="7.5546875" bestFit="1" customWidth="1"/>
    <col min="10778" max="10778" width="5.44140625" bestFit="1" customWidth="1"/>
    <col min="10779" max="10779" width="8.33203125" bestFit="1" customWidth="1"/>
    <col min="10780" max="10780" width="7.44140625" bestFit="1" customWidth="1"/>
    <col min="10781" max="10781" width="3" customWidth="1"/>
    <col min="10782" max="10782" width="7.33203125" bestFit="1" customWidth="1"/>
    <col min="10783" max="10783" width="4.44140625" bestFit="1" customWidth="1"/>
    <col min="11009" max="11009" width="1.44140625" customWidth="1"/>
    <col min="11010" max="11010" width="7.33203125" bestFit="1" customWidth="1"/>
    <col min="11011" max="11011" width="4.44140625" bestFit="1" customWidth="1"/>
    <col min="11012" max="11012" width="7.5546875" bestFit="1" customWidth="1"/>
    <col min="11013" max="11013" width="5.44140625" bestFit="1" customWidth="1"/>
    <col min="11014" max="11014" width="8.33203125" bestFit="1" customWidth="1"/>
    <col min="11015" max="11015" width="7.44140625" bestFit="1" customWidth="1"/>
    <col min="11016" max="11016" width="3.33203125" customWidth="1"/>
    <col min="11017" max="11017" width="7.33203125" bestFit="1" customWidth="1"/>
    <col min="11018" max="11018" width="4.44140625" bestFit="1" customWidth="1"/>
    <col min="11019" max="11019" width="7.5546875" bestFit="1" customWidth="1"/>
    <col min="11020" max="11020" width="5.44140625" bestFit="1" customWidth="1"/>
    <col min="11021" max="11021" width="8.33203125" bestFit="1" customWidth="1"/>
    <col min="11022" max="11022" width="7.44140625" bestFit="1" customWidth="1"/>
    <col min="11023" max="11023" width="3" customWidth="1"/>
    <col min="11024" max="11024" width="7.33203125" bestFit="1" customWidth="1"/>
    <col min="11025" max="11025" width="4.44140625" bestFit="1" customWidth="1"/>
    <col min="11026" max="11026" width="7.5546875" bestFit="1" customWidth="1"/>
    <col min="11027" max="11027" width="5.44140625" bestFit="1" customWidth="1"/>
    <col min="11028" max="11028" width="8.33203125" bestFit="1" customWidth="1"/>
    <col min="11029" max="11029" width="7.44140625" bestFit="1" customWidth="1"/>
    <col min="11030" max="11030" width="3" customWidth="1"/>
    <col min="11031" max="11031" width="7.33203125" bestFit="1" customWidth="1"/>
    <col min="11032" max="11032" width="4.44140625" bestFit="1" customWidth="1"/>
    <col min="11033" max="11033" width="7.5546875" bestFit="1" customWidth="1"/>
    <col min="11034" max="11034" width="5.44140625" bestFit="1" customWidth="1"/>
    <col min="11035" max="11035" width="8.33203125" bestFit="1" customWidth="1"/>
    <col min="11036" max="11036" width="7.44140625" bestFit="1" customWidth="1"/>
    <col min="11037" max="11037" width="3" customWidth="1"/>
    <col min="11038" max="11038" width="7.33203125" bestFit="1" customWidth="1"/>
    <col min="11039" max="11039" width="4.44140625" bestFit="1" customWidth="1"/>
    <col min="11265" max="11265" width="1.44140625" customWidth="1"/>
    <col min="11266" max="11266" width="7.33203125" bestFit="1" customWidth="1"/>
    <col min="11267" max="11267" width="4.44140625" bestFit="1" customWidth="1"/>
    <col min="11268" max="11268" width="7.5546875" bestFit="1" customWidth="1"/>
    <col min="11269" max="11269" width="5.44140625" bestFit="1" customWidth="1"/>
    <col min="11270" max="11270" width="8.33203125" bestFit="1" customWidth="1"/>
    <col min="11271" max="11271" width="7.44140625" bestFit="1" customWidth="1"/>
    <col min="11272" max="11272" width="3.33203125" customWidth="1"/>
    <col min="11273" max="11273" width="7.33203125" bestFit="1" customWidth="1"/>
    <col min="11274" max="11274" width="4.44140625" bestFit="1" customWidth="1"/>
    <col min="11275" max="11275" width="7.5546875" bestFit="1" customWidth="1"/>
    <col min="11276" max="11276" width="5.44140625" bestFit="1" customWidth="1"/>
    <col min="11277" max="11277" width="8.33203125" bestFit="1" customWidth="1"/>
    <col min="11278" max="11278" width="7.44140625" bestFit="1" customWidth="1"/>
    <col min="11279" max="11279" width="3" customWidth="1"/>
    <col min="11280" max="11280" width="7.33203125" bestFit="1" customWidth="1"/>
    <col min="11281" max="11281" width="4.44140625" bestFit="1" customWidth="1"/>
    <col min="11282" max="11282" width="7.5546875" bestFit="1" customWidth="1"/>
    <col min="11283" max="11283" width="5.44140625" bestFit="1" customWidth="1"/>
    <col min="11284" max="11284" width="8.33203125" bestFit="1" customWidth="1"/>
    <col min="11285" max="11285" width="7.44140625" bestFit="1" customWidth="1"/>
    <col min="11286" max="11286" width="3" customWidth="1"/>
    <col min="11287" max="11287" width="7.33203125" bestFit="1" customWidth="1"/>
    <col min="11288" max="11288" width="4.44140625" bestFit="1" customWidth="1"/>
    <col min="11289" max="11289" width="7.5546875" bestFit="1" customWidth="1"/>
    <col min="11290" max="11290" width="5.44140625" bestFit="1" customWidth="1"/>
    <col min="11291" max="11291" width="8.33203125" bestFit="1" customWidth="1"/>
    <col min="11292" max="11292" width="7.44140625" bestFit="1" customWidth="1"/>
    <col min="11293" max="11293" width="3" customWidth="1"/>
    <col min="11294" max="11294" width="7.33203125" bestFit="1" customWidth="1"/>
    <col min="11295" max="11295" width="4.44140625" bestFit="1" customWidth="1"/>
    <col min="11521" max="11521" width="1.44140625" customWidth="1"/>
    <col min="11522" max="11522" width="7.33203125" bestFit="1" customWidth="1"/>
    <col min="11523" max="11523" width="4.44140625" bestFit="1" customWidth="1"/>
    <col min="11524" max="11524" width="7.5546875" bestFit="1" customWidth="1"/>
    <col min="11525" max="11525" width="5.44140625" bestFit="1" customWidth="1"/>
    <col min="11526" max="11526" width="8.33203125" bestFit="1" customWidth="1"/>
    <col min="11527" max="11527" width="7.44140625" bestFit="1" customWidth="1"/>
    <col min="11528" max="11528" width="3.33203125" customWidth="1"/>
    <col min="11529" max="11529" width="7.33203125" bestFit="1" customWidth="1"/>
    <col min="11530" max="11530" width="4.44140625" bestFit="1" customWidth="1"/>
    <col min="11531" max="11531" width="7.5546875" bestFit="1" customWidth="1"/>
    <col min="11532" max="11532" width="5.44140625" bestFit="1" customWidth="1"/>
    <col min="11533" max="11533" width="8.33203125" bestFit="1" customWidth="1"/>
    <col min="11534" max="11534" width="7.44140625" bestFit="1" customWidth="1"/>
    <col min="11535" max="11535" width="3" customWidth="1"/>
    <col min="11536" max="11536" width="7.33203125" bestFit="1" customWidth="1"/>
    <col min="11537" max="11537" width="4.44140625" bestFit="1" customWidth="1"/>
    <col min="11538" max="11538" width="7.5546875" bestFit="1" customWidth="1"/>
    <col min="11539" max="11539" width="5.44140625" bestFit="1" customWidth="1"/>
    <col min="11540" max="11540" width="8.33203125" bestFit="1" customWidth="1"/>
    <col min="11541" max="11541" width="7.44140625" bestFit="1" customWidth="1"/>
    <col min="11542" max="11542" width="3" customWidth="1"/>
    <col min="11543" max="11543" width="7.33203125" bestFit="1" customWidth="1"/>
    <col min="11544" max="11544" width="4.44140625" bestFit="1" customWidth="1"/>
    <col min="11545" max="11545" width="7.5546875" bestFit="1" customWidth="1"/>
    <col min="11546" max="11546" width="5.44140625" bestFit="1" customWidth="1"/>
    <col min="11547" max="11547" width="8.33203125" bestFit="1" customWidth="1"/>
    <col min="11548" max="11548" width="7.44140625" bestFit="1" customWidth="1"/>
    <col min="11549" max="11549" width="3" customWidth="1"/>
    <col min="11550" max="11550" width="7.33203125" bestFit="1" customWidth="1"/>
    <col min="11551" max="11551" width="4.44140625" bestFit="1" customWidth="1"/>
    <col min="11777" max="11777" width="1.44140625" customWidth="1"/>
    <col min="11778" max="11778" width="7.33203125" bestFit="1" customWidth="1"/>
    <col min="11779" max="11779" width="4.44140625" bestFit="1" customWidth="1"/>
    <col min="11780" max="11780" width="7.5546875" bestFit="1" customWidth="1"/>
    <col min="11781" max="11781" width="5.44140625" bestFit="1" customWidth="1"/>
    <col min="11782" max="11782" width="8.33203125" bestFit="1" customWidth="1"/>
    <col min="11783" max="11783" width="7.44140625" bestFit="1" customWidth="1"/>
    <col min="11784" max="11784" width="3.33203125" customWidth="1"/>
    <col min="11785" max="11785" width="7.33203125" bestFit="1" customWidth="1"/>
    <col min="11786" max="11786" width="4.44140625" bestFit="1" customWidth="1"/>
    <col min="11787" max="11787" width="7.5546875" bestFit="1" customWidth="1"/>
    <col min="11788" max="11788" width="5.44140625" bestFit="1" customWidth="1"/>
    <col min="11789" max="11789" width="8.33203125" bestFit="1" customWidth="1"/>
    <col min="11790" max="11790" width="7.44140625" bestFit="1" customWidth="1"/>
    <col min="11791" max="11791" width="3" customWidth="1"/>
    <col min="11792" max="11792" width="7.33203125" bestFit="1" customWidth="1"/>
    <col min="11793" max="11793" width="4.44140625" bestFit="1" customWidth="1"/>
    <col min="11794" max="11794" width="7.5546875" bestFit="1" customWidth="1"/>
    <col min="11795" max="11795" width="5.44140625" bestFit="1" customWidth="1"/>
    <col min="11796" max="11796" width="8.33203125" bestFit="1" customWidth="1"/>
    <col min="11797" max="11797" width="7.44140625" bestFit="1" customWidth="1"/>
    <col min="11798" max="11798" width="3" customWidth="1"/>
    <col min="11799" max="11799" width="7.33203125" bestFit="1" customWidth="1"/>
    <col min="11800" max="11800" width="4.44140625" bestFit="1" customWidth="1"/>
    <col min="11801" max="11801" width="7.5546875" bestFit="1" customWidth="1"/>
    <col min="11802" max="11802" width="5.44140625" bestFit="1" customWidth="1"/>
    <col min="11803" max="11803" width="8.33203125" bestFit="1" customWidth="1"/>
    <col min="11804" max="11804" width="7.44140625" bestFit="1" customWidth="1"/>
    <col min="11805" max="11805" width="3" customWidth="1"/>
    <col min="11806" max="11806" width="7.33203125" bestFit="1" customWidth="1"/>
    <col min="11807" max="11807" width="4.44140625" bestFit="1" customWidth="1"/>
    <col min="12033" max="12033" width="1.44140625" customWidth="1"/>
    <col min="12034" max="12034" width="7.33203125" bestFit="1" customWidth="1"/>
    <col min="12035" max="12035" width="4.44140625" bestFit="1" customWidth="1"/>
    <col min="12036" max="12036" width="7.5546875" bestFit="1" customWidth="1"/>
    <col min="12037" max="12037" width="5.44140625" bestFit="1" customWidth="1"/>
    <col min="12038" max="12038" width="8.33203125" bestFit="1" customWidth="1"/>
    <col min="12039" max="12039" width="7.44140625" bestFit="1" customWidth="1"/>
    <col min="12040" max="12040" width="3.33203125" customWidth="1"/>
    <col min="12041" max="12041" width="7.33203125" bestFit="1" customWidth="1"/>
    <col min="12042" max="12042" width="4.44140625" bestFit="1" customWidth="1"/>
    <col min="12043" max="12043" width="7.5546875" bestFit="1" customWidth="1"/>
    <col min="12044" max="12044" width="5.44140625" bestFit="1" customWidth="1"/>
    <col min="12045" max="12045" width="8.33203125" bestFit="1" customWidth="1"/>
    <col min="12046" max="12046" width="7.44140625" bestFit="1" customWidth="1"/>
    <col min="12047" max="12047" width="3" customWidth="1"/>
    <col min="12048" max="12048" width="7.33203125" bestFit="1" customWidth="1"/>
    <col min="12049" max="12049" width="4.44140625" bestFit="1" customWidth="1"/>
    <col min="12050" max="12050" width="7.5546875" bestFit="1" customWidth="1"/>
    <col min="12051" max="12051" width="5.44140625" bestFit="1" customWidth="1"/>
    <col min="12052" max="12052" width="8.33203125" bestFit="1" customWidth="1"/>
    <col min="12053" max="12053" width="7.44140625" bestFit="1" customWidth="1"/>
    <col min="12054" max="12054" width="3" customWidth="1"/>
    <col min="12055" max="12055" width="7.33203125" bestFit="1" customWidth="1"/>
    <col min="12056" max="12056" width="4.44140625" bestFit="1" customWidth="1"/>
    <col min="12057" max="12057" width="7.5546875" bestFit="1" customWidth="1"/>
    <col min="12058" max="12058" width="5.44140625" bestFit="1" customWidth="1"/>
    <col min="12059" max="12059" width="8.33203125" bestFit="1" customWidth="1"/>
    <col min="12060" max="12060" width="7.44140625" bestFit="1" customWidth="1"/>
    <col min="12061" max="12061" width="3" customWidth="1"/>
    <col min="12062" max="12062" width="7.33203125" bestFit="1" customWidth="1"/>
    <col min="12063" max="12063" width="4.44140625" bestFit="1" customWidth="1"/>
    <col min="12289" max="12289" width="1.44140625" customWidth="1"/>
    <col min="12290" max="12290" width="7.33203125" bestFit="1" customWidth="1"/>
    <col min="12291" max="12291" width="4.44140625" bestFit="1" customWidth="1"/>
    <col min="12292" max="12292" width="7.5546875" bestFit="1" customWidth="1"/>
    <col min="12293" max="12293" width="5.44140625" bestFit="1" customWidth="1"/>
    <col min="12294" max="12294" width="8.33203125" bestFit="1" customWidth="1"/>
    <col min="12295" max="12295" width="7.44140625" bestFit="1" customWidth="1"/>
    <col min="12296" max="12296" width="3.33203125" customWidth="1"/>
    <col min="12297" max="12297" width="7.33203125" bestFit="1" customWidth="1"/>
    <col min="12298" max="12298" width="4.44140625" bestFit="1" customWidth="1"/>
    <col min="12299" max="12299" width="7.5546875" bestFit="1" customWidth="1"/>
    <col min="12300" max="12300" width="5.44140625" bestFit="1" customWidth="1"/>
    <col min="12301" max="12301" width="8.33203125" bestFit="1" customWidth="1"/>
    <col min="12302" max="12302" width="7.44140625" bestFit="1" customWidth="1"/>
    <col min="12303" max="12303" width="3" customWidth="1"/>
    <col min="12304" max="12304" width="7.33203125" bestFit="1" customWidth="1"/>
    <col min="12305" max="12305" width="4.44140625" bestFit="1" customWidth="1"/>
    <col min="12306" max="12306" width="7.5546875" bestFit="1" customWidth="1"/>
    <col min="12307" max="12307" width="5.44140625" bestFit="1" customWidth="1"/>
    <col min="12308" max="12308" width="8.33203125" bestFit="1" customWidth="1"/>
    <col min="12309" max="12309" width="7.44140625" bestFit="1" customWidth="1"/>
    <col min="12310" max="12310" width="3" customWidth="1"/>
    <col min="12311" max="12311" width="7.33203125" bestFit="1" customWidth="1"/>
    <col min="12312" max="12312" width="4.44140625" bestFit="1" customWidth="1"/>
    <col min="12313" max="12313" width="7.5546875" bestFit="1" customWidth="1"/>
    <col min="12314" max="12314" width="5.44140625" bestFit="1" customWidth="1"/>
    <col min="12315" max="12315" width="8.33203125" bestFit="1" customWidth="1"/>
    <col min="12316" max="12316" width="7.44140625" bestFit="1" customWidth="1"/>
    <col min="12317" max="12317" width="3" customWidth="1"/>
    <col min="12318" max="12318" width="7.33203125" bestFit="1" customWidth="1"/>
    <col min="12319" max="12319" width="4.44140625" bestFit="1" customWidth="1"/>
    <col min="12545" max="12545" width="1.44140625" customWidth="1"/>
    <col min="12546" max="12546" width="7.33203125" bestFit="1" customWidth="1"/>
    <col min="12547" max="12547" width="4.44140625" bestFit="1" customWidth="1"/>
    <col min="12548" max="12548" width="7.5546875" bestFit="1" customWidth="1"/>
    <col min="12549" max="12549" width="5.44140625" bestFit="1" customWidth="1"/>
    <col min="12550" max="12550" width="8.33203125" bestFit="1" customWidth="1"/>
    <col min="12551" max="12551" width="7.44140625" bestFit="1" customWidth="1"/>
    <col min="12552" max="12552" width="3.33203125" customWidth="1"/>
    <col min="12553" max="12553" width="7.33203125" bestFit="1" customWidth="1"/>
    <col min="12554" max="12554" width="4.44140625" bestFit="1" customWidth="1"/>
    <col min="12555" max="12555" width="7.5546875" bestFit="1" customWidth="1"/>
    <col min="12556" max="12556" width="5.44140625" bestFit="1" customWidth="1"/>
    <col min="12557" max="12557" width="8.33203125" bestFit="1" customWidth="1"/>
    <col min="12558" max="12558" width="7.44140625" bestFit="1" customWidth="1"/>
    <col min="12559" max="12559" width="3" customWidth="1"/>
    <col min="12560" max="12560" width="7.33203125" bestFit="1" customWidth="1"/>
    <col min="12561" max="12561" width="4.44140625" bestFit="1" customWidth="1"/>
    <col min="12562" max="12562" width="7.5546875" bestFit="1" customWidth="1"/>
    <col min="12563" max="12563" width="5.44140625" bestFit="1" customWidth="1"/>
    <col min="12564" max="12564" width="8.33203125" bestFit="1" customWidth="1"/>
    <col min="12565" max="12565" width="7.44140625" bestFit="1" customWidth="1"/>
    <col min="12566" max="12566" width="3" customWidth="1"/>
    <col min="12567" max="12567" width="7.33203125" bestFit="1" customWidth="1"/>
    <col min="12568" max="12568" width="4.44140625" bestFit="1" customWidth="1"/>
    <col min="12569" max="12569" width="7.5546875" bestFit="1" customWidth="1"/>
    <col min="12570" max="12570" width="5.44140625" bestFit="1" customWidth="1"/>
    <col min="12571" max="12571" width="8.33203125" bestFit="1" customWidth="1"/>
    <col min="12572" max="12572" width="7.44140625" bestFit="1" customWidth="1"/>
    <col min="12573" max="12573" width="3" customWidth="1"/>
    <col min="12574" max="12574" width="7.33203125" bestFit="1" customWidth="1"/>
    <col min="12575" max="12575" width="4.44140625" bestFit="1" customWidth="1"/>
    <col min="12801" max="12801" width="1.44140625" customWidth="1"/>
    <col min="12802" max="12802" width="7.33203125" bestFit="1" customWidth="1"/>
    <col min="12803" max="12803" width="4.44140625" bestFit="1" customWidth="1"/>
    <col min="12804" max="12804" width="7.5546875" bestFit="1" customWidth="1"/>
    <col min="12805" max="12805" width="5.44140625" bestFit="1" customWidth="1"/>
    <col min="12806" max="12806" width="8.33203125" bestFit="1" customWidth="1"/>
    <col min="12807" max="12807" width="7.44140625" bestFit="1" customWidth="1"/>
    <col min="12808" max="12808" width="3.33203125" customWidth="1"/>
    <col min="12809" max="12809" width="7.33203125" bestFit="1" customWidth="1"/>
    <col min="12810" max="12810" width="4.44140625" bestFit="1" customWidth="1"/>
    <col min="12811" max="12811" width="7.5546875" bestFit="1" customWidth="1"/>
    <col min="12812" max="12812" width="5.44140625" bestFit="1" customWidth="1"/>
    <col min="12813" max="12813" width="8.33203125" bestFit="1" customWidth="1"/>
    <col min="12814" max="12814" width="7.44140625" bestFit="1" customWidth="1"/>
    <col min="12815" max="12815" width="3" customWidth="1"/>
    <col min="12816" max="12816" width="7.33203125" bestFit="1" customWidth="1"/>
    <col min="12817" max="12817" width="4.44140625" bestFit="1" customWidth="1"/>
    <col min="12818" max="12818" width="7.5546875" bestFit="1" customWidth="1"/>
    <col min="12819" max="12819" width="5.44140625" bestFit="1" customWidth="1"/>
    <col min="12820" max="12820" width="8.33203125" bestFit="1" customWidth="1"/>
    <col min="12821" max="12821" width="7.44140625" bestFit="1" customWidth="1"/>
    <col min="12822" max="12822" width="3" customWidth="1"/>
    <col min="12823" max="12823" width="7.33203125" bestFit="1" customWidth="1"/>
    <col min="12824" max="12824" width="4.44140625" bestFit="1" customWidth="1"/>
    <col min="12825" max="12825" width="7.5546875" bestFit="1" customWidth="1"/>
    <col min="12826" max="12826" width="5.44140625" bestFit="1" customWidth="1"/>
    <col min="12827" max="12827" width="8.33203125" bestFit="1" customWidth="1"/>
    <col min="12828" max="12828" width="7.44140625" bestFit="1" customWidth="1"/>
    <col min="12829" max="12829" width="3" customWidth="1"/>
    <col min="12830" max="12830" width="7.33203125" bestFit="1" customWidth="1"/>
    <col min="12831" max="12831" width="4.44140625" bestFit="1" customWidth="1"/>
    <col min="13057" max="13057" width="1.44140625" customWidth="1"/>
    <col min="13058" max="13058" width="7.33203125" bestFit="1" customWidth="1"/>
    <col min="13059" max="13059" width="4.44140625" bestFit="1" customWidth="1"/>
    <col min="13060" max="13060" width="7.5546875" bestFit="1" customWidth="1"/>
    <col min="13061" max="13061" width="5.44140625" bestFit="1" customWidth="1"/>
    <col min="13062" max="13062" width="8.33203125" bestFit="1" customWidth="1"/>
    <col min="13063" max="13063" width="7.44140625" bestFit="1" customWidth="1"/>
    <col min="13064" max="13064" width="3.33203125" customWidth="1"/>
    <col min="13065" max="13065" width="7.33203125" bestFit="1" customWidth="1"/>
    <col min="13066" max="13066" width="4.44140625" bestFit="1" customWidth="1"/>
    <col min="13067" max="13067" width="7.5546875" bestFit="1" customWidth="1"/>
    <col min="13068" max="13068" width="5.44140625" bestFit="1" customWidth="1"/>
    <col min="13069" max="13069" width="8.33203125" bestFit="1" customWidth="1"/>
    <col min="13070" max="13070" width="7.44140625" bestFit="1" customWidth="1"/>
    <col min="13071" max="13071" width="3" customWidth="1"/>
    <col min="13072" max="13072" width="7.33203125" bestFit="1" customWidth="1"/>
    <col min="13073" max="13073" width="4.44140625" bestFit="1" customWidth="1"/>
    <col min="13074" max="13074" width="7.5546875" bestFit="1" customWidth="1"/>
    <col min="13075" max="13075" width="5.44140625" bestFit="1" customWidth="1"/>
    <col min="13076" max="13076" width="8.33203125" bestFit="1" customWidth="1"/>
    <col min="13077" max="13077" width="7.44140625" bestFit="1" customWidth="1"/>
    <col min="13078" max="13078" width="3" customWidth="1"/>
    <col min="13079" max="13079" width="7.33203125" bestFit="1" customWidth="1"/>
    <col min="13080" max="13080" width="4.44140625" bestFit="1" customWidth="1"/>
    <col min="13081" max="13081" width="7.5546875" bestFit="1" customWidth="1"/>
    <col min="13082" max="13082" width="5.44140625" bestFit="1" customWidth="1"/>
    <col min="13083" max="13083" width="8.33203125" bestFit="1" customWidth="1"/>
    <col min="13084" max="13084" width="7.44140625" bestFit="1" customWidth="1"/>
    <col min="13085" max="13085" width="3" customWidth="1"/>
    <col min="13086" max="13086" width="7.33203125" bestFit="1" customWidth="1"/>
    <col min="13087" max="13087" width="4.44140625" bestFit="1" customWidth="1"/>
    <col min="13313" max="13313" width="1.44140625" customWidth="1"/>
    <col min="13314" max="13314" width="7.33203125" bestFit="1" customWidth="1"/>
    <col min="13315" max="13315" width="4.44140625" bestFit="1" customWidth="1"/>
    <col min="13316" max="13316" width="7.5546875" bestFit="1" customWidth="1"/>
    <col min="13317" max="13317" width="5.44140625" bestFit="1" customWidth="1"/>
    <col min="13318" max="13318" width="8.33203125" bestFit="1" customWidth="1"/>
    <col min="13319" max="13319" width="7.44140625" bestFit="1" customWidth="1"/>
    <col min="13320" max="13320" width="3.33203125" customWidth="1"/>
    <col min="13321" max="13321" width="7.33203125" bestFit="1" customWidth="1"/>
    <col min="13322" max="13322" width="4.44140625" bestFit="1" customWidth="1"/>
    <col min="13323" max="13323" width="7.5546875" bestFit="1" customWidth="1"/>
    <col min="13324" max="13324" width="5.44140625" bestFit="1" customWidth="1"/>
    <col min="13325" max="13325" width="8.33203125" bestFit="1" customWidth="1"/>
    <col min="13326" max="13326" width="7.44140625" bestFit="1" customWidth="1"/>
    <col min="13327" max="13327" width="3" customWidth="1"/>
    <col min="13328" max="13328" width="7.33203125" bestFit="1" customWidth="1"/>
    <col min="13329" max="13329" width="4.44140625" bestFit="1" customWidth="1"/>
    <col min="13330" max="13330" width="7.5546875" bestFit="1" customWidth="1"/>
    <col min="13331" max="13331" width="5.44140625" bestFit="1" customWidth="1"/>
    <col min="13332" max="13332" width="8.33203125" bestFit="1" customWidth="1"/>
    <col min="13333" max="13333" width="7.44140625" bestFit="1" customWidth="1"/>
    <col min="13334" max="13334" width="3" customWidth="1"/>
    <col min="13335" max="13335" width="7.33203125" bestFit="1" customWidth="1"/>
    <col min="13336" max="13336" width="4.44140625" bestFit="1" customWidth="1"/>
    <col min="13337" max="13337" width="7.5546875" bestFit="1" customWidth="1"/>
    <col min="13338" max="13338" width="5.44140625" bestFit="1" customWidth="1"/>
    <col min="13339" max="13339" width="8.33203125" bestFit="1" customWidth="1"/>
    <col min="13340" max="13340" width="7.44140625" bestFit="1" customWidth="1"/>
    <col min="13341" max="13341" width="3" customWidth="1"/>
    <col min="13342" max="13342" width="7.33203125" bestFit="1" customWidth="1"/>
    <col min="13343" max="13343" width="4.44140625" bestFit="1" customWidth="1"/>
    <col min="13569" max="13569" width="1.44140625" customWidth="1"/>
    <col min="13570" max="13570" width="7.33203125" bestFit="1" customWidth="1"/>
    <col min="13571" max="13571" width="4.44140625" bestFit="1" customWidth="1"/>
    <col min="13572" max="13572" width="7.5546875" bestFit="1" customWidth="1"/>
    <col min="13573" max="13573" width="5.44140625" bestFit="1" customWidth="1"/>
    <col min="13574" max="13574" width="8.33203125" bestFit="1" customWidth="1"/>
    <col min="13575" max="13575" width="7.44140625" bestFit="1" customWidth="1"/>
    <col min="13576" max="13576" width="3.33203125" customWidth="1"/>
    <col min="13577" max="13577" width="7.33203125" bestFit="1" customWidth="1"/>
    <col min="13578" max="13578" width="4.44140625" bestFit="1" customWidth="1"/>
    <col min="13579" max="13579" width="7.5546875" bestFit="1" customWidth="1"/>
    <col min="13580" max="13580" width="5.44140625" bestFit="1" customWidth="1"/>
    <col min="13581" max="13581" width="8.33203125" bestFit="1" customWidth="1"/>
    <col min="13582" max="13582" width="7.44140625" bestFit="1" customWidth="1"/>
    <col min="13583" max="13583" width="3" customWidth="1"/>
    <col min="13584" max="13584" width="7.33203125" bestFit="1" customWidth="1"/>
    <col min="13585" max="13585" width="4.44140625" bestFit="1" customWidth="1"/>
    <col min="13586" max="13586" width="7.5546875" bestFit="1" customWidth="1"/>
    <col min="13587" max="13587" width="5.44140625" bestFit="1" customWidth="1"/>
    <col min="13588" max="13588" width="8.33203125" bestFit="1" customWidth="1"/>
    <col min="13589" max="13589" width="7.44140625" bestFit="1" customWidth="1"/>
    <col min="13590" max="13590" width="3" customWidth="1"/>
    <col min="13591" max="13591" width="7.33203125" bestFit="1" customWidth="1"/>
    <col min="13592" max="13592" width="4.44140625" bestFit="1" customWidth="1"/>
    <col min="13593" max="13593" width="7.5546875" bestFit="1" customWidth="1"/>
    <col min="13594" max="13594" width="5.44140625" bestFit="1" customWidth="1"/>
    <col min="13595" max="13595" width="8.33203125" bestFit="1" customWidth="1"/>
    <col min="13596" max="13596" width="7.44140625" bestFit="1" customWidth="1"/>
    <col min="13597" max="13597" width="3" customWidth="1"/>
    <col min="13598" max="13598" width="7.33203125" bestFit="1" customWidth="1"/>
    <col min="13599" max="13599" width="4.44140625" bestFit="1" customWidth="1"/>
    <col min="13825" max="13825" width="1.44140625" customWidth="1"/>
    <col min="13826" max="13826" width="7.33203125" bestFit="1" customWidth="1"/>
    <col min="13827" max="13827" width="4.44140625" bestFit="1" customWidth="1"/>
    <col min="13828" max="13828" width="7.5546875" bestFit="1" customWidth="1"/>
    <col min="13829" max="13829" width="5.44140625" bestFit="1" customWidth="1"/>
    <col min="13830" max="13830" width="8.33203125" bestFit="1" customWidth="1"/>
    <col min="13831" max="13831" width="7.44140625" bestFit="1" customWidth="1"/>
    <col min="13832" max="13832" width="3.33203125" customWidth="1"/>
    <col min="13833" max="13833" width="7.33203125" bestFit="1" customWidth="1"/>
    <col min="13834" max="13834" width="4.44140625" bestFit="1" customWidth="1"/>
    <col min="13835" max="13835" width="7.5546875" bestFit="1" customWidth="1"/>
    <col min="13836" max="13836" width="5.44140625" bestFit="1" customWidth="1"/>
    <col min="13837" max="13837" width="8.33203125" bestFit="1" customWidth="1"/>
    <col min="13838" max="13838" width="7.44140625" bestFit="1" customWidth="1"/>
    <col min="13839" max="13839" width="3" customWidth="1"/>
    <col min="13840" max="13840" width="7.33203125" bestFit="1" customWidth="1"/>
    <col min="13841" max="13841" width="4.44140625" bestFit="1" customWidth="1"/>
    <col min="13842" max="13842" width="7.5546875" bestFit="1" customWidth="1"/>
    <col min="13843" max="13843" width="5.44140625" bestFit="1" customWidth="1"/>
    <col min="13844" max="13844" width="8.33203125" bestFit="1" customWidth="1"/>
    <col min="13845" max="13845" width="7.44140625" bestFit="1" customWidth="1"/>
    <col min="13846" max="13846" width="3" customWidth="1"/>
    <col min="13847" max="13847" width="7.33203125" bestFit="1" customWidth="1"/>
    <col min="13848" max="13848" width="4.44140625" bestFit="1" customWidth="1"/>
    <col min="13849" max="13849" width="7.5546875" bestFit="1" customWidth="1"/>
    <col min="13850" max="13850" width="5.44140625" bestFit="1" customWidth="1"/>
    <col min="13851" max="13851" width="8.33203125" bestFit="1" customWidth="1"/>
    <col min="13852" max="13852" width="7.44140625" bestFit="1" customWidth="1"/>
    <col min="13853" max="13853" width="3" customWidth="1"/>
    <col min="13854" max="13854" width="7.33203125" bestFit="1" customWidth="1"/>
    <col min="13855" max="13855" width="4.44140625" bestFit="1" customWidth="1"/>
    <col min="14081" max="14081" width="1.44140625" customWidth="1"/>
    <col min="14082" max="14082" width="7.33203125" bestFit="1" customWidth="1"/>
    <col min="14083" max="14083" width="4.44140625" bestFit="1" customWidth="1"/>
    <col min="14084" max="14084" width="7.5546875" bestFit="1" customWidth="1"/>
    <col min="14085" max="14085" width="5.44140625" bestFit="1" customWidth="1"/>
    <col min="14086" max="14086" width="8.33203125" bestFit="1" customWidth="1"/>
    <col min="14087" max="14087" width="7.44140625" bestFit="1" customWidth="1"/>
    <col min="14088" max="14088" width="3.33203125" customWidth="1"/>
    <col min="14089" max="14089" width="7.33203125" bestFit="1" customWidth="1"/>
    <col min="14090" max="14090" width="4.44140625" bestFit="1" customWidth="1"/>
    <col min="14091" max="14091" width="7.5546875" bestFit="1" customWidth="1"/>
    <col min="14092" max="14092" width="5.44140625" bestFit="1" customWidth="1"/>
    <col min="14093" max="14093" width="8.33203125" bestFit="1" customWidth="1"/>
    <col min="14094" max="14094" width="7.44140625" bestFit="1" customWidth="1"/>
    <col min="14095" max="14095" width="3" customWidth="1"/>
    <col min="14096" max="14096" width="7.33203125" bestFit="1" customWidth="1"/>
    <col min="14097" max="14097" width="4.44140625" bestFit="1" customWidth="1"/>
    <col min="14098" max="14098" width="7.5546875" bestFit="1" customWidth="1"/>
    <col min="14099" max="14099" width="5.44140625" bestFit="1" customWidth="1"/>
    <col min="14100" max="14100" width="8.33203125" bestFit="1" customWidth="1"/>
    <col min="14101" max="14101" width="7.44140625" bestFit="1" customWidth="1"/>
    <col min="14102" max="14102" width="3" customWidth="1"/>
    <col min="14103" max="14103" width="7.33203125" bestFit="1" customWidth="1"/>
    <col min="14104" max="14104" width="4.44140625" bestFit="1" customWidth="1"/>
    <col min="14105" max="14105" width="7.5546875" bestFit="1" customWidth="1"/>
    <col min="14106" max="14106" width="5.44140625" bestFit="1" customWidth="1"/>
    <col min="14107" max="14107" width="8.33203125" bestFit="1" customWidth="1"/>
    <col min="14108" max="14108" width="7.44140625" bestFit="1" customWidth="1"/>
    <col min="14109" max="14109" width="3" customWidth="1"/>
    <col min="14110" max="14110" width="7.33203125" bestFit="1" customWidth="1"/>
    <col min="14111" max="14111" width="4.44140625" bestFit="1" customWidth="1"/>
    <col min="14337" max="14337" width="1.44140625" customWidth="1"/>
    <col min="14338" max="14338" width="7.33203125" bestFit="1" customWidth="1"/>
    <col min="14339" max="14339" width="4.44140625" bestFit="1" customWidth="1"/>
    <col min="14340" max="14340" width="7.5546875" bestFit="1" customWidth="1"/>
    <col min="14341" max="14341" width="5.44140625" bestFit="1" customWidth="1"/>
    <col min="14342" max="14342" width="8.33203125" bestFit="1" customWidth="1"/>
    <col min="14343" max="14343" width="7.44140625" bestFit="1" customWidth="1"/>
    <col min="14344" max="14344" width="3.33203125" customWidth="1"/>
    <col min="14345" max="14345" width="7.33203125" bestFit="1" customWidth="1"/>
    <col min="14346" max="14346" width="4.44140625" bestFit="1" customWidth="1"/>
    <col min="14347" max="14347" width="7.5546875" bestFit="1" customWidth="1"/>
    <col min="14348" max="14348" width="5.44140625" bestFit="1" customWidth="1"/>
    <col min="14349" max="14349" width="8.33203125" bestFit="1" customWidth="1"/>
    <col min="14350" max="14350" width="7.44140625" bestFit="1" customWidth="1"/>
    <col min="14351" max="14351" width="3" customWidth="1"/>
    <col min="14352" max="14352" width="7.33203125" bestFit="1" customWidth="1"/>
    <col min="14353" max="14353" width="4.44140625" bestFit="1" customWidth="1"/>
    <col min="14354" max="14354" width="7.5546875" bestFit="1" customWidth="1"/>
    <col min="14355" max="14355" width="5.44140625" bestFit="1" customWidth="1"/>
    <col min="14356" max="14356" width="8.33203125" bestFit="1" customWidth="1"/>
    <col min="14357" max="14357" width="7.44140625" bestFit="1" customWidth="1"/>
    <col min="14358" max="14358" width="3" customWidth="1"/>
    <col min="14359" max="14359" width="7.33203125" bestFit="1" customWidth="1"/>
    <col min="14360" max="14360" width="4.44140625" bestFit="1" customWidth="1"/>
    <col min="14361" max="14361" width="7.5546875" bestFit="1" customWidth="1"/>
    <col min="14362" max="14362" width="5.44140625" bestFit="1" customWidth="1"/>
    <col min="14363" max="14363" width="8.33203125" bestFit="1" customWidth="1"/>
    <col min="14364" max="14364" width="7.44140625" bestFit="1" customWidth="1"/>
    <col min="14365" max="14365" width="3" customWidth="1"/>
    <col min="14366" max="14366" width="7.33203125" bestFit="1" customWidth="1"/>
    <col min="14367" max="14367" width="4.44140625" bestFit="1" customWidth="1"/>
    <col min="14593" max="14593" width="1.44140625" customWidth="1"/>
    <col min="14594" max="14594" width="7.33203125" bestFit="1" customWidth="1"/>
    <col min="14595" max="14595" width="4.44140625" bestFit="1" customWidth="1"/>
    <col min="14596" max="14596" width="7.5546875" bestFit="1" customWidth="1"/>
    <col min="14597" max="14597" width="5.44140625" bestFit="1" customWidth="1"/>
    <col min="14598" max="14598" width="8.33203125" bestFit="1" customWidth="1"/>
    <col min="14599" max="14599" width="7.44140625" bestFit="1" customWidth="1"/>
    <col min="14600" max="14600" width="3.33203125" customWidth="1"/>
    <col min="14601" max="14601" width="7.33203125" bestFit="1" customWidth="1"/>
    <col min="14602" max="14602" width="4.44140625" bestFit="1" customWidth="1"/>
    <col min="14603" max="14603" width="7.5546875" bestFit="1" customWidth="1"/>
    <col min="14604" max="14604" width="5.44140625" bestFit="1" customWidth="1"/>
    <col min="14605" max="14605" width="8.33203125" bestFit="1" customWidth="1"/>
    <col min="14606" max="14606" width="7.44140625" bestFit="1" customWidth="1"/>
    <col min="14607" max="14607" width="3" customWidth="1"/>
    <col min="14608" max="14608" width="7.33203125" bestFit="1" customWidth="1"/>
    <col min="14609" max="14609" width="4.44140625" bestFit="1" customWidth="1"/>
    <col min="14610" max="14610" width="7.5546875" bestFit="1" customWidth="1"/>
    <col min="14611" max="14611" width="5.44140625" bestFit="1" customWidth="1"/>
    <col min="14612" max="14612" width="8.33203125" bestFit="1" customWidth="1"/>
    <col min="14613" max="14613" width="7.44140625" bestFit="1" customWidth="1"/>
    <col min="14614" max="14614" width="3" customWidth="1"/>
    <col min="14615" max="14615" width="7.33203125" bestFit="1" customWidth="1"/>
    <col min="14616" max="14616" width="4.44140625" bestFit="1" customWidth="1"/>
    <col min="14617" max="14617" width="7.5546875" bestFit="1" customWidth="1"/>
    <col min="14618" max="14618" width="5.44140625" bestFit="1" customWidth="1"/>
    <col min="14619" max="14619" width="8.33203125" bestFit="1" customWidth="1"/>
    <col min="14620" max="14620" width="7.44140625" bestFit="1" customWidth="1"/>
    <col min="14621" max="14621" width="3" customWidth="1"/>
    <col min="14622" max="14622" width="7.33203125" bestFit="1" customWidth="1"/>
    <col min="14623" max="14623" width="4.44140625" bestFit="1" customWidth="1"/>
    <col min="14849" max="14849" width="1.44140625" customWidth="1"/>
    <col min="14850" max="14850" width="7.33203125" bestFit="1" customWidth="1"/>
    <col min="14851" max="14851" width="4.44140625" bestFit="1" customWidth="1"/>
    <col min="14852" max="14852" width="7.5546875" bestFit="1" customWidth="1"/>
    <col min="14853" max="14853" width="5.44140625" bestFit="1" customWidth="1"/>
    <col min="14854" max="14854" width="8.33203125" bestFit="1" customWidth="1"/>
    <col min="14855" max="14855" width="7.44140625" bestFit="1" customWidth="1"/>
    <col min="14856" max="14856" width="3.33203125" customWidth="1"/>
    <col min="14857" max="14857" width="7.33203125" bestFit="1" customWidth="1"/>
    <col min="14858" max="14858" width="4.44140625" bestFit="1" customWidth="1"/>
    <col min="14859" max="14859" width="7.5546875" bestFit="1" customWidth="1"/>
    <col min="14860" max="14860" width="5.44140625" bestFit="1" customWidth="1"/>
    <col min="14861" max="14861" width="8.33203125" bestFit="1" customWidth="1"/>
    <col min="14862" max="14862" width="7.44140625" bestFit="1" customWidth="1"/>
    <col min="14863" max="14863" width="3" customWidth="1"/>
    <col min="14864" max="14864" width="7.33203125" bestFit="1" customWidth="1"/>
    <col min="14865" max="14865" width="4.44140625" bestFit="1" customWidth="1"/>
    <col min="14866" max="14866" width="7.5546875" bestFit="1" customWidth="1"/>
    <col min="14867" max="14867" width="5.44140625" bestFit="1" customWidth="1"/>
    <col min="14868" max="14868" width="8.33203125" bestFit="1" customWidth="1"/>
    <col min="14869" max="14869" width="7.44140625" bestFit="1" customWidth="1"/>
    <col min="14870" max="14870" width="3" customWidth="1"/>
    <col min="14871" max="14871" width="7.33203125" bestFit="1" customWidth="1"/>
    <col min="14872" max="14872" width="4.44140625" bestFit="1" customWidth="1"/>
    <col min="14873" max="14873" width="7.5546875" bestFit="1" customWidth="1"/>
    <col min="14874" max="14874" width="5.44140625" bestFit="1" customWidth="1"/>
    <col min="14875" max="14875" width="8.33203125" bestFit="1" customWidth="1"/>
    <col min="14876" max="14876" width="7.44140625" bestFit="1" customWidth="1"/>
    <col min="14877" max="14877" width="3" customWidth="1"/>
    <col min="14878" max="14878" width="7.33203125" bestFit="1" customWidth="1"/>
    <col min="14879" max="14879" width="4.44140625" bestFit="1" customWidth="1"/>
    <col min="15105" max="15105" width="1.44140625" customWidth="1"/>
    <col min="15106" max="15106" width="7.33203125" bestFit="1" customWidth="1"/>
    <col min="15107" max="15107" width="4.44140625" bestFit="1" customWidth="1"/>
    <col min="15108" max="15108" width="7.5546875" bestFit="1" customWidth="1"/>
    <col min="15109" max="15109" width="5.44140625" bestFit="1" customWidth="1"/>
    <col min="15110" max="15110" width="8.33203125" bestFit="1" customWidth="1"/>
    <col min="15111" max="15111" width="7.44140625" bestFit="1" customWidth="1"/>
    <col min="15112" max="15112" width="3.33203125" customWidth="1"/>
    <col min="15113" max="15113" width="7.33203125" bestFit="1" customWidth="1"/>
    <col min="15114" max="15114" width="4.44140625" bestFit="1" customWidth="1"/>
    <col min="15115" max="15115" width="7.5546875" bestFit="1" customWidth="1"/>
    <col min="15116" max="15116" width="5.44140625" bestFit="1" customWidth="1"/>
    <col min="15117" max="15117" width="8.33203125" bestFit="1" customWidth="1"/>
    <col min="15118" max="15118" width="7.44140625" bestFit="1" customWidth="1"/>
    <col min="15119" max="15119" width="3" customWidth="1"/>
    <col min="15120" max="15120" width="7.33203125" bestFit="1" customWidth="1"/>
    <col min="15121" max="15121" width="4.44140625" bestFit="1" customWidth="1"/>
    <col min="15122" max="15122" width="7.5546875" bestFit="1" customWidth="1"/>
    <col min="15123" max="15123" width="5.44140625" bestFit="1" customWidth="1"/>
    <col min="15124" max="15124" width="8.33203125" bestFit="1" customWidth="1"/>
    <col min="15125" max="15125" width="7.44140625" bestFit="1" customWidth="1"/>
    <col min="15126" max="15126" width="3" customWidth="1"/>
    <col min="15127" max="15127" width="7.33203125" bestFit="1" customWidth="1"/>
    <col min="15128" max="15128" width="4.44140625" bestFit="1" customWidth="1"/>
    <col min="15129" max="15129" width="7.5546875" bestFit="1" customWidth="1"/>
    <col min="15130" max="15130" width="5.44140625" bestFit="1" customWidth="1"/>
    <col min="15131" max="15131" width="8.33203125" bestFit="1" customWidth="1"/>
    <col min="15132" max="15132" width="7.44140625" bestFit="1" customWidth="1"/>
    <col min="15133" max="15133" width="3" customWidth="1"/>
    <col min="15134" max="15134" width="7.33203125" bestFit="1" customWidth="1"/>
    <col min="15135" max="15135" width="4.44140625" bestFit="1" customWidth="1"/>
    <col min="15361" max="15361" width="1.44140625" customWidth="1"/>
    <col min="15362" max="15362" width="7.33203125" bestFit="1" customWidth="1"/>
    <col min="15363" max="15363" width="4.44140625" bestFit="1" customWidth="1"/>
    <col min="15364" max="15364" width="7.5546875" bestFit="1" customWidth="1"/>
    <col min="15365" max="15365" width="5.44140625" bestFit="1" customWidth="1"/>
    <col min="15366" max="15366" width="8.33203125" bestFit="1" customWidth="1"/>
    <col min="15367" max="15367" width="7.44140625" bestFit="1" customWidth="1"/>
    <col min="15368" max="15368" width="3.33203125" customWidth="1"/>
    <col min="15369" max="15369" width="7.33203125" bestFit="1" customWidth="1"/>
    <col min="15370" max="15370" width="4.44140625" bestFit="1" customWidth="1"/>
    <col min="15371" max="15371" width="7.5546875" bestFit="1" customWidth="1"/>
    <col min="15372" max="15372" width="5.44140625" bestFit="1" customWidth="1"/>
    <col min="15373" max="15373" width="8.33203125" bestFit="1" customWidth="1"/>
    <col min="15374" max="15374" width="7.44140625" bestFit="1" customWidth="1"/>
    <col min="15375" max="15375" width="3" customWidth="1"/>
    <col min="15376" max="15376" width="7.33203125" bestFit="1" customWidth="1"/>
    <col min="15377" max="15377" width="4.44140625" bestFit="1" customWidth="1"/>
    <col min="15378" max="15378" width="7.5546875" bestFit="1" customWidth="1"/>
    <col min="15379" max="15379" width="5.44140625" bestFit="1" customWidth="1"/>
    <col min="15380" max="15380" width="8.33203125" bestFit="1" customWidth="1"/>
    <col min="15381" max="15381" width="7.44140625" bestFit="1" customWidth="1"/>
    <col min="15382" max="15382" width="3" customWidth="1"/>
    <col min="15383" max="15383" width="7.33203125" bestFit="1" customWidth="1"/>
    <col min="15384" max="15384" width="4.44140625" bestFit="1" customWidth="1"/>
    <col min="15385" max="15385" width="7.5546875" bestFit="1" customWidth="1"/>
    <col min="15386" max="15386" width="5.44140625" bestFit="1" customWidth="1"/>
    <col min="15387" max="15387" width="8.33203125" bestFit="1" customWidth="1"/>
    <col min="15388" max="15388" width="7.44140625" bestFit="1" customWidth="1"/>
    <col min="15389" max="15389" width="3" customWidth="1"/>
    <col min="15390" max="15390" width="7.33203125" bestFit="1" customWidth="1"/>
    <col min="15391" max="15391" width="4.44140625" bestFit="1" customWidth="1"/>
    <col min="15617" max="15617" width="1.44140625" customWidth="1"/>
    <col min="15618" max="15618" width="7.33203125" bestFit="1" customWidth="1"/>
    <col min="15619" max="15619" width="4.44140625" bestFit="1" customWidth="1"/>
    <col min="15620" max="15620" width="7.5546875" bestFit="1" customWidth="1"/>
    <col min="15621" max="15621" width="5.44140625" bestFit="1" customWidth="1"/>
    <col min="15622" max="15622" width="8.33203125" bestFit="1" customWidth="1"/>
    <col min="15623" max="15623" width="7.44140625" bestFit="1" customWidth="1"/>
    <col min="15624" max="15624" width="3.33203125" customWidth="1"/>
    <col min="15625" max="15625" width="7.33203125" bestFit="1" customWidth="1"/>
    <col min="15626" max="15626" width="4.44140625" bestFit="1" customWidth="1"/>
    <col min="15627" max="15627" width="7.5546875" bestFit="1" customWidth="1"/>
    <col min="15628" max="15628" width="5.44140625" bestFit="1" customWidth="1"/>
    <col min="15629" max="15629" width="8.33203125" bestFit="1" customWidth="1"/>
    <col min="15630" max="15630" width="7.44140625" bestFit="1" customWidth="1"/>
    <col min="15631" max="15631" width="3" customWidth="1"/>
    <col min="15632" max="15632" width="7.33203125" bestFit="1" customWidth="1"/>
    <col min="15633" max="15633" width="4.44140625" bestFit="1" customWidth="1"/>
    <col min="15634" max="15634" width="7.5546875" bestFit="1" customWidth="1"/>
    <col min="15635" max="15635" width="5.44140625" bestFit="1" customWidth="1"/>
    <col min="15636" max="15636" width="8.33203125" bestFit="1" customWidth="1"/>
    <col min="15637" max="15637" width="7.44140625" bestFit="1" customWidth="1"/>
    <col min="15638" max="15638" width="3" customWidth="1"/>
    <col min="15639" max="15639" width="7.33203125" bestFit="1" customWidth="1"/>
    <col min="15640" max="15640" width="4.44140625" bestFit="1" customWidth="1"/>
    <col min="15641" max="15641" width="7.5546875" bestFit="1" customWidth="1"/>
    <col min="15642" max="15642" width="5.44140625" bestFit="1" customWidth="1"/>
    <col min="15643" max="15643" width="8.33203125" bestFit="1" customWidth="1"/>
    <col min="15644" max="15644" width="7.44140625" bestFit="1" customWidth="1"/>
    <col min="15645" max="15645" width="3" customWidth="1"/>
    <col min="15646" max="15646" width="7.33203125" bestFit="1" customWidth="1"/>
    <col min="15647" max="15647" width="4.44140625" bestFit="1" customWidth="1"/>
    <col min="15873" max="15873" width="1.44140625" customWidth="1"/>
    <col min="15874" max="15874" width="7.33203125" bestFit="1" customWidth="1"/>
    <col min="15875" max="15875" width="4.44140625" bestFit="1" customWidth="1"/>
    <col min="15876" max="15876" width="7.5546875" bestFit="1" customWidth="1"/>
    <col min="15877" max="15877" width="5.44140625" bestFit="1" customWidth="1"/>
    <col min="15878" max="15878" width="8.33203125" bestFit="1" customWidth="1"/>
    <col min="15879" max="15879" width="7.44140625" bestFit="1" customWidth="1"/>
    <col min="15880" max="15880" width="3.33203125" customWidth="1"/>
    <col min="15881" max="15881" width="7.33203125" bestFit="1" customWidth="1"/>
    <col min="15882" max="15882" width="4.44140625" bestFit="1" customWidth="1"/>
    <col min="15883" max="15883" width="7.5546875" bestFit="1" customWidth="1"/>
    <col min="15884" max="15884" width="5.44140625" bestFit="1" customWidth="1"/>
    <col min="15885" max="15885" width="8.33203125" bestFit="1" customWidth="1"/>
    <col min="15886" max="15886" width="7.44140625" bestFit="1" customWidth="1"/>
    <col min="15887" max="15887" width="3" customWidth="1"/>
    <col min="15888" max="15888" width="7.33203125" bestFit="1" customWidth="1"/>
    <col min="15889" max="15889" width="4.44140625" bestFit="1" customWidth="1"/>
    <col min="15890" max="15890" width="7.5546875" bestFit="1" customWidth="1"/>
    <col min="15891" max="15891" width="5.44140625" bestFit="1" customWidth="1"/>
    <col min="15892" max="15892" width="8.33203125" bestFit="1" customWidth="1"/>
    <col min="15893" max="15893" width="7.44140625" bestFit="1" customWidth="1"/>
    <col min="15894" max="15894" width="3" customWidth="1"/>
    <col min="15895" max="15895" width="7.33203125" bestFit="1" customWidth="1"/>
    <col min="15896" max="15896" width="4.44140625" bestFit="1" customWidth="1"/>
    <col min="15897" max="15897" width="7.5546875" bestFit="1" customWidth="1"/>
    <col min="15898" max="15898" width="5.44140625" bestFit="1" customWidth="1"/>
    <col min="15899" max="15899" width="8.33203125" bestFit="1" customWidth="1"/>
    <col min="15900" max="15900" width="7.44140625" bestFit="1" customWidth="1"/>
    <col min="15901" max="15901" width="3" customWidth="1"/>
    <col min="15902" max="15902" width="7.33203125" bestFit="1" customWidth="1"/>
    <col min="15903" max="15903" width="4.44140625" bestFit="1" customWidth="1"/>
    <col min="16129" max="16129" width="1.44140625" customWidth="1"/>
    <col min="16130" max="16130" width="7.33203125" bestFit="1" customWidth="1"/>
    <col min="16131" max="16131" width="4.44140625" bestFit="1" customWidth="1"/>
    <col min="16132" max="16132" width="7.5546875" bestFit="1" customWidth="1"/>
    <col min="16133" max="16133" width="5.44140625" bestFit="1" customWidth="1"/>
    <col min="16134" max="16134" width="8.33203125" bestFit="1" customWidth="1"/>
    <col min="16135" max="16135" width="7.44140625" bestFit="1" customWidth="1"/>
    <col min="16136" max="16136" width="3.33203125" customWidth="1"/>
    <col min="16137" max="16137" width="7.33203125" bestFit="1" customWidth="1"/>
    <col min="16138" max="16138" width="4.44140625" bestFit="1" customWidth="1"/>
    <col min="16139" max="16139" width="7.5546875" bestFit="1" customWidth="1"/>
    <col min="16140" max="16140" width="5.44140625" bestFit="1" customWidth="1"/>
    <col min="16141" max="16141" width="8.33203125" bestFit="1" customWidth="1"/>
    <col min="16142" max="16142" width="7.44140625" bestFit="1" customWidth="1"/>
    <col min="16143" max="16143" width="3" customWidth="1"/>
    <col min="16144" max="16144" width="7.33203125" bestFit="1" customWidth="1"/>
    <col min="16145" max="16145" width="4.44140625" bestFit="1" customWidth="1"/>
    <col min="16146" max="16146" width="7.5546875" bestFit="1" customWidth="1"/>
    <col min="16147" max="16147" width="5.44140625" bestFit="1" customWidth="1"/>
    <col min="16148" max="16148" width="8.33203125" bestFit="1" customWidth="1"/>
    <col min="16149" max="16149" width="7.44140625" bestFit="1" customWidth="1"/>
    <col min="16150" max="16150" width="3" customWidth="1"/>
    <col min="16151" max="16151" width="7.33203125" bestFit="1" customWidth="1"/>
    <col min="16152" max="16152" width="4.44140625" bestFit="1" customWidth="1"/>
    <col min="16153" max="16153" width="7.5546875" bestFit="1" customWidth="1"/>
    <col min="16154" max="16154" width="5.44140625" bestFit="1" customWidth="1"/>
    <col min="16155" max="16155" width="8.33203125" bestFit="1" customWidth="1"/>
    <col min="16156" max="16156" width="7.44140625" bestFit="1" customWidth="1"/>
    <col min="16157" max="16157" width="3" customWidth="1"/>
    <col min="16158" max="16158" width="7.33203125" bestFit="1" customWidth="1"/>
    <col min="16159" max="16159" width="4.44140625" bestFit="1" customWidth="1"/>
  </cols>
  <sheetData>
    <row r="1" spans="1:35" x14ac:dyDescent="0.3">
      <c r="A1" s="193"/>
      <c r="B1" s="193" t="s">
        <v>0</v>
      </c>
    </row>
    <row r="2" spans="1:35" x14ac:dyDescent="0.3">
      <c r="A2" s="193"/>
      <c r="B2" s="193" t="s">
        <v>1</v>
      </c>
    </row>
    <row r="3" spans="1:35" x14ac:dyDescent="0.3">
      <c r="A3" s="198"/>
      <c r="B3" s="136" t="s">
        <v>2</v>
      </c>
    </row>
    <row r="4" spans="1:35" ht="6" customHeight="1" x14ac:dyDescent="0.3"/>
    <row r="5" spans="1:35" ht="6" customHeight="1" x14ac:dyDescent="0.3"/>
    <row r="6" spans="1:35" ht="15.6" x14ac:dyDescent="0.3">
      <c r="B6" s="1379" t="s">
        <v>368</v>
      </c>
      <c r="C6" s="1380"/>
      <c r="D6" s="1380"/>
      <c r="E6" s="1380"/>
      <c r="F6" s="1380"/>
      <c r="G6" s="1381"/>
      <c r="I6" s="1379" t="s">
        <v>371</v>
      </c>
      <c r="J6" s="1380"/>
      <c r="K6" s="1380"/>
      <c r="L6" s="1380"/>
      <c r="M6" s="1380"/>
      <c r="N6" s="1381"/>
      <c r="P6" s="1379" t="s">
        <v>372</v>
      </c>
      <c r="Q6" s="1380"/>
      <c r="R6" s="1380"/>
      <c r="S6" s="1380"/>
      <c r="T6" s="1380"/>
      <c r="U6" s="1381"/>
      <c r="W6" s="1379" t="s">
        <v>373</v>
      </c>
      <c r="X6" s="1380"/>
      <c r="Y6" s="1380"/>
      <c r="Z6" s="1380"/>
      <c r="AA6" s="1380"/>
      <c r="AB6" s="1381"/>
      <c r="AD6" s="1379" t="s">
        <v>374</v>
      </c>
      <c r="AE6" s="1380"/>
      <c r="AF6" s="1380"/>
      <c r="AG6" s="1380"/>
      <c r="AH6" s="1380"/>
      <c r="AI6" s="1381"/>
    </row>
    <row r="7" spans="1:35" x14ac:dyDescent="0.3">
      <c r="B7" s="97" t="s">
        <v>395</v>
      </c>
      <c r="C7" s="1377"/>
      <c r="D7" s="1377"/>
      <c r="E7" s="1377"/>
      <c r="F7" s="1377"/>
      <c r="G7" s="1378"/>
      <c r="I7" s="97" t="s">
        <v>395</v>
      </c>
      <c r="J7" s="1377"/>
      <c r="K7" s="1377"/>
      <c r="L7" s="1377"/>
      <c r="M7" s="1377"/>
      <c r="N7" s="1378"/>
      <c r="P7" s="97" t="s">
        <v>395</v>
      </c>
      <c r="Q7" s="1377"/>
      <c r="R7" s="1377"/>
      <c r="S7" s="1377"/>
      <c r="T7" s="1377"/>
      <c r="U7" s="1378"/>
      <c r="W7" s="97" t="s">
        <v>395</v>
      </c>
      <c r="X7" s="1377"/>
      <c r="Y7" s="1377"/>
      <c r="Z7" s="1377"/>
      <c r="AA7" s="1377"/>
      <c r="AB7" s="1378"/>
      <c r="AD7" s="97" t="s">
        <v>395</v>
      </c>
      <c r="AE7" s="1377"/>
      <c r="AF7" s="1377"/>
      <c r="AG7" s="1377"/>
      <c r="AH7" s="1377"/>
      <c r="AI7" s="1378"/>
    </row>
    <row r="8" spans="1:35" ht="27.6" x14ac:dyDescent="0.3">
      <c r="B8" s="1385" t="s">
        <v>396</v>
      </c>
      <c r="C8" s="1386"/>
      <c r="D8" s="98" t="s">
        <v>397</v>
      </c>
      <c r="E8" s="98" t="s">
        <v>398</v>
      </c>
      <c r="F8" s="98" t="s">
        <v>399</v>
      </c>
      <c r="G8" s="98" t="s">
        <v>400</v>
      </c>
      <c r="I8" s="1385" t="s">
        <v>396</v>
      </c>
      <c r="J8" s="1386"/>
      <c r="K8" s="98" t="s">
        <v>397</v>
      </c>
      <c r="L8" s="98" t="s">
        <v>398</v>
      </c>
      <c r="M8" s="98" t="s">
        <v>399</v>
      </c>
      <c r="N8" s="98" t="s">
        <v>400</v>
      </c>
      <c r="P8" s="1385" t="s">
        <v>396</v>
      </c>
      <c r="Q8" s="1386"/>
      <c r="R8" s="98" t="s">
        <v>397</v>
      </c>
      <c r="S8" s="98" t="s">
        <v>398</v>
      </c>
      <c r="T8" s="98" t="s">
        <v>399</v>
      </c>
      <c r="U8" s="98" t="s">
        <v>400</v>
      </c>
      <c r="W8" s="1385" t="s">
        <v>396</v>
      </c>
      <c r="X8" s="1386"/>
      <c r="Y8" s="98" t="s">
        <v>397</v>
      </c>
      <c r="Z8" s="98" t="s">
        <v>398</v>
      </c>
      <c r="AA8" s="98" t="s">
        <v>399</v>
      </c>
      <c r="AB8" s="98" t="s">
        <v>400</v>
      </c>
      <c r="AD8" s="1385" t="s">
        <v>396</v>
      </c>
      <c r="AE8" s="1386"/>
      <c r="AF8" s="98" t="s">
        <v>397</v>
      </c>
      <c r="AG8" s="98" t="s">
        <v>398</v>
      </c>
      <c r="AH8" s="98" t="s">
        <v>399</v>
      </c>
      <c r="AI8" s="98" t="s">
        <v>400</v>
      </c>
    </row>
    <row r="9" spans="1:35" x14ac:dyDescent="0.3">
      <c r="B9" s="99" t="s">
        <v>401</v>
      </c>
      <c r="C9" s="99" t="s">
        <v>402</v>
      </c>
      <c r="D9" s="99" t="s">
        <v>403</v>
      </c>
      <c r="E9" s="99"/>
      <c r="F9" s="99" t="s">
        <v>404</v>
      </c>
      <c r="G9" s="100">
        <v>100</v>
      </c>
      <c r="I9" s="99" t="s">
        <v>401</v>
      </c>
      <c r="J9" s="99" t="s">
        <v>402</v>
      </c>
      <c r="K9" s="99" t="s">
        <v>403</v>
      </c>
      <c r="L9" s="99"/>
      <c r="M9" s="99" t="s">
        <v>404</v>
      </c>
      <c r="N9" s="100">
        <v>100</v>
      </c>
      <c r="P9" s="99" t="s">
        <v>401</v>
      </c>
      <c r="Q9" s="99" t="s">
        <v>402</v>
      </c>
      <c r="R9" s="99" t="s">
        <v>403</v>
      </c>
      <c r="S9" s="99"/>
      <c r="T9" s="99" t="s">
        <v>404</v>
      </c>
      <c r="U9" s="100">
        <v>100</v>
      </c>
      <c r="W9" s="99" t="s">
        <v>401</v>
      </c>
      <c r="X9" s="99" t="s">
        <v>402</v>
      </c>
      <c r="Y9" s="99" t="s">
        <v>403</v>
      </c>
      <c r="Z9" s="99"/>
      <c r="AA9" s="99" t="s">
        <v>404</v>
      </c>
      <c r="AB9" s="100">
        <v>100</v>
      </c>
      <c r="AD9" s="99" t="s">
        <v>401</v>
      </c>
      <c r="AE9" s="99" t="s">
        <v>402</v>
      </c>
      <c r="AF9" s="99" t="s">
        <v>403</v>
      </c>
      <c r="AG9" s="99"/>
      <c r="AH9" s="99" t="s">
        <v>404</v>
      </c>
      <c r="AI9" s="100">
        <v>100</v>
      </c>
    </row>
    <row r="10" spans="1:35" x14ac:dyDescent="0.3">
      <c r="B10" s="99">
        <v>2023</v>
      </c>
      <c r="C10" s="101" t="s">
        <v>405</v>
      </c>
      <c r="D10" s="102"/>
      <c r="E10" s="103">
        <v>25</v>
      </c>
      <c r="F10" s="102">
        <f>D10/30*E10</f>
        <v>0</v>
      </c>
      <c r="G10" s="104">
        <f>(G9*F10)+G9</f>
        <v>100</v>
      </c>
      <c r="I10" s="99">
        <f>B10+1</f>
        <v>2024</v>
      </c>
      <c r="J10" s="101" t="str">
        <f>$C$10</f>
        <v>AGO</v>
      </c>
      <c r="K10" s="102"/>
      <c r="L10" s="103">
        <f>$E$10</f>
        <v>25</v>
      </c>
      <c r="M10" s="102">
        <f>K10/30*L10</f>
        <v>0</v>
      </c>
      <c r="N10" s="104">
        <f>(N9*M10)+N9</f>
        <v>100</v>
      </c>
      <c r="P10" s="99">
        <f>I10+1</f>
        <v>2025</v>
      </c>
      <c r="Q10" s="101" t="str">
        <f>$C$10</f>
        <v>AGO</v>
      </c>
      <c r="R10" s="102"/>
      <c r="S10" s="103">
        <f>$E$10</f>
        <v>25</v>
      </c>
      <c r="T10" s="102">
        <f>R10/30*S10</f>
        <v>0</v>
      </c>
      <c r="U10" s="104">
        <f>(U9*T10)+U9</f>
        <v>100</v>
      </c>
      <c r="W10" s="99">
        <f>P10+1</f>
        <v>2026</v>
      </c>
      <c r="X10" s="101" t="str">
        <f>$C$10</f>
        <v>AGO</v>
      </c>
      <c r="Y10" s="102"/>
      <c r="Z10" s="103">
        <f>$E$10</f>
        <v>25</v>
      </c>
      <c r="AA10" s="102">
        <f>Y10/30*Z10</f>
        <v>0</v>
      </c>
      <c r="AB10" s="104">
        <f>(AB9*AA10)+AB9</f>
        <v>100</v>
      </c>
      <c r="AD10" s="99">
        <f>W10+1</f>
        <v>2027</v>
      </c>
      <c r="AE10" s="101" t="str">
        <f>$C$10</f>
        <v>AGO</v>
      </c>
      <c r="AF10" s="102"/>
      <c r="AG10" s="103">
        <f>$E$10</f>
        <v>25</v>
      </c>
      <c r="AH10" s="102">
        <f>AF10/30*AG10</f>
        <v>0</v>
      </c>
      <c r="AI10" s="104">
        <f>(AI9*AH10)+AI9</f>
        <v>100</v>
      </c>
    </row>
    <row r="11" spans="1:35" x14ac:dyDescent="0.3">
      <c r="B11" s="99">
        <v>2023</v>
      </c>
      <c r="C11" s="101" t="s">
        <v>406</v>
      </c>
      <c r="D11" s="102"/>
      <c r="E11" s="103"/>
      <c r="F11" s="102">
        <f t="shared" ref="F11:F22" si="0">D11/30*E11</f>
        <v>0</v>
      </c>
      <c r="G11" s="104">
        <f t="shared" ref="G11:G22" si="1">(G10*F11)+G10</f>
        <v>100</v>
      </c>
      <c r="I11" s="99">
        <f t="shared" ref="I11:I22" si="2">B11+1</f>
        <v>2024</v>
      </c>
      <c r="J11" s="101" t="str">
        <f>$C$11</f>
        <v>SET</v>
      </c>
      <c r="K11" s="102"/>
      <c r="L11" s="103"/>
      <c r="M11" s="102">
        <f t="shared" ref="M11:M22" si="3">K11/30*L11</f>
        <v>0</v>
      </c>
      <c r="N11" s="104">
        <f t="shared" ref="N11:N22" si="4">(N10*M11)+N10</f>
        <v>100</v>
      </c>
      <c r="P11" s="99">
        <f t="shared" ref="P11:P22" si="5">I11+1</f>
        <v>2025</v>
      </c>
      <c r="Q11" s="101" t="str">
        <f>$C$11</f>
        <v>SET</v>
      </c>
      <c r="R11" s="102"/>
      <c r="S11" s="103"/>
      <c r="T11" s="102">
        <f t="shared" ref="T11:T22" si="6">R11/30*S11</f>
        <v>0</v>
      </c>
      <c r="U11" s="104">
        <f t="shared" ref="U11:U22" si="7">(U10*T11)+U10</f>
        <v>100</v>
      </c>
      <c r="W11" s="99">
        <f t="shared" ref="W11:W22" si="8">P11+1</f>
        <v>2026</v>
      </c>
      <c r="X11" s="101" t="str">
        <f>$C$11</f>
        <v>SET</v>
      </c>
      <c r="Y11" s="102"/>
      <c r="Z11" s="103"/>
      <c r="AA11" s="102">
        <f t="shared" ref="AA11:AA22" si="9">Y11/30*Z11</f>
        <v>0</v>
      </c>
      <c r="AB11" s="104">
        <f t="shared" ref="AB11:AB22" si="10">(AB10*AA11)+AB10</f>
        <v>100</v>
      </c>
      <c r="AD11" s="99">
        <f t="shared" ref="AD11:AD22" si="11">W11+1</f>
        <v>2027</v>
      </c>
      <c r="AE11" s="101" t="str">
        <f>$C$11</f>
        <v>SET</v>
      </c>
      <c r="AF11" s="102"/>
      <c r="AG11" s="103"/>
      <c r="AH11" s="102">
        <f t="shared" ref="AH11:AH22" si="12">AF11/30*AG11</f>
        <v>0</v>
      </c>
      <c r="AI11" s="104">
        <f t="shared" ref="AI11:AI22" si="13">(AI10*AH11)+AI10</f>
        <v>100</v>
      </c>
    </row>
    <row r="12" spans="1:35" x14ac:dyDescent="0.3">
      <c r="B12" s="99">
        <v>2023</v>
      </c>
      <c r="C12" s="101" t="s">
        <v>407</v>
      </c>
      <c r="D12" s="102"/>
      <c r="E12" s="103"/>
      <c r="F12" s="102">
        <f t="shared" si="0"/>
        <v>0</v>
      </c>
      <c r="G12" s="104">
        <f t="shared" si="1"/>
        <v>100</v>
      </c>
      <c r="I12" s="99">
        <f t="shared" si="2"/>
        <v>2024</v>
      </c>
      <c r="J12" s="101" t="str">
        <f>$C$12</f>
        <v>OUT</v>
      </c>
      <c r="K12" s="102"/>
      <c r="L12" s="103"/>
      <c r="M12" s="102">
        <f t="shared" si="3"/>
        <v>0</v>
      </c>
      <c r="N12" s="104">
        <f t="shared" si="4"/>
        <v>100</v>
      </c>
      <c r="P12" s="99">
        <f t="shared" si="5"/>
        <v>2025</v>
      </c>
      <c r="Q12" s="101" t="str">
        <f>$C$12</f>
        <v>OUT</v>
      </c>
      <c r="R12" s="102"/>
      <c r="S12" s="103"/>
      <c r="T12" s="102">
        <f t="shared" si="6"/>
        <v>0</v>
      </c>
      <c r="U12" s="104">
        <f t="shared" si="7"/>
        <v>100</v>
      </c>
      <c r="W12" s="99">
        <f t="shared" si="8"/>
        <v>2026</v>
      </c>
      <c r="X12" s="101" t="str">
        <f>$C$12</f>
        <v>OUT</v>
      </c>
      <c r="Y12" s="102"/>
      <c r="Z12" s="103"/>
      <c r="AA12" s="102">
        <f t="shared" si="9"/>
        <v>0</v>
      </c>
      <c r="AB12" s="104">
        <f t="shared" si="10"/>
        <v>100</v>
      </c>
      <c r="AD12" s="99">
        <f t="shared" si="11"/>
        <v>2027</v>
      </c>
      <c r="AE12" s="101" t="str">
        <f>$C$12</f>
        <v>OUT</v>
      </c>
      <c r="AF12" s="102"/>
      <c r="AG12" s="103"/>
      <c r="AH12" s="102">
        <f t="shared" si="12"/>
        <v>0</v>
      </c>
      <c r="AI12" s="104">
        <f t="shared" si="13"/>
        <v>100</v>
      </c>
    </row>
    <row r="13" spans="1:35" x14ac:dyDescent="0.3">
      <c r="B13" s="99">
        <v>2023</v>
      </c>
      <c r="C13" s="101" t="s">
        <v>408</v>
      </c>
      <c r="D13" s="102"/>
      <c r="E13" s="103"/>
      <c r="F13" s="102">
        <f t="shared" si="0"/>
        <v>0</v>
      </c>
      <c r="G13" s="104">
        <f t="shared" si="1"/>
        <v>100</v>
      </c>
      <c r="I13" s="99">
        <f t="shared" si="2"/>
        <v>2024</v>
      </c>
      <c r="J13" s="101" t="str">
        <f>$C$13</f>
        <v>NOV</v>
      </c>
      <c r="K13" s="102"/>
      <c r="L13" s="103"/>
      <c r="M13" s="102">
        <f t="shared" si="3"/>
        <v>0</v>
      </c>
      <c r="N13" s="104">
        <f t="shared" si="4"/>
        <v>100</v>
      </c>
      <c r="P13" s="99">
        <f t="shared" si="5"/>
        <v>2025</v>
      </c>
      <c r="Q13" s="101" t="str">
        <f>$C$13</f>
        <v>NOV</v>
      </c>
      <c r="R13" s="102"/>
      <c r="S13" s="103"/>
      <c r="T13" s="102">
        <f t="shared" si="6"/>
        <v>0</v>
      </c>
      <c r="U13" s="104">
        <f t="shared" si="7"/>
        <v>100</v>
      </c>
      <c r="W13" s="99">
        <f t="shared" si="8"/>
        <v>2026</v>
      </c>
      <c r="X13" s="101" t="str">
        <f>$C$13</f>
        <v>NOV</v>
      </c>
      <c r="Y13" s="102"/>
      <c r="Z13" s="103"/>
      <c r="AA13" s="102">
        <f t="shared" si="9"/>
        <v>0</v>
      </c>
      <c r="AB13" s="104">
        <f t="shared" si="10"/>
        <v>100</v>
      </c>
      <c r="AD13" s="99">
        <f t="shared" si="11"/>
        <v>2027</v>
      </c>
      <c r="AE13" s="101" t="str">
        <f>$C$13</f>
        <v>NOV</v>
      </c>
      <c r="AF13" s="102"/>
      <c r="AG13" s="103"/>
      <c r="AH13" s="102">
        <f t="shared" si="12"/>
        <v>0</v>
      </c>
      <c r="AI13" s="104">
        <f t="shared" si="13"/>
        <v>100</v>
      </c>
    </row>
    <row r="14" spans="1:35" x14ac:dyDescent="0.3">
      <c r="B14" s="99">
        <v>2023</v>
      </c>
      <c r="C14" s="101" t="s">
        <v>409</v>
      </c>
      <c r="D14" s="102"/>
      <c r="E14" s="103"/>
      <c r="F14" s="102">
        <f t="shared" si="0"/>
        <v>0</v>
      </c>
      <c r="G14" s="104">
        <f t="shared" si="1"/>
        <v>100</v>
      </c>
      <c r="I14" s="99">
        <f t="shared" si="2"/>
        <v>2024</v>
      </c>
      <c r="J14" s="101" t="str">
        <f>$C$14</f>
        <v>DEZ</v>
      </c>
      <c r="K14" s="102"/>
      <c r="L14" s="103"/>
      <c r="M14" s="102">
        <f t="shared" si="3"/>
        <v>0</v>
      </c>
      <c r="N14" s="104">
        <f t="shared" si="4"/>
        <v>100</v>
      </c>
      <c r="P14" s="99">
        <f t="shared" si="5"/>
        <v>2025</v>
      </c>
      <c r="Q14" s="101" t="str">
        <f>$C$14</f>
        <v>DEZ</v>
      </c>
      <c r="R14" s="102"/>
      <c r="S14" s="103"/>
      <c r="T14" s="102">
        <f t="shared" si="6"/>
        <v>0</v>
      </c>
      <c r="U14" s="104">
        <f t="shared" si="7"/>
        <v>100</v>
      </c>
      <c r="W14" s="99">
        <f t="shared" si="8"/>
        <v>2026</v>
      </c>
      <c r="X14" s="101" t="str">
        <f>$C$14</f>
        <v>DEZ</v>
      </c>
      <c r="Y14" s="102"/>
      <c r="Z14" s="103"/>
      <c r="AA14" s="102">
        <f t="shared" si="9"/>
        <v>0</v>
      </c>
      <c r="AB14" s="104">
        <f t="shared" si="10"/>
        <v>100</v>
      </c>
      <c r="AD14" s="99">
        <f t="shared" si="11"/>
        <v>2027</v>
      </c>
      <c r="AE14" s="101" t="str">
        <f>$C$14</f>
        <v>DEZ</v>
      </c>
      <c r="AF14" s="102"/>
      <c r="AG14" s="103"/>
      <c r="AH14" s="102">
        <f t="shared" si="12"/>
        <v>0</v>
      </c>
      <c r="AI14" s="104">
        <f t="shared" si="13"/>
        <v>100</v>
      </c>
    </row>
    <row r="15" spans="1:35" x14ac:dyDescent="0.3">
      <c r="B15" s="99">
        <v>2023</v>
      </c>
      <c r="C15" s="101" t="s">
        <v>409</v>
      </c>
      <c r="D15" s="102"/>
      <c r="E15" s="103"/>
      <c r="F15" s="102">
        <f t="shared" si="0"/>
        <v>0</v>
      </c>
      <c r="G15" s="104">
        <f t="shared" si="1"/>
        <v>100</v>
      </c>
      <c r="I15" s="99">
        <f t="shared" si="2"/>
        <v>2024</v>
      </c>
      <c r="J15" s="101" t="str">
        <f>$C$15</f>
        <v>DEZ</v>
      </c>
      <c r="K15" s="102"/>
      <c r="L15" s="103"/>
      <c r="M15" s="102">
        <f t="shared" si="3"/>
        <v>0</v>
      </c>
      <c r="N15" s="104">
        <f t="shared" si="4"/>
        <v>100</v>
      </c>
      <c r="P15" s="99">
        <f t="shared" si="5"/>
        <v>2025</v>
      </c>
      <c r="Q15" s="101" t="str">
        <f>$C$15</f>
        <v>DEZ</v>
      </c>
      <c r="R15" s="102"/>
      <c r="S15" s="103"/>
      <c r="T15" s="102">
        <f t="shared" si="6"/>
        <v>0</v>
      </c>
      <c r="U15" s="104">
        <f t="shared" si="7"/>
        <v>100</v>
      </c>
      <c r="W15" s="99">
        <f t="shared" si="8"/>
        <v>2026</v>
      </c>
      <c r="X15" s="101" t="str">
        <f>$C$15</f>
        <v>DEZ</v>
      </c>
      <c r="Y15" s="102"/>
      <c r="Z15" s="103"/>
      <c r="AA15" s="102">
        <f t="shared" si="9"/>
        <v>0</v>
      </c>
      <c r="AB15" s="104">
        <f t="shared" si="10"/>
        <v>100</v>
      </c>
      <c r="AD15" s="99">
        <f t="shared" si="11"/>
        <v>2027</v>
      </c>
      <c r="AE15" s="101" t="str">
        <f>$C$15</f>
        <v>DEZ</v>
      </c>
      <c r="AF15" s="102"/>
      <c r="AG15" s="103"/>
      <c r="AH15" s="102">
        <f t="shared" si="12"/>
        <v>0</v>
      </c>
      <c r="AI15" s="104">
        <f t="shared" si="13"/>
        <v>100</v>
      </c>
    </row>
    <row r="16" spans="1:35" x14ac:dyDescent="0.3">
      <c r="B16" s="99">
        <v>2024</v>
      </c>
      <c r="C16" s="105" t="s">
        <v>410</v>
      </c>
      <c r="D16" s="106"/>
      <c r="E16" s="107"/>
      <c r="F16" s="102">
        <f t="shared" si="0"/>
        <v>0</v>
      </c>
      <c r="G16" s="104">
        <f t="shared" si="1"/>
        <v>100</v>
      </c>
      <c r="I16" s="99">
        <f t="shared" si="2"/>
        <v>2025</v>
      </c>
      <c r="J16" s="101" t="str">
        <f>$C$16</f>
        <v>JAN</v>
      </c>
      <c r="K16" s="106"/>
      <c r="L16" s="103"/>
      <c r="M16" s="102">
        <f t="shared" si="3"/>
        <v>0</v>
      </c>
      <c r="N16" s="104">
        <f t="shared" si="4"/>
        <v>100</v>
      </c>
      <c r="P16" s="99">
        <f t="shared" si="5"/>
        <v>2026</v>
      </c>
      <c r="Q16" s="101" t="str">
        <f>$C$16</f>
        <v>JAN</v>
      </c>
      <c r="R16" s="106"/>
      <c r="S16" s="103"/>
      <c r="T16" s="102">
        <f t="shared" si="6"/>
        <v>0</v>
      </c>
      <c r="U16" s="104">
        <f t="shared" si="7"/>
        <v>100</v>
      </c>
      <c r="W16" s="99">
        <f t="shared" si="8"/>
        <v>2027</v>
      </c>
      <c r="X16" s="101" t="str">
        <f>$C$16</f>
        <v>JAN</v>
      </c>
      <c r="Y16" s="106"/>
      <c r="Z16" s="103"/>
      <c r="AA16" s="102">
        <f t="shared" si="9"/>
        <v>0</v>
      </c>
      <c r="AB16" s="104">
        <f t="shared" si="10"/>
        <v>100</v>
      </c>
      <c r="AD16" s="99">
        <f t="shared" si="11"/>
        <v>2028</v>
      </c>
      <c r="AE16" s="101" t="str">
        <f>$C$16</f>
        <v>JAN</v>
      </c>
      <c r="AF16" s="106"/>
      <c r="AG16" s="103"/>
      <c r="AH16" s="102">
        <f t="shared" si="12"/>
        <v>0</v>
      </c>
      <c r="AI16" s="104">
        <f t="shared" si="13"/>
        <v>100</v>
      </c>
    </row>
    <row r="17" spans="2:35" x14ac:dyDescent="0.3">
      <c r="B17" s="99">
        <v>2024</v>
      </c>
      <c r="C17" s="101" t="s">
        <v>411</v>
      </c>
      <c r="D17" s="102"/>
      <c r="E17" s="103"/>
      <c r="F17" s="102">
        <f t="shared" si="0"/>
        <v>0</v>
      </c>
      <c r="G17" s="104">
        <f t="shared" si="1"/>
        <v>100</v>
      </c>
      <c r="I17" s="99">
        <f t="shared" si="2"/>
        <v>2025</v>
      </c>
      <c r="J17" s="101" t="str">
        <f>$C$17</f>
        <v>FEV</v>
      </c>
      <c r="K17" s="102"/>
      <c r="L17" s="103"/>
      <c r="M17" s="102">
        <f t="shared" si="3"/>
        <v>0</v>
      </c>
      <c r="N17" s="104">
        <f t="shared" si="4"/>
        <v>100</v>
      </c>
      <c r="P17" s="99">
        <f t="shared" si="5"/>
        <v>2026</v>
      </c>
      <c r="Q17" s="101" t="str">
        <f>$C$17</f>
        <v>FEV</v>
      </c>
      <c r="R17" s="102"/>
      <c r="S17" s="103"/>
      <c r="T17" s="102">
        <f t="shared" si="6"/>
        <v>0</v>
      </c>
      <c r="U17" s="104">
        <f t="shared" si="7"/>
        <v>100</v>
      </c>
      <c r="W17" s="99">
        <f t="shared" si="8"/>
        <v>2027</v>
      </c>
      <c r="X17" s="101" t="str">
        <f>$C$17</f>
        <v>FEV</v>
      </c>
      <c r="Y17" s="102"/>
      <c r="Z17" s="103"/>
      <c r="AA17" s="102">
        <f t="shared" si="9"/>
        <v>0</v>
      </c>
      <c r="AB17" s="104">
        <f t="shared" si="10"/>
        <v>100</v>
      </c>
      <c r="AD17" s="99">
        <f t="shared" si="11"/>
        <v>2028</v>
      </c>
      <c r="AE17" s="101" t="str">
        <f>$C$17</f>
        <v>FEV</v>
      </c>
      <c r="AF17" s="102"/>
      <c r="AG17" s="103"/>
      <c r="AH17" s="102">
        <f t="shared" si="12"/>
        <v>0</v>
      </c>
      <c r="AI17" s="104">
        <f t="shared" si="13"/>
        <v>100</v>
      </c>
    </row>
    <row r="18" spans="2:35" x14ac:dyDescent="0.3">
      <c r="B18" s="99">
        <v>2024</v>
      </c>
      <c r="C18" s="105" t="s">
        <v>412</v>
      </c>
      <c r="D18" s="102"/>
      <c r="E18" s="103"/>
      <c r="F18" s="102">
        <f t="shared" si="0"/>
        <v>0</v>
      </c>
      <c r="G18" s="104">
        <f t="shared" si="1"/>
        <v>100</v>
      </c>
      <c r="I18" s="99">
        <f t="shared" si="2"/>
        <v>2025</v>
      </c>
      <c r="J18" s="101" t="str">
        <f>$C$18</f>
        <v>MAR</v>
      </c>
      <c r="K18" s="102"/>
      <c r="L18" s="103"/>
      <c r="M18" s="102">
        <f t="shared" si="3"/>
        <v>0</v>
      </c>
      <c r="N18" s="104">
        <f t="shared" si="4"/>
        <v>100</v>
      </c>
      <c r="P18" s="99">
        <f t="shared" si="5"/>
        <v>2026</v>
      </c>
      <c r="Q18" s="101" t="str">
        <f>$C$18</f>
        <v>MAR</v>
      </c>
      <c r="R18" s="102"/>
      <c r="S18" s="103"/>
      <c r="T18" s="102">
        <f t="shared" si="6"/>
        <v>0</v>
      </c>
      <c r="U18" s="104">
        <f t="shared" si="7"/>
        <v>100</v>
      </c>
      <c r="W18" s="99">
        <f t="shared" si="8"/>
        <v>2027</v>
      </c>
      <c r="X18" s="101" t="str">
        <f>$C$18</f>
        <v>MAR</v>
      </c>
      <c r="Y18" s="102"/>
      <c r="Z18" s="103"/>
      <c r="AA18" s="102">
        <f t="shared" si="9"/>
        <v>0</v>
      </c>
      <c r="AB18" s="104">
        <f t="shared" si="10"/>
        <v>100</v>
      </c>
      <c r="AD18" s="99">
        <f t="shared" si="11"/>
        <v>2028</v>
      </c>
      <c r="AE18" s="101" t="str">
        <f>$C$18</f>
        <v>MAR</v>
      </c>
      <c r="AF18" s="102"/>
      <c r="AG18" s="103"/>
      <c r="AH18" s="102">
        <f t="shared" si="12"/>
        <v>0</v>
      </c>
      <c r="AI18" s="104">
        <f t="shared" si="13"/>
        <v>100</v>
      </c>
    </row>
    <row r="19" spans="2:35" x14ac:dyDescent="0.3">
      <c r="B19" s="99">
        <v>2024</v>
      </c>
      <c r="C19" s="101" t="s">
        <v>413</v>
      </c>
      <c r="D19" s="102"/>
      <c r="E19" s="103"/>
      <c r="F19" s="102">
        <f t="shared" si="0"/>
        <v>0</v>
      </c>
      <c r="G19" s="104">
        <f t="shared" si="1"/>
        <v>100</v>
      </c>
      <c r="I19" s="99">
        <f t="shared" si="2"/>
        <v>2025</v>
      </c>
      <c r="J19" s="101" t="str">
        <f>$C$19</f>
        <v>ABR</v>
      </c>
      <c r="K19" s="102"/>
      <c r="L19" s="103"/>
      <c r="M19" s="102">
        <f t="shared" si="3"/>
        <v>0</v>
      </c>
      <c r="N19" s="104">
        <f t="shared" si="4"/>
        <v>100</v>
      </c>
      <c r="P19" s="99">
        <f t="shared" si="5"/>
        <v>2026</v>
      </c>
      <c r="Q19" s="101" t="str">
        <f>$C$19</f>
        <v>ABR</v>
      </c>
      <c r="R19" s="102"/>
      <c r="S19" s="103"/>
      <c r="T19" s="102">
        <f t="shared" si="6"/>
        <v>0</v>
      </c>
      <c r="U19" s="104">
        <f t="shared" si="7"/>
        <v>100</v>
      </c>
      <c r="W19" s="99">
        <f t="shared" si="8"/>
        <v>2027</v>
      </c>
      <c r="X19" s="101" t="str">
        <f>$C$19</f>
        <v>ABR</v>
      </c>
      <c r="Y19" s="102"/>
      <c r="Z19" s="103"/>
      <c r="AA19" s="102">
        <f t="shared" si="9"/>
        <v>0</v>
      </c>
      <c r="AB19" s="104">
        <f t="shared" si="10"/>
        <v>100</v>
      </c>
      <c r="AD19" s="99">
        <f t="shared" si="11"/>
        <v>2028</v>
      </c>
      <c r="AE19" s="101" t="str">
        <f>$C$19</f>
        <v>ABR</v>
      </c>
      <c r="AF19" s="102"/>
      <c r="AG19" s="103"/>
      <c r="AH19" s="102">
        <f t="shared" si="12"/>
        <v>0</v>
      </c>
      <c r="AI19" s="104">
        <f t="shared" si="13"/>
        <v>100</v>
      </c>
    </row>
    <row r="20" spans="2:35" x14ac:dyDescent="0.3">
      <c r="B20" s="99">
        <v>2024</v>
      </c>
      <c r="C20" s="105" t="s">
        <v>414</v>
      </c>
      <c r="D20" s="102"/>
      <c r="E20" s="103"/>
      <c r="F20" s="102">
        <f t="shared" si="0"/>
        <v>0</v>
      </c>
      <c r="G20" s="104">
        <f t="shared" si="1"/>
        <v>100</v>
      </c>
      <c r="I20" s="99">
        <f t="shared" si="2"/>
        <v>2025</v>
      </c>
      <c r="J20" s="101" t="str">
        <f>$C$20</f>
        <v>MAI</v>
      </c>
      <c r="K20" s="102"/>
      <c r="L20" s="103"/>
      <c r="M20" s="102">
        <f t="shared" si="3"/>
        <v>0</v>
      </c>
      <c r="N20" s="104">
        <f t="shared" si="4"/>
        <v>100</v>
      </c>
      <c r="P20" s="99">
        <f t="shared" si="5"/>
        <v>2026</v>
      </c>
      <c r="Q20" s="101" t="str">
        <f>$C$20</f>
        <v>MAI</v>
      </c>
      <c r="R20" s="102"/>
      <c r="S20" s="103"/>
      <c r="T20" s="102">
        <f t="shared" si="6"/>
        <v>0</v>
      </c>
      <c r="U20" s="104">
        <f t="shared" si="7"/>
        <v>100</v>
      </c>
      <c r="W20" s="99">
        <f t="shared" si="8"/>
        <v>2027</v>
      </c>
      <c r="X20" s="101" t="str">
        <f>$C$20</f>
        <v>MAI</v>
      </c>
      <c r="Y20" s="102"/>
      <c r="Z20" s="103"/>
      <c r="AA20" s="102">
        <f t="shared" si="9"/>
        <v>0</v>
      </c>
      <c r="AB20" s="104">
        <f t="shared" si="10"/>
        <v>100</v>
      </c>
      <c r="AD20" s="99">
        <f t="shared" si="11"/>
        <v>2028</v>
      </c>
      <c r="AE20" s="101" t="str">
        <f>$C$20</f>
        <v>MAI</v>
      </c>
      <c r="AF20" s="102"/>
      <c r="AG20" s="103"/>
      <c r="AH20" s="102">
        <f t="shared" si="12"/>
        <v>0</v>
      </c>
      <c r="AI20" s="104">
        <f t="shared" si="13"/>
        <v>100</v>
      </c>
    </row>
    <row r="21" spans="2:35" x14ac:dyDescent="0.3">
      <c r="B21" s="99">
        <v>2024</v>
      </c>
      <c r="C21" s="101" t="s">
        <v>415</v>
      </c>
      <c r="D21" s="102"/>
      <c r="E21" s="103"/>
      <c r="F21" s="102">
        <f t="shared" si="0"/>
        <v>0</v>
      </c>
      <c r="G21" s="104">
        <f t="shared" si="1"/>
        <v>100</v>
      </c>
      <c r="I21" s="99">
        <f t="shared" si="2"/>
        <v>2025</v>
      </c>
      <c r="J21" s="101" t="str">
        <f>$C$21</f>
        <v>JUN</v>
      </c>
      <c r="K21" s="102"/>
      <c r="L21" s="103"/>
      <c r="M21" s="102">
        <f t="shared" si="3"/>
        <v>0</v>
      </c>
      <c r="N21" s="104">
        <f t="shared" si="4"/>
        <v>100</v>
      </c>
      <c r="P21" s="99">
        <f t="shared" si="5"/>
        <v>2026</v>
      </c>
      <c r="Q21" s="101" t="str">
        <f>$C$21</f>
        <v>JUN</v>
      </c>
      <c r="R21" s="102"/>
      <c r="S21" s="103"/>
      <c r="T21" s="102">
        <f t="shared" si="6"/>
        <v>0</v>
      </c>
      <c r="U21" s="104">
        <f t="shared" si="7"/>
        <v>100</v>
      </c>
      <c r="W21" s="99">
        <f t="shared" si="8"/>
        <v>2027</v>
      </c>
      <c r="X21" s="101" t="str">
        <f>$C$21</f>
        <v>JUN</v>
      </c>
      <c r="Y21" s="102"/>
      <c r="Z21" s="103"/>
      <c r="AA21" s="102">
        <f t="shared" si="9"/>
        <v>0</v>
      </c>
      <c r="AB21" s="104">
        <f t="shared" si="10"/>
        <v>100</v>
      </c>
      <c r="AD21" s="99">
        <f t="shared" si="11"/>
        <v>2028</v>
      </c>
      <c r="AE21" s="101" t="str">
        <f>$C$21</f>
        <v>JUN</v>
      </c>
      <c r="AF21" s="102"/>
      <c r="AG21" s="103"/>
      <c r="AH21" s="102">
        <f t="shared" si="12"/>
        <v>0</v>
      </c>
      <c r="AI21" s="104">
        <f t="shared" si="13"/>
        <v>100</v>
      </c>
    </row>
    <row r="22" spans="2:35" x14ac:dyDescent="0.3">
      <c r="B22" s="99">
        <v>2024</v>
      </c>
      <c r="C22" s="105" t="s">
        <v>416</v>
      </c>
      <c r="D22" s="102"/>
      <c r="E22" s="103">
        <v>5</v>
      </c>
      <c r="F22" s="102">
        <f t="shared" si="0"/>
        <v>0</v>
      </c>
      <c r="G22" s="104">
        <f t="shared" si="1"/>
        <v>100</v>
      </c>
      <c r="I22" s="99">
        <f t="shared" si="2"/>
        <v>2025</v>
      </c>
      <c r="J22" s="101" t="str">
        <f>$C$22</f>
        <v>JUL</v>
      </c>
      <c r="K22" s="102"/>
      <c r="L22" s="103">
        <f>$E$22</f>
        <v>5</v>
      </c>
      <c r="M22" s="102">
        <f t="shared" si="3"/>
        <v>0</v>
      </c>
      <c r="N22" s="104">
        <f t="shared" si="4"/>
        <v>100</v>
      </c>
      <c r="P22" s="99">
        <f t="shared" si="5"/>
        <v>2026</v>
      </c>
      <c r="Q22" s="101" t="str">
        <f>$C$22</f>
        <v>JUL</v>
      </c>
      <c r="R22" s="102"/>
      <c r="S22" s="103">
        <f>$E$22</f>
        <v>5</v>
      </c>
      <c r="T22" s="102">
        <f t="shared" si="6"/>
        <v>0</v>
      </c>
      <c r="U22" s="104">
        <f t="shared" si="7"/>
        <v>100</v>
      </c>
      <c r="W22" s="99">
        <f t="shared" si="8"/>
        <v>2027</v>
      </c>
      <c r="X22" s="101" t="str">
        <f>$C$22</f>
        <v>JUL</v>
      </c>
      <c r="Y22" s="102"/>
      <c r="Z22" s="103">
        <f>$E$22</f>
        <v>5</v>
      </c>
      <c r="AA22" s="102">
        <f t="shared" si="9"/>
        <v>0</v>
      </c>
      <c r="AB22" s="104">
        <f t="shared" si="10"/>
        <v>100</v>
      </c>
      <c r="AD22" s="99">
        <f t="shared" si="11"/>
        <v>2028</v>
      </c>
      <c r="AE22" s="101" t="str">
        <f>$C$22</f>
        <v>JUL</v>
      </c>
      <c r="AF22" s="102"/>
      <c r="AG22" s="103">
        <f>$E$22</f>
        <v>5</v>
      </c>
      <c r="AH22" s="102">
        <f t="shared" si="12"/>
        <v>0</v>
      </c>
      <c r="AI22" s="104">
        <f t="shared" si="13"/>
        <v>100</v>
      </c>
    </row>
    <row r="23" spans="2:35" x14ac:dyDescent="0.3">
      <c r="B23" s="1382" t="s">
        <v>417</v>
      </c>
      <c r="C23" s="1383"/>
      <c r="D23" s="1383"/>
      <c r="E23" s="1383"/>
      <c r="F23" s="1384"/>
      <c r="G23" s="108">
        <f>ROUND(((G22-G9)/G9),4)</f>
        <v>0</v>
      </c>
      <c r="I23" s="1382" t="s">
        <v>417</v>
      </c>
      <c r="J23" s="1383"/>
      <c r="K23" s="1383"/>
      <c r="L23" s="1383"/>
      <c r="M23" s="1384"/>
      <c r="N23" s="108">
        <f>ROUND(((N22-N9)/N9),4)</f>
        <v>0</v>
      </c>
      <c r="P23" s="1382" t="s">
        <v>417</v>
      </c>
      <c r="Q23" s="1383"/>
      <c r="R23" s="1383"/>
      <c r="S23" s="1383"/>
      <c r="T23" s="1384"/>
      <c r="U23" s="108">
        <f>ROUND(((U22-U9)/U9),4)</f>
        <v>0</v>
      </c>
      <c r="W23" s="1382" t="s">
        <v>417</v>
      </c>
      <c r="X23" s="1383"/>
      <c r="Y23" s="1383"/>
      <c r="Z23" s="1383"/>
      <c r="AA23" s="1384"/>
      <c r="AB23" s="108">
        <f>ROUND(((AB22-AB9)/AB9),4)</f>
        <v>0</v>
      </c>
      <c r="AD23" s="1382" t="s">
        <v>417</v>
      </c>
      <c r="AE23" s="1383"/>
      <c r="AF23" s="1383"/>
      <c r="AG23" s="1383"/>
      <c r="AH23" s="1384"/>
      <c r="AI23" s="108">
        <f>ROUND(((AI22-AI9)/AI9),4)</f>
        <v>0</v>
      </c>
    </row>
  </sheetData>
  <sheetProtection algorithmName="SHA-512" hashValue="n81HEWc9B0DrecFo3/U+IySInNXsm23ar01oH00H+KYykzXLo4aWjDbvt6782pi2kwVobHYvRdwC9y1uJmNuZA==" saltValue="rTctXbBXmAFpvAVOXwG10w==" spinCount="100000" sheet="1" objects="1" scenarios="1"/>
  <mergeCells count="20">
    <mergeCell ref="B8:C8"/>
    <mergeCell ref="I8:J8"/>
    <mergeCell ref="P8:Q8"/>
    <mergeCell ref="W8:X8"/>
    <mergeCell ref="AD8:AE8"/>
    <mergeCell ref="B23:F23"/>
    <mergeCell ref="I23:M23"/>
    <mergeCell ref="P23:T23"/>
    <mergeCell ref="W23:AA23"/>
    <mergeCell ref="AD23:AH23"/>
    <mergeCell ref="B6:G6"/>
    <mergeCell ref="I6:N6"/>
    <mergeCell ref="P6:U6"/>
    <mergeCell ref="W6:AB6"/>
    <mergeCell ref="AD6:AI6"/>
    <mergeCell ref="C7:G7"/>
    <mergeCell ref="J7:N7"/>
    <mergeCell ref="Q7:U7"/>
    <mergeCell ref="X7:AB7"/>
    <mergeCell ref="AE7:AI7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89"/>
  <sheetViews>
    <sheetView showGridLines="0" view="pageBreakPreview" zoomScale="90" zoomScaleNormal="130" zoomScaleSheetLayoutView="90" workbookViewId="0">
      <selection activeCell="D26" sqref="D26"/>
    </sheetView>
  </sheetViews>
  <sheetFormatPr defaultRowHeight="13.8" x14ac:dyDescent="0.3"/>
  <cols>
    <col min="1" max="1" width="6.33203125" style="557" customWidth="1"/>
    <col min="2" max="2" width="8.6640625" style="57" customWidth="1"/>
    <col min="3" max="3" width="4" style="24" customWidth="1"/>
    <col min="4" max="23" width="9.109375" style="24"/>
    <col min="24" max="24" width="10.6640625" style="24" customWidth="1"/>
    <col min="25" max="256" width="9.109375" style="24"/>
    <col min="257" max="257" width="4.5546875" style="24" customWidth="1"/>
    <col min="258" max="258" width="11.109375" style="24" customWidth="1"/>
    <col min="259" max="259" width="4" style="24" customWidth="1"/>
    <col min="260" max="512" width="9.109375" style="24"/>
    <col min="513" max="513" width="4.5546875" style="24" customWidth="1"/>
    <col min="514" max="514" width="11.109375" style="24" customWidth="1"/>
    <col min="515" max="515" width="4" style="24" customWidth="1"/>
    <col min="516" max="768" width="9.109375" style="24"/>
    <col min="769" max="769" width="4.5546875" style="24" customWidth="1"/>
    <col min="770" max="770" width="11.109375" style="24" customWidth="1"/>
    <col min="771" max="771" width="4" style="24" customWidth="1"/>
    <col min="772" max="1024" width="9.109375" style="24"/>
    <col min="1025" max="1025" width="4.5546875" style="24" customWidth="1"/>
    <col min="1026" max="1026" width="11.109375" style="24" customWidth="1"/>
    <col min="1027" max="1027" width="4" style="24" customWidth="1"/>
    <col min="1028" max="1280" width="9.109375" style="24"/>
    <col min="1281" max="1281" width="4.5546875" style="24" customWidth="1"/>
    <col min="1282" max="1282" width="11.109375" style="24" customWidth="1"/>
    <col min="1283" max="1283" width="4" style="24" customWidth="1"/>
    <col min="1284" max="1536" width="9.109375" style="24"/>
    <col min="1537" max="1537" width="4.5546875" style="24" customWidth="1"/>
    <col min="1538" max="1538" width="11.109375" style="24" customWidth="1"/>
    <col min="1539" max="1539" width="4" style="24" customWidth="1"/>
    <col min="1540" max="1792" width="9.109375" style="24"/>
    <col min="1793" max="1793" width="4.5546875" style="24" customWidth="1"/>
    <col min="1794" max="1794" width="11.109375" style="24" customWidth="1"/>
    <col min="1795" max="1795" width="4" style="24" customWidth="1"/>
    <col min="1796" max="2048" width="9.109375" style="24"/>
    <col min="2049" max="2049" width="4.5546875" style="24" customWidth="1"/>
    <col min="2050" max="2050" width="11.109375" style="24" customWidth="1"/>
    <col min="2051" max="2051" width="4" style="24" customWidth="1"/>
    <col min="2052" max="2304" width="9.109375" style="24"/>
    <col min="2305" max="2305" width="4.5546875" style="24" customWidth="1"/>
    <col min="2306" max="2306" width="11.109375" style="24" customWidth="1"/>
    <col min="2307" max="2307" width="4" style="24" customWidth="1"/>
    <col min="2308" max="2560" width="9.109375" style="24"/>
    <col min="2561" max="2561" width="4.5546875" style="24" customWidth="1"/>
    <col min="2562" max="2562" width="11.109375" style="24" customWidth="1"/>
    <col min="2563" max="2563" width="4" style="24" customWidth="1"/>
    <col min="2564" max="2816" width="9.109375" style="24"/>
    <col min="2817" max="2817" width="4.5546875" style="24" customWidth="1"/>
    <col min="2818" max="2818" width="11.109375" style="24" customWidth="1"/>
    <col min="2819" max="2819" width="4" style="24" customWidth="1"/>
    <col min="2820" max="3072" width="9.109375" style="24"/>
    <col min="3073" max="3073" width="4.5546875" style="24" customWidth="1"/>
    <col min="3074" max="3074" width="11.109375" style="24" customWidth="1"/>
    <col min="3075" max="3075" width="4" style="24" customWidth="1"/>
    <col min="3076" max="3328" width="9.109375" style="24"/>
    <col min="3329" max="3329" width="4.5546875" style="24" customWidth="1"/>
    <col min="3330" max="3330" width="11.109375" style="24" customWidth="1"/>
    <col min="3331" max="3331" width="4" style="24" customWidth="1"/>
    <col min="3332" max="3584" width="9.109375" style="24"/>
    <col min="3585" max="3585" width="4.5546875" style="24" customWidth="1"/>
    <col min="3586" max="3586" width="11.109375" style="24" customWidth="1"/>
    <col min="3587" max="3587" width="4" style="24" customWidth="1"/>
    <col min="3588" max="3840" width="9.109375" style="24"/>
    <col min="3841" max="3841" width="4.5546875" style="24" customWidth="1"/>
    <col min="3842" max="3842" width="11.109375" style="24" customWidth="1"/>
    <col min="3843" max="3843" width="4" style="24" customWidth="1"/>
    <col min="3844" max="4096" width="9.109375" style="24"/>
    <col min="4097" max="4097" width="4.5546875" style="24" customWidth="1"/>
    <col min="4098" max="4098" width="11.109375" style="24" customWidth="1"/>
    <col min="4099" max="4099" width="4" style="24" customWidth="1"/>
    <col min="4100" max="4352" width="9.109375" style="24"/>
    <col min="4353" max="4353" width="4.5546875" style="24" customWidth="1"/>
    <col min="4354" max="4354" width="11.109375" style="24" customWidth="1"/>
    <col min="4355" max="4355" width="4" style="24" customWidth="1"/>
    <col min="4356" max="4608" width="9.109375" style="24"/>
    <col min="4609" max="4609" width="4.5546875" style="24" customWidth="1"/>
    <col min="4610" max="4610" width="11.109375" style="24" customWidth="1"/>
    <col min="4611" max="4611" width="4" style="24" customWidth="1"/>
    <col min="4612" max="4864" width="9.109375" style="24"/>
    <col min="4865" max="4865" width="4.5546875" style="24" customWidth="1"/>
    <col min="4866" max="4866" width="11.109375" style="24" customWidth="1"/>
    <col min="4867" max="4867" width="4" style="24" customWidth="1"/>
    <col min="4868" max="5120" width="9.109375" style="24"/>
    <col min="5121" max="5121" width="4.5546875" style="24" customWidth="1"/>
    <col min="5122" max="5122" width="11.109375" style="24" customWidth="1"/>
    <col min="5123" max="5123" width="4" style="24" customWidth="1"/>
    <col min="5124" max="5376" width="9.109375" style="24"/>
    <col min="5377" max="5377" width="4.5546875" style="24" customWidth="1"/>
    <col min="5378" max="5378" width="11.109375" style="24" customWidth="1"/>
    <col min="5379" max="5379" width="4" style="24" customWidth="1"/>
    <col min="5380" max="5632" width="9.109375" style="24"/>
    <col min="5633" max="5633" width="4.5546875" style="24" customWidth="1"/>
    <col min="5634" max="5634" width="11.109375" style="24" customWidth="1"/>
    <col min="5635" max="5635" width="4" style="24" customWidth="1"/>
    <col min="5636" max="5888" width="9.109375" style="24"/>
    <col min="5889" max="5889" width="4.5546875" style="24" customWidth="1"/>
    <col min="5890" max="5890" width="11.109375" style="24" customWidth="1"/>
    <col min="5891" max="5891" width="4" style="24" customWidth="1"/>
    <col min="5892" max="6144" width="9.109375" style="24"/>
    <col min="6145" max="6145" width="4.5546875" style="24" customWidth="1"/>
    <col min="6146" max="6146" width="11.109375" style="24" customWidth="1"/>
    <col min="6147" max="6147" width="4" style="24" customWidth="1"/>
    <col min="6148" max="6400" width="9.109375" style="24"/>
    <col min="6401" max="6401" width="4.5546875" style="24" customWidth="1"/>
    <col min="6402" max="6402" width="11.109375" style="24" customWidth="1"/>
    <col min="6403" max="6403" width="4" style="24" customWidth="1"/>
    <col min="6404" max="6656" width="9.109375" style="24"/>
    <col min="6657" max="6657" width="4.5546875" style="24" customWidth="1"/>
    <col min="6658" max="6658" width="11.109375" style="24" customWidth="1"/>
    <col min="6659" max="6659" width="4" style="24" customWidth="1"/>
    <col min="6660" max="6912" width="9.109375" style="24"/>
    <col min="6913" max="6913" width="4.5546875" style="24" customWidth="1"/>
    <col min="6914" max="6914" width="11.109375" style="24" customWidth="1"/>
    <col min="6915" max="6915" width="4" style="24" customWidth="1"/>
    <col min="6916" max="7168" width="9.109375" style="24"/>
    <col min="7169" max="7169" width="4.5546875" style="24" customWidth="1"/>
    <col min="7170" max="7170" width="11.109375" style="24" customWidth="1"/>
    <col min="7171" max="7171" width="4" style="24" customWidth="1"/>
    <col min="7172" max="7424" width="9.109375" style="24"/>
    <col min="7425" max="7425" width="4.5546875" style="24" customWidth="1"/>
    <col min="7426" max="7426" width="11.109375" style="24" customWidth="1"/>
    <col min="7427" max="7427" width="4" style="24" customWidth="1"/>
    <col min="7428" max="7680" width="9.109375" style="24"/>
    <col min="7681" max="7681" width="4.5546875" style="24" customWidth="1"/>
    <col min="7682" max="7682" width="11.109375" style="24" customWidth="1"/>
    <col min="7683" max="7683" width="4" style="24" customWidth="1"/>
    <col min="7684" max="7936" width="9.109375" style="24"/>
    <col min="7937" max="7937" width="4.5546875" style="24" customWidth="1"/>
    <col min="7938" max="7938" width="11.109375" style="24" customWidth="1"/>
    <col min="7939" max="7939" width="4" style="24" customWidth="1"/>
    <col min="7940" max="8192" width="9.109375" style="24"/>
    <col min="8193" max="8193" width="4.5546875" style="24" customWidth="1"/>
    <col min="8194" max="8194" width="11.109375" style="24" customWidth="1"/>
    <col min="8195" max="8195" width="4" style="24" customWidth="1"/>
    <col min="8196" max="8448" width="9.109375" style="24"/>
    <col min="8449" max="8449" width="4.5546875" style="24" customWidth="1"/>
    <col min="8450" max="8450" width="11.109375" style="24" customWidth="1"/>
    <col min="8451" max="8451" width="4" style="24" customWidth="1"/>
    <col min="8452" max="8704" width="9.109375" style="24"/>
    <col min="8705" max="8705" width="4.5546875" style="24" customWidth="1"/>
    <col min="8706" max="8706" width="11.109375" style="24" customWidth="1"/>
    <col min="8707" max="8707" width="4" style="24" customWidth="1"/>
    <col min="8708" max="8960" width="9.109375" style="24"/>
    <col min="8961" max="8961" width="4.5546875" style="24" customWidth="1"/>
    <col min="8962" max="8962" width="11.109375" style="24" customWidth="1"/>
    <col min="8963" max="8963" width="4" style="24" customWidth="1"/>
    <col min="8964" max="9216" width="9.109375" style="24"/>
    <col min="9217" max="9217" width="4.5546875" style="24" customWidth="1"/>
    <col min="9218" max="9218" width="11.109375" style="24" customWidth="1"/>
    <col min="9219" max="9219" width="4" style="24" customWidth="1"/>
    <col min="9220" max="9472" width="9.109375" style="24"/>
    <col min="9473" max="9473" width="4.5546875" style="24" customWidth="1"/>
    <col min="9474" max="9474" width="11.109375" style="24" customWidth="1"/>
    <col min="9475" max="9475" width="4" style="24" customWidth="1"/>
    <col min="9476" max="9728" width="9.109375" style="24"/>
    <col min="9729" max="9729" width="4.5546875" style="24" customWidth="1"/>
    <col min="9730" max="9730" width="11.109375" style="24" customWidth="1"/>
    <col min="9731" max="9731" width="4" style="24" customWidth="1"/>
    <col min="9732" max="9984" width="9.109375" style="24"/>
    <col min="9985" max="9985" width="4.5546875" style="24" customWidth="1"/>
    <col min="9986" max="9986" width="11.109375" style="24" customWidth="1"/>
    <col min="9987" max="9987" width="4" style="24" customWidth="1"/>
    <col min="9988" max="10240" width="9.109375" style="24"/>
    <col min="10241" max="10241" width="4.5546875" style="24" customWidth="1"/>
    <col min="10242" max="10242" width="11.109375" style="24" customWidth="1"/>
    <col min="10243" max="10243" width="4" style="24" customWidth="1"/>
    <col min="10244" max="10496" width="9.109375" style="24"/>
    <col min="10497" max="10497" width="4.5546875" style="24" customWidth="1"/>
    <col min="10498" max="10498" width="11.109375" style="24" customWidth="1"/>
    <col min="10499" max="10499" width="4" style="24" customWidth="1"/>
    <col min="10500" max="10752" width="9.109375" style="24"/>
    <col min="10753" max="10753" width="4.5546875" style="24" customWidth="1"/>
    <col min="10754" max="10754" width="11.109375" style="24" customWidth="1"/>
    <col min="10755" max="10755" width="4" style="24" customWidth="1"/>
    <col min="10756" max="11008" width="9.109375" style="24"/>
    <col min="11009" max="11009" width="4.5546875" style="24" customWidth="1"/>
    <col min="11010" max="11010" width="11.109375" style="24" customWidth="1"/>
    <col min="11011" max="11011" width="4" style="24" customWidth="1"/>
    <col min="11012" max="11264" width="9.109375" style="24"/>
    <col min="11265" max="11265" width="4.5546875" style="24" customWidth="1"/>
    <col min="11266" max="11266" width="11.109375" style="24" customWidth="1"/>
    <col min="11267" max="11267" width="4" style="24" customWidth="1"/>
    <col min="11268" max="11520" width="9.109375" style="24"/>
    <col min="11521" max="11521" width="4.5546875" style="24" customWidth="1"/>
    <col min="11522" max="11522" width="11.109375" style="24" customWidth="1"/>
    <col min="11523" max="11523" width="4" style="24" customWidth="1"/>
    <col min="11524" max="11776" width="9.109375" style="24"/>
    <col min="11777" max="11777" width="4.5546875" style="24" customWidth="1"/>
    <col min="11778" max="11778" width="11.109375" style="24" customWidth="1"/>
    <col min="11779" max="11779" width="4" style="24" customWidth="1"/>
    <col min="11780" max="12032" width="9.109375" style="24"/>
    <col min="12033" max="12033" width="4.5546875" style="24" customWidth="1"/>
    <col min="12034" max="12034" width="11.109375" style="24" customWidth="1"/>
    <col min="12035" max="12035" width="4" style="24" customWidth="1"/>
    <col min="12036" max="12288" width="9.109375" style="24"/>
    <col min="12289" max="12289" width="4.5546875" style="24" customWidth="1"/>
    <col min="12290" max="12290" width="11.109375" style="24" customWidth="1"/>
    <col min="12291" max="12291" width="4" style="24" customWidth="1"/>
    <col min="12292" max="12544" width="9.109375" style="24"/>
    <col min="12545" max="12545" width="4.5546875" style="24" customWidth="1"/>
    <col min="12546" max="12546" width="11.109375" style="24" customWidth="1"/>
    <col min="12547" max="12547" width="4" style="24" customWidth="1"/>
    <col min="12548" max="12800" width="9.109375" style="24"/>
    <col min="12801" max="12801" width="4.5546875" style="24" customWidth="1"/>
    <col min="12802" max="12802" width="11.109375" style="24" customWidth="1"/>
    <col min="12803" max="12803" width="4" style="24" customWidth="1"/>
    <col min="12804" max="13056" width="9.109375" style="24"/>
    <col min="13057" max="13057" width="4.5546875" style="24" customWidth="1"/>
    <col min="13058" max="13058" width="11.109375" style="24" customWidth="1"/>
    <col min="13059" max="13059" width="4" style="24" customWidth="1"/>
    <col min="13060" max="13312" width="9.109375" style="24"/>
    <col min="13313" max="13313" width="4.5546875" style="24" customWidth="1"/>
    <col min="13314" max="13314" width="11.109375" style="24" customWidth="1"/>
    <col min="13315" max="13315" width="4" style="24" customWidth="1"/>
    <col min="13316" max="13568" width="9.109375" style="24"/>
    <col min="13569" max="13569" width="4.5546875" style="24" customWidth="1"/>
    <col min="13570" max="13570" width="11.109375" style="24" customWidth="1"/>
    <col min="13571" max="13571" width="4" style="24" customWidth="1"/>
    <col min="13572" max="13824" width="9.109375" style="24"/>
    <col min="13825" max="13825" width="4.5546875" style="24" customWidth="1"/>
    <col min="13826" max="13826" width="11.109375" style="24" customWidth="1"/>
    <col min="13827" max="13827" width="4" style="24" customWidth="1"/>
    <col min="13828" max="14080" width="9.109375" style="24"/>
    <col min="14081" max="14081" width="4.5546875" style="24" customWidth="1"/>
    <col min="14082" max="14082" width="11.109375" style="24" customWidth="1"/>
    <col min="14083" max="14083" width="4" style="24" customWidth="1"/>
    <col min="14084" max="14336" width="9.109375" style="24"/>
    <col min="14337" max="14337" width="4.5546875" style="24" customWidth="1"/>
    <col min="14338" max="14338" width="11.109375" style="24" customWidth="1"/>
    <col min="14339" max="14339" width="4" style="24" customWidth="1"/>
    <col min="14340" max="14592" width="9.109375" style="24"/>
    <col min="14593" max="14593" width="4.5546875" style="24" customWidth="1"/>
    <col min="14594" max="14594" width="11.109375" style="24" customWidth="1"/>
    <col min="14595" max="14595" width="4" style="24" customWidth="1"/>
    <col min="14596" max="14848" width="9.109375" style="24"/>
    <col min="14849" max="14849" width="4.5546875" style="24" customWidth="1"/>
    <col min="14850" max="14850" width="11.109375" style="24" customWidth="1"/>
    <col min="14851" max="14851" width="4" style="24" customWidth="1"/>
    <col min="14852" max="15104" width="9.109375" style="24"/>
    <col min="15105" max="15105" width="4.5546875" style="24" customWidth="1"/>
    <col min="15106" max="15106" width="11.109375" style="24" customWidth="1"/>
    <col min="15107" max="15107" width="4" style="24" customWidth="1"/>
    <col min="15108" max="15360" width="9.109375" style="24"/>
    <col min="15361" max="15361" width="4.5546875" style="24" customWidth="1"/>
    <col min="15362" max="15362" width="11.109375" style="24" customWidth="1"/>
    <col min="15363" max="15363" width="4" style="24" customWidth="1"/>
    <col min="15364" max="15616" width="9.109375" style="24"/>
    <col min="15617" max="15617" width="4.5546875" style="24" customWidth="1"/>
    <col min="15618" max="15618" width="11.109375" style="24" customWidth="1"/>
    <col min="15619" max="15619" width="4" style="24" customWidth="1"/>
    <col min="15620" max="15872" width="9.109375" style="24"/>
    <col min="15873" max="15873" width="4.5546875" style="24" customWidth="1"/>
    <col min="15874" max="15874" width="11.109375" style="24" customWidth="1"/>
    <col min="15875" max="15875" width="4" style="24" customWidth="1"/>
    <col min="15876" max="16128" width="9.109375" style="24"/>
    <col min="16129" max="16129" width="4.5546875" style="24" customWidth="1"/>
    <col min="16130" max="16130" width="11.109375" style="24" customWidth="1"/>
    <col min="16131" max="16131" width="4" style="24" customWidth="1"/>
    <col min="16132" max="16384" width="9.109375" style="24"/>
  </cols>
  <sheetData>
    <row r="1" spans="1:24" x14ac:dyDescent="0.3">
      <c r="A1" s="757"/>
      <c r="B1" s="758" t="s">
        <v>0</v>
      </c>
    </row>
    <row r="2" spans="1:24" x14ac:dyDescent="0.3">
      <c r="A2" s="215"/>
      <c r="B2" s="193" t="s">
        <v>1</v>
      </c>
    </row>
    <row r="3" spans="1:24" x14ac:dyDescent="0.3">
      <c r="A3" s="215"/>
      <c r="B3" s="136" t="s">
        <v>2</v>
      </c>
    </row>
    <row r="4" spans="1:24" s="561" customFormat="1" ht="15.6" x14ac:dyDescent="0.3">
      <c r="A4" s="1011" t="s">
        <v>218</v>
      </c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</row>
    <row r="5" spans="1:24" ht="12" customHeight="1" x14ac:dyDescent="0.3"/>
    <row r="6" spans="1:24" x14ac:dyDescent="0.3">
      <c r="A6" s="553" t="s">
        <v>219</v>
      </c>
      <c r="B6" s="59" t="s">
        <v>220</v>
      </c>
    </row>
    <row r="7" spans="1:24" ht="7.5" customHeight="1" thickBot="1" x14ac:dyDescent="0.35"/>
    <row r="8" spans="1:24" ht="14.4" thickBot="1" x14ac:dyDescent="0.35">
      <c r="B8" s="60"/>
      <c r="C8" s="57" t="s">
        <v>221</v>
      </c>
    </row>
    <row r="10" spans="1:24" x14ac:dyDescent="0.3">
      <c r="A10" s="553" t="s">
        <v>222</v>
      </c>
      <c r="B10" s="57" t="s">
        <v>724</v>
      </c>
    </row>
    <row r="12" spans="1:24" x14ac:dyDescent="0.3">
      <c r="A12" s="553" t="s">
        <v>223</v>
      </c>
      <c r="B12" s="57" t="s">
        <v>725</v>
      </c>
    </row>
    <row r="13" spans="1:24" x14ac:dyDescent="0.3">
      <c r="A13" s="553"/>
      <c r="B13" s="57" t="s">
        <v>706</v>
      </c>
    </row>
    <row r="14" spans="1:24" s="554" customFormat="1" ht="17.25" customHeight="1" x14ac:dyDescent="0.3">
      <c r="A14" s="553"/>
      <c r="B14" s="560" t="s">
        <v>726</v>
      </c>
    </row>
    <row r="15" spans="1:24" ht="7.5" customHeight="1" x14ac:dyDescent="0.3"/>
    <row r="16" spans="1:24" x14ac:dyDescent="0.3">
      <c r="B16" s="56" t="s">
        <v>224</v>
      </c>
      <c r="C16" s="61" t="s">
        <v>225</v>
      </c>
      <c r="D16" s="61"/>
      <c r="E16" s="61"/>
      <c r="F16" s="61"/>
      <c r="G16" s="61"/>
    </row>
    <row r="18" spans="3:4" x14ac:dyDescent="0.3">
      <c r="C18" s="58" t="s">
        <v>226</v>
      </c>
      <c r="D18" s="58" t="s">
        <v>227</v>
      </c>
    </row>
    <row r="19" spans="3:4" x14ac:dyDescent="0.3">
      <c r="D19" s="24" t="s">
        <v>229</v>
      </c>
    </row>
    <row r="20" spans="3:4" x14ac:dyDescent="0.3">
      <c r="D20" s="24" t="s">
        <v>687</v>
      </c>
    </row>
    <row r="21" spans="3:4" x14ac:dyDescent="0.3">
      <c r="D21" s="24" t="s">
        <v>692</v>
      </c>
    </row>
    <row r="22" spans="3:4" x14ac:dyDescent="0.3">
      <c r="C22" s="58"/>
      <c r="D22" s="24" t="s">
        <v>693</v>
      </c>
    </row>
    <row r="23" spans="3:4" x14ac:dyDescent="0.3">
      <c r="D23" s="24" t="s">
        <v>228</v>
      </c>
    </row>
    <row r="24" spans="3:4" x14ac:dyDescent="0.3">
      <c r="D24" s="24" t="s">
        <v>694</v>
      </c>
    </row>
    <row r="25" spans="3:4" x14ac:dyDescent="0.3">
      <c r="D25" s="24" t="s">
        <v>775</v>
      </c>
    </row>
    <row r="26" spans="3:4" x14ac:dyDescent="0.3">
      <c r="D26" s="24" t="s">
        <v>230</v>
      </c>
    </row>
    <row r="27" spans="3:4" x14ac:dyDescent="0.3">
      <c r="D27" s="24" t="s">
        <v>231</v>
      </c>
    </row>
    <row r="28" spans="3:4" x14ac:dyDescent="0.3">
      <c r="D28" s="24" t="s">
        <v>232</v>
      </c>
    </row>
    <row r="29" spans="3:4" x14ac:dyDescent="0.3">
      <c r="D29" s="24" t="s">
        <v>695</v>
      </c>
    </row>
    <row r="30" spans="3:4" x14ac:dyDescent="0.3">
      <c r="D30" s="24" t="s">
        <v>696</v>
      </c>
    </row>
    <row r="31" spans="3:4" x14ac:dyDescent="0.3">
      <c r="D31" s="24" t="s">
        <v>697</v>
      </c>
    </row>
    <row r="32" spans="3:4" x14ac:dyDescent="0.3">
      <c r="D32" s="24" t="s">
        <v>712</v>
      </c>
    </row>
    <row r="33" spans="3:8" x14ac:dyDescent="0.3">
      <c r="D33" s="24" t="s">
        <v>698</v>
      </c>
    </row>
    <row r="34" spans="3:8" x14ac:dyDescent="0.3">
      <c r="D34" s="24" t="s">
        <v>713</v>
      </c>
    </row>
    <row r="35" spans="3:8" x14ac:dyDescent="0.3">
      <c r="D35" s="24" t="s">
        <v>714</v>
      </c>
    </row>
    <row r="36" spans="3:8" x14ac:dyDescent="0.3">
      <c r="D36" s="24" t="s">
        <v>699</v>
      </c>
    </row>
    <row r="37" spans="3:8" x14ac:dyDescent="0.3">
      <c r="D37" s="24" t="s">
        <v>700</v>
      </c>
    </row>
    <row r="38" spans="3:8" x14ac:dyDescent="0.3">
      <c r="D38" s="24" t="s">
        <v>701</v>
      </c>
    </row>
    <row r="39" spans="3:8" x14ac:dyDescent="0.3">
      <c r="D39" s="24" t="s">
        <v>702</v>
      </c>
    </row>
    <row r="40" spans="3:8" x14ac:dyDescent="0.3">
      <c r="D40" s="24" t="s">
        <v>703</v>
      </c>
    </row>
    <row r="41" spans="3:8" x14ac:dyDescent="0.3">
      <c r="D41" s="24" t="s">
        <v>704</v>
      </c>
    </row>
    <row r="42" spans="3:8" x14ac:dyDescent="0.3">
      <c r="D42" s="24" t="s">
        <v>715</v>
      </c>
    </row>
    <row r="43" spans="3:8" x14ac:dyDescent="0.3">
      <c r="D43" s="61" t="s">
        <v>233</v>
      </c>
      <c r="E43" s="61"/>
      <c r="F43" s="61"/>
      <c r="G43" s="61"/>
      <c r="H43" s="61"/>
    </row>
    <row r="45" spans="3:8" x14ac:dyDescent="0.3">
      <c r="C45" s="58" t="s">
        <v>234</v>
      </c>
      <c r="D45" s="58" t="s">
        <v>235</v>
      </c>
    </row>
    <row r="46" spans="3:8" x14ac:dyDescent="0.3">
      <c r="D46" s="24" t="s">
        <v>236</v>
      </c>
    </row>
    <row r="47" spans="3:8" x14ac:dyDescent="0.3">
      <c r="D47" s="24" t="s">
        <v>716</v>
      </c>
    </row>
    <row r="48" spans="3:8" x14ac:dyDescent="0.3">
      <c r="D48" s="61" t="s">
        <v>233</v>
      </c>
      <c r="E48" s="61"/>
      <c r="F48" s="61"/>
      <c r="G48" s="61"/>
      <c r="H48" s="61"/>
    </row>
    <row r="50" spans="3:8" x14ac:dyDescent="0.3">
      <c r="C50" s="58" t="s">
        <v>237</v>
      </c>
      <c r="D50" s="58" t="s">
        <v>238</v>
      </c>
    </row>
    <row r="51" spans="3:8" x14ac:dyDescent="0.3">
      <c r="D51" s="24" t="s">
        <v>239</v>
      </c>
    </row>
    <row r="52" spans="3:8" x14ac:dyDescent="0.3">
      <c r="D52" s="24" t="s">
        <v>240</v>
      </c>
    </row>
    <row r="53" spans="3:8" x14ac:dyDescent="0.3">
      <c r="E53" s="24" t="s">
        <v>241</v>
      </c>
    </row>
    <row r="54" spans="3:8" x14ac:dyDescent="0.3">
      <c r="E54" s="24" t="s">
        <v>242</v>
      </c>
    </row>
    <row r="55" spans="3:8" x14ac:dyDescent="0.3">
      <c r="E55" s="24" t="s">
        <v>243</v>
      </c>
    </row>
    <row r="56" spans="3:8" x14ac:dyDescent="0.3">
      <c r="D56" s="24" t="s">
        <v>718</v>
      </c>
    </row>
    <row r="57" spans="3:8" x14ac:dyDescent="0.3">
      <c r="D57" s="61" t="s">
        <v>233</v>
      </c>
      <c r="E57" s="61"/>
      <c r="F57" s="61"/>
      <c r="G57" s="61"/>
      <c r="H57" s="61"/>
    </row>
    <row r="59" spans="3:8" x14ac:dyDescent="0.3">
      <c r="C59" s="58" t="s">
        <v>244</v>
      </c>
      <c r="D59" s="58" t="s">
        <v>245</v>
      </c>
    </row>
    <row r="60" spans="3:8" x14ac:dyDescent="0.3">
      <c r="D60" s="24" t="s">
        <v>717</v>
      </c>
    </row>
    <row r="61" spans="3:8" x14ac:dyDescent="0.3">
      <c r="D61" s="24" t="s">
        <v>246</v>
      </c>
    </row>
    <row r="62" spans="3:8" x14ac:dyDescent="0.3">
      <c r="D62" s="61" t="s">
        <v>233</v>
      </c>
      <c r="E62" s="61"/>
      <c r="F62" s="61"/>
      <c r="G62" s="61"/>
      <c r="H62" s="61"/>
    </row>
    <row r="64" spans="3:8" x14ac:dyDescent="0.3">
      <c r="C64" s="58" t="s">
        <v>247</v>
      </c>
      <c r="D64" s="58" t="s">
        <v>248</v>
      </c>
    </row>
    <row r="65" spans="1:8" x14ac:dyDescent="0.3">
      <c r="D65" s="24" t="s">
        <v>249</v>
      </c>
    </row>
    <row r="66" spans="1:8" x14ac:dyDescent="0.3">
      <c r="D66" s="61" t="s">
        <v>233</v>
      </c>
      <c r="E66" s="61"/>
      <c r="F66" s="61"/>
      <c r="G66" s="61"/>
      <c r="H66" s="61"/>
    </row>
    <row r="68" spans="1:8" x14ac:dyDescent="0.3">
      <c r="C68" s="58" t="s">
        <v>250</v>
      </c>
      <c r="D68" s="58" t="s">
        <v>251</v>
      </c>
    </row>
    <row r="69" spans="1:8" x14ac:dyDescent="0.3">
      <c r="D69" s="24" t="s">
        <v>252</v>
      </c>
    </row>
    <row r="70" spans="1:8" x14ac:dyDescent="0.3">
      <c r="D70" s="24" t="s">
        <v>253</v>
      </c>
    </row>
    <row r="71" spans="1:8" x14ac:dyDescent="0.3">
      <c r="D71" s="24" t="s">
        <v>254</v>
      </c>
    </row>
    <row r="72" spans="1:8" x14ac:dyDescent="0.3">
      <c r="D72" s="61" t="s">
        <v>233</v>
      </c>
      <c r="E72" s="61"/>
      <c r="F72" s="61"/>
      <c r="G72" s="61"/>
      <c r="H72" s="61"/>
    </row>
    <row r="73" spans="1:8" ht="19.5" customHeight="1" x14ac:dyDescent="0.3"/>
    <row r="74" spans="1:8" s="552" customFormat="1" ht="20.25" customHeight="1" x14ac:dyDescent="0.3">
      <c r="A74" s="553" t="s">
        <v>255</v>
      </c>
      <c r="B74" s="555" t="s">
        <v>719</v>
      </c>
    </row>
    <row r="75" spans="1:8" s="552" customFormat="1" ht="13.5" customHeight="1" x14ac:dyDescent="0.3">
      <c r="A75" s="557"/>
      <c r="B75" s="553" t="s">
        <v>256</v>
      </c>
      <c r="C75" s="556" t="s">
        <v>705</v>
      </c>
      <c r="D75" s="556"/>
      <c r="E75" s="556"/>
      <c r="F75" s="556"/>
    </row>
    <row r="76" spans="1:8" ht="24.75" customHeight="1" x14ac:dyDescent="0.3"/>
    <row r="77" spans="1:8" x14ac:dyDescent="0.3">
      <c r="A77" s="553" t="s">
        <v>257</v>
      </c>
      <c r="B77" s="57" t="s">
        <v>723</v>
      </c>
    </row>
    <row r="78" spans="1:8" x14ac:dyDescent="0.3">
      <c r="A78" s="553"/>
      <c r="B78" s="57" t="s">
        <v>706</v>
      </c>
    </row>
    <row r="79" spans="1:8" s="552" customFormat="1" ht="18" customHeight="1" x14ac:dyDescent="0.3">
      <c r="A79" s="557"/>
      <c r="B79" s="553" t="s">
        <v>258</v>
      </c>
      <c r="C79" s="552" t="s">
        <v>720</v>
      </c>
    </row>
    <row r="80" spans="1:8" x14ac:dyDescent="0.3">
      <c r="B80" s="56" t="s">
        <v>259</v>
      </c>
      <c r="C80" s="62" t="s">
        <v>260</v>
      </c>
      <c r="D80" s="62"/>
      <c r="E80" s="62"/>
      <c r="F80" s="62"/>
      <c r="G80" s="62"/>
    </row>
    <row r="81" spans="1:7" ht="24.75" customHeight="1" x14ac:dyDescent="0.3"/>
    <row r="82" spans="1:7" s="552" customFormat="1" ht="15" customHeight="1" x14ac:dyDescent="0.3">
      <c r="A82" s="553" t="s">
        <v>261</v>
      </c>
      <c r="B82" s="555" t="s">
        <v>721</v>
      </c>
    </row>
    <row r="83" spans="1:7" s="552" customFormat="1" ht="15.75" customHeight="1" x14ac:dyDescent="0.3">
      <c r="A83" s="557"/>
      <c r="B83" s="553" t="s">
        <v>262</v>
      </c>
      <c r="C83" s="552" t="s">
        <v>710</v>
      </c>
    </row>
    <row r="84" spans="1:7" x14ac:dyDescent="0.3">
      <c r="B84" s="56" t="s">
        <v>263</v>
      </c>
      <c r="C84" s="63" t="s">
        <v>264</v>
      </c>
      <c r="D84" s="63"/>
      <c r="E84" s="63"/>
      <c r="F84" s="63"/>
    </row>
    <row r="85" spans="1:7" ht="24.75" customHeight="1" x14ac:dyDescent="0.3"/>
    <row r="86" spans="1:7" x14ac:dyDescent="0.3">
      <c r="A86" s="553" t="s">
        <v>707</v>
      </c>
      <c r="B86" s="57" t="s">
        <v>722</v>
      </c>
    </row>
    <row r="87" spans="1:7" s="552" customFormat="1" ht="16.5" customHeight="1" x14ac:dyDescent="0.3">
      <c r="A87" s="557"/>
      <c r="B87" s="553" t="s">
        <v>708</v>
      </c>
      <c r="C87" s="552" t="s">
        <v>711</v>
      </c>
    </row>
    <row r="88" spans="1:7" s="552" customFormat="1" ht="14.25" customHeight="1" x14ac:dyDescent="0.3">
      <c r="A88" s="557"/>
      <c r="B88" s="553" t="s">
        <v>709</v>
      </c>
      <c r="C88" s="558" t="s">
        <v>260</v>
      </c>
      <c r="D88" s="558"/>
      <c r="E88" s="558"/>
      <c r="F88" s="558"/>
      <c r="G88" s="558"/>
    </row>
    <row r="89" spans="1:7" s="552" customFormat="1" ht="23.25" customHeight="1" x14ac:dyDescent="0.3">
      <c r="A89" s="557"/>
      <c r="B89" s="553"/>
      <c r="C89" s="559"/>
      <c r="D89" s="559"/>
      <c r="E89" s="559"/>
      <c r="F89" s="559"/>
      <c r="G89" s="559"/>
    </row>
  </sheetData>
  <sheetProtection password="C01C" sheet="1" objects="1" scenarios="1"/>
  <mergeCells count="1">
    <mergeCell ref="A4:X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3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1:V200"/>
  <sheetViews>
    <sheetView showGridLines="0" view="pageBreakPreview" zoomScale="90" zoomScaleNormal="100" zoomScaleSheetLayoutView="90" workbookViewId="0">
      <selection activeCell="D26" sqref="D26"/>
    </sheetView>
  </sheetViews>
  <sheetFormatPr defaultRowHeight="14.4" x14ac:dyDescent="0.3"/>
  <cols>
    <col min="1" max="1" width="9.88671875" style="2" customWidth="1"/>
    <col min="2" max="2" width="10.44140625" style="2" customWidth="1"/>
    <col min="3" max="3" width="39.33203125" style="2" customWidth="1"/>
    <col min="4" max="4" width="12" style="2" customWidth="1"/>
    <col min="5" max="5" width="15.6640625" style="2" customWidth="1"/>
    <col min="6" max="6" width="14.88671875" style="2" customWidth="1"/>
    <col min="7" max="7" width="14" style="2" customWidth="1"/>
    <col min="8" max="8" width="13.5546875" style="2" customWidth="1"/>
    <col min="9" max="9" width="13.44140625" style="2" customWidth="1"/>
    <col min="10" max="10" width="13.5546875" style="1" customWidth="1"/>
    <col min="11" max="11" width="18.33203125" style="1" customWidth="1"/>
    <col min="12" max="12" width="13.33203125" style="2" customWidth="1"/>
    <col min="13" max="13" width="15.109375" style="2" bestFit="1" customWidth="1"/>
    <col min="14" max="14" width="9.6640625" style="2" customWidth="1"/>
    <col min="15" max="15" width="12.6640625" style="2" customWidth="1"/>
    <col min="16" max="18" width="13.5546875" style="2" customWidth="1"/>
    <col min="19" max="19" width="12.109375" style="2" customWidth="1"/>
    <col min="20" max="20" width="15" style="2" customWidth="1"/>
    <col min="21" max="256" width="9.109375" style="2"/>
    <col min="257" max="257" width="9.88671875" style="2" customWidth="1"/>
    <col min="258" max="258" width="10.44140625" style="2" bestFit="1" customWidth="1"/>
    <col min="259" max="259" width="39.33203125" style="2" customWidth="1"/>
    <col min="260" max="260" width="15" style="2" bestFit="1" customWidth="1"/>
    <col min="261" max="261" width="11" style="2" customWidth="1"/>
    <col min="262" max="262" width="11.109375" style="2" customWidth="1"/>
    <col min="263" max="263" width="12.88671875" style="2" bestFit="1" customWidth="1"/>
    <col min="264" max="264" width="13.109375" style="2" bestFit="1" customWidth="1"/>
    <col min="265" max="268" width="14.109375" style="2" customWidth="1"/>
    <col min="269" max="269" width="14.44140625" style="2" customWidth="1"/>
    <col min="270" max="270" width="9.6640625" style="2" customWidth="1"/>
    <col min="271" max="271" width="12.6640625" style="2" customWidth="1"/>
    <col min="272" max="274" width="13.5546875" style="2" customWidth="1"/>
    <col min="275" max="275" width="12.109375" style="2" customWidth="1"/>
    <col min="276" max="276" width="15" style="2" customWidth="1"/>
    <col min="277" max="512" width="9.109375" style="2"/>
    <col min="513" max="513" width="9.88671875" style="2" customWidth="1"/>
    <col min="514" max="514" width="10.44140625" style="2" bestFit="1" customWidth="1"/>
    <col min="515" max="515" width="39.33203125" style="2" customWidth="1"/>
    <col min="516" max="516" width="15" style="2" bestFit="1" customWidth="1"/>
    <col min="517" max="517" width="11" style="2" customWidth="1"/>
    <col min="518" max="518" width="11.109375" style="2" customWidth="1"/>
    <col min="519" max="519" width="12.88671875" style="2" bestFit="1" customWidth="1"/>
    <col min="520" max="520" width="13.109375" style="2" bestFit="1" customWidth="1"/>
    <col min="521" max="524" width="14.109375" style="2" customWidth="1"/>
    <col min="525" max="525" width="14.44140625" style="2" customWidth="1"/>
    <col min="526" max="526" width="9.6640625" style="2" customWidth="1"/>
    <col min="527" max="527" width="12.6640625" style="2" customWidth="1"/>
    <col min="528" max="530" width="13.5546875" style="2" customWidth="1"/>
    <col min="531" max="531" width="12.109375" style="2" customWidth="1"/>
    <col min="532" max="532" width="15" style="2" customWidth="1"/>
    <col min="533" max="768" width="9.109375" style="2"/>
    <col min="769" max="769" width="9.88671875" style="2" customWidth="1"/>
    <col min="770" max="770" width="10.44140625" style="2" bestFit="1" customWidth="1"/>
    <col min="771" max="771" width="39.33203125" style="2" customWidth="1"/>
    <col min="772" max="772" width="15" style="2" bestFit="1" customWidth="1"/>
    <col min="773" max="773" width="11" style="2" customWidth="1"/>
    <col min="774" max="774" width="11.109375" style="2" customWidth="1"/>
    <col min="775" max="775" width="12.88671875" style="2" bestFit="1" customWidth="1"/>
    <col min="776" max="776" width="13.109375" style="2" bestFit="1" customWidth="1"/>
    <col min="777" max="780" width="14.109375" style="2" customWidth="1"/>
    <col min="781" max="781" width="14.44140625" style="2" customWidth="1"/>
    <col min="782" max="782" width="9.6640625" style="2" customWidth="1"/>
    <col min="783" max="783" width="12.6640625" style="2" customWidth="1"/>
    <col min="784" max="786" width="13.5546875" style="2" customWidth="1"/>
    <col min="787" max="787" width="12.109375" style="2" customWidth="1"/>
    <col min="788" max="788" width="15" style="2" customWidth="1"/>
    <col min="789" max="1024" width="9.109375" style="2"/>
    <col min="1025" max="1025" width="9.88671875" style="2" customWidth="1"/>
    <col min="1026" max="1026" width="10.44140625" style="2" bestFit="1" customWidth="1"/>
    <col min="1027" max="1027" width="39.33203125" style="2" customWidth="1"/>
    <col min="1028" max="1028" width="15" style="2" bestFit="1" customWidth="1"/>
    <col min="1029" max="1029" width="11" style="2" customWidth="1"/>
    <col min="1030" max="1030" width="11.109375" style="2" customWidth="1"/>
    <col min="1031" max="1031" width="12.88671875" style="2" bestFit="1" customWidth="1"/>
    <col min="1032" max="1032" width="13.109375" style="2" bestFit="1" customWidth="1"/>
    <col min="1033" max="1036" width="14.109375" style="2" customWidth="1"/>
    <col min="1037" max="1037" width="14.44140625" style="2" customWidth="1"/>
    <col min="1038" max="1038" width="9.6640625" style="2" customWidth="1"/>
    <col min="1039" max="1039" width="12.6640625" style="2" customWidth="1"/>
    <col min="1040" max="1042" width="13.5546875" style="2" customWidth="1"/>
    <col min="1043" max="1043" width="12.109375" style="2" customWidth="1"/>
    <col min="1044" max="1044" width="15" style="2" customWidth="1"/>
    <col min="1045" max="1280" width="9.109375" style="2"/>
    <col min="1281" max="1281" width="9.88671875" style="2" customWidth="1"/>
    <col min="1282" max="1282" width="10.44140625" style="2" bestFit="1" customWidth="1"/>
    <col min="1283" max="1283" width="39.33203125" style="2" customWidth="1"/>
    <col min="1284" max="1284" width="15" style="2" bestFit="1" customWidth="1"/>
    <col min="1285" max="1285" width="11" style="2" customWidth="1"/>
    <col min="1286" max="1286" width="11.109375" style="2" customWidth="1"/>
    <col min="1287" max="1287" width="12.88671875" style="2" bestFit="1" customWidth="1"/>
    <col min="1288" max="1288" width="13.109375" style="2" bestFit="1" customWidth="1"/>
    <col min="1289" max="1292" width="14.109375" style="2" customWidth="1"/>
    <col min="1293" max="1293" width="14.44140625" style="2" customWidth="1"/>
    <col min="1294" max="1294" width="9.6640625" style="2" customWidth="1"/>
    <col min="1295" max="1295" width="12.6640625" style="2" customWidth="1"/>
    <col min="1296" max="1298" width="13.5546875" style="2" customWidth="1"/>
    <col min="1299" max="1299" width="12.109375" style="2" customWidth="1"/>
    <col min="1300" max="1300" width="15" style="2" customWidth="1"/>
    <col min="1301" max="1536" width="9.109375" style="2"/>
    <col min="1537" max="1537" width="9.88671875" style="2" customWidth="1"/>
    <col min="1538" max="1538" width="10.44140625" style="2" bestFit="1" customWidth="1"/>
    <col min="1539" max="1539" width="39.33203125" style="2" customWidth="1"/>
    <col min="1540" max="1540" width="15" style="2" bestFit="1" customWidth="1"/>
    <col min="1541" max="1541" width="11" style="2" customWidth="1"/>
    <col min="1542" max="1542" width="11.109375" style="2" customWidth="1"/>
    <col min="1543" max="1543" width="12.88671875" style="2" bestFit="1" customWidth="1"/>
    <col min="1544" max="1544" width="13.109375" style="2" bestFit="1" customWidth="1"/>
    <col min="1545" max="1548" width="14.109375" style="2" customWidth="1"/>
    <col min="1549" max="1549" width="14.44140625" style="2" customWidth="1"/>
    <col min="1550" max="1550" width="9.6640625" style="2" customWidth="1"/>
    <col min="1551" max="1551" width="12.6640625" style="2" customWidth="1"/>
    <col min="1552" max="1554" width="13.5546875" style="2" customWidth="1"/>
    <col min="1555" max="1555" width="12.109375" style="2" customWidth="1"/>
    <col min="1556" max="1556" width="15" style="2" customWidth="1"/>
    <col min="1557" max="1792" width="9.109375" style="2"/>
    <col min="1793" max="1793" width="9.88671875" style="2" customWidth="1"/>
    <col min="1794" max="1794" width="10.44140625" style="2" bestFit="1" customWidth="1"/>
    <col min="1795" max="1795" width="39.33203125" style="2" customWidth="1"/>
    <col min="1796" max="1796" width="15" style="2" bestFit="1" customWidth="1"/>
    <col min="1797" max="1797" width="11" style="2" customWidth="1"/>
    <col min="1798" max="1798" width="11.109375" style="2" customWidth="1"/>
    <col min="1799" max="1799" width="12.88671875" style="2" bestFit="1" customWidth="1"/>
    <col min="1800" max="1800" width="13.109375" style="2" bestFit="1" customWidth="1"/>
    <col min="1801" max="1804" width="14.109375" style="2" customWidth="1"/>
    <col min="1805" max="1805" width="14.44140625" style="2" customWidth="1"/>
    <col min="1806" max="1806" width="9.6640625" style="2" customWidth="1"/>
    <col min="1807" max="1807" width="12.6640625" style="2" customWidth="1"/>
    <col min="1808" max="1810" width="13.5546875" style="2" customWidth="1"/>
    <col min="1811" max="1811" width="12.109375" style="2" customWidth="1"/>
    <col min="1812" max="1812" width="15" style="2" customWidth="1"/>
    <col min="1813" max="2048" width="9.109375" style="2"/>
    <col min="2049" max="2049" width="9.88671875" style="2" customWidth="1"/>
    <col min="2050" max="2050" width="10.44140625" style="2" bestFit="1" customWidth="1"/>
    <col min="2051" max="2051" width="39.33203125" style="2" customWidth="1"/>
    <col min="2052" max="2052" width="15" style="2" bestFit="1" customWidth="1"/>
    <col min="2053" max="2053" width="11" style="2" customWidth="1"/>
    <col min="2054" max="2054" width="11.109375" style="2" customWidth="1"/>
    <col min="2055" max="2055" width="12.88671875" style="2" bestFit="1" customWidth="1"/>
    <col min="2056" max="2056" width="13.109375" style="2" bestFit="1" customWidth="1"/>
    <col min="2057" max="2060" width="14.109375" style="2" customWidth="1"/>
    <col min="2061" max="2061" width="14.44140625" style="2" customWidth="1"/>
    <col min="2062" max="2062" width="9.6640625" style="2" customWidth="1"/>
    <col min="2063" max="2063" width="12.6640625" style="2" customWidth="1"/>
    <col min="2064" max="2066" width="13.5546875" style="2" customWidth="1"/>
    <col min="2067" max="2067" width="12.109375" style="2" customWidth="1"/>
    <col min="2068" max="2068" width="15" style="2" customWidth="1"/>
    <col min="2069" max="2304" width="9.109375" style="2"/>
    <col min="2305" max="2305" width="9.88671875" style="2" customWidth="1"/>
    <col min="2306" max="2306" width="10.44140625" style="2" bestFit="1" customWidth="1"/>
    <col min="2307" max="2307" width="39.33203125" style="2" customWidth="1"/>
    <col min="2308" max="2308" width="15" style="2" bestFit="1" customWidth="1"/>
    <col min="2309" max="2309" width="11" style="2" customWidth="1"/>
    <col min="2310" max="2310" width="11.109375" style="2" customWidth="1"/>
    <col min="2311" max="2311" width="12.88671875" style="2" bestFit="1" customWidth="1"/>
    <col min="2312" max="2312" width="13.109375" style="2" bestFit="1" customWidth="1"/>
    <col min="2313" max="2316" width="14.109375" style="2" customWidth="1"/>
    <col min="2317" max="2317" width="14.44140625" style="2" customWidth="1"/>
    <col min="2318" max="2318" width="9.6640625" style="2" customWidth="1"/>
    <col min="2319" max="2319" width="12.6640625" style="2" customWidth="1"/>
    <col min="2320" max="2322" width="13.5546875" style="2" customWidth="1"/>
    <col min="2323" max="2323" width="12.109375" style="2" customWidth="1"/>
    <col min="2324" max="2324" width="15" style="2" customWidth="1"/>
    <col min="2325" max="2560" width="9.109375" style="2"/>
    <col min="2561" max="2561" width="9.88671875" style="2" customWidth="1"/>
    <col min="2562" max="2562" width="10.44140625" style="2" bestFit="1" customWidth="1"/>
    <col min="2563" max="2563" width="39.33203125" style="2" customWidth="1"/>
    <col min="2564" max="2564" width="15" style="2" bestFit="1" customWidth="1"/>
    <col min="2565" max="2565" width="11" style="2" customWidth="1"/>
    <col min="2566" max="2566" width="11.109375" style="2" customWidth="1"/>
    <col min="2567" max="2567" width="12.88671875" style="2" bestFit="1" customWidth="1"/>
    <col min="2568" max="2568" width="13.109375" style="2" bestFit="1" customWidth="1"/>
    <col min="2569" max="2572" width="14.109375" style="2" customWidth="1"/>
    <col min="2573" max="2573" width="14.44140625" style="2" customWidth="1"/>
    <col min="2574" max="2574" width="9.6640625" style="2" customWidth="1"/>
    <col min="2575" max="2575" width="12.6640625" style="2" customWidth="1"/>
    <col min="2576" max="2578" width="13.5546875" style="2" customWidth="1"/>
    <col min="2579" max="2579" width="12.109375" style="2" customWidth="1"/>
    <col min="2580" max="2580" width="15" style="2" customWidth="1"/>
    <col min="2581" max="2816" width="9.109375" style="2"/>
    <col min="2817" max="2817" width="9.88671875" style="2" customWidth="1"/>
    <col min="2818" max="2818" width="10.44140625" style="2" bestFit="1" customWidth="1"/>
    <col min="2819" max="2819" width="39.33203125" style="2" customWidth="1"/>
    <col min="2820" max="2820" width="15" style="2" bestFit="1" customWidth="1"/>
    <col min="2821" max="2821" width="11" style="2" customWidth="1"/>
    <col min="2822" max="2822" width="11.109375" style="2" customWidth="1"/>
    <col min="2823" max="2823" width="12.88671875" style="2" bestFit="1" customWidth="1"/>
    <col min="2824" max="2824" width="13.109375" style="2" bestFit="1" customWidth="1"/>
    <col min="2825" max="2828" width="14.109375" style="2" customWidth="1"/>
    <col min="2829" max="2829" width="14.44140625" style="2" customWidth="1"/>
    <col min="2830" max="2830" width="9.6640625" style="2" customWidth="1"/>
    <col min="2831" max="2831" width="12.6640625" style="2" customWidth="1"/>
    <col min="2832" max="2834" width="13.5546875" style="2" customWidth="1"/>
    <col min="2835" max="2835" width="12.109375" style="2" customWidth="1"/>
    <col min="2836" max="2836" width="15" style="2" customWidth="1"/>
    <col min="2837" max="3072" width="9.109375" style="2"/>
    <col min="3073" max="3073" width="9.88671875" style="2" customWidth="1"/>
    <col min="3074" max="3074" width="10.44140625" style="2" bestFit="1" customWidth="1"/>
    <col min="3075" max="3075" width="39.33203125" style="2" customWidth="1"/>
    <col min="3076" max="3076" width="15" style="2" bestFit="1" customWidth="1"/>
    <col min="3077" max="3077" width="11" style="2" customWidth="1"/>
    <col min="3078" max="3078" width="11.109375" style="2" customWidth="1"/>
    <col min="3079" max="3079" width="12.88671875" style="2" bestFit="1" customWidth="1"/>
    <col min="3080" max="3080" width="13.109375" style="2" bestFit="1" customWidth="1"/>
    <col min="3081" max="3084" width="14.109375" style="2" customWidth="1"/>
    <col min="3085" max="3085" width="14.44140625" style="2" customWidth="1"/>
    <col min="3086" max="3086" width="9.6640625" style="2" customWidth="1"/>
    <col min="3087" max="3087" width="12.6640625" style="2" customWidth="1"/>
    <col min="3088" max="3090" width="13.5546875" style="2" customWidth="1"/>
    <col min="3091" max="3091" width="12.109375" style="2" customWidth="1"/>
    <col min="3092" max="3092" width="15" style="2" customWidth="1"/>
    <col min="3093" max="3328" width="9.109375" style="2"/>
    <col min="3329" max="3329" width="9.88671875" style="2" customWidth="1"/>
    <col min="3330" max="3330" width="10.44140625" style="2" bestFit="1" customWidth="1"/>
    <col min="3331" max="3331" width="39.33203125" style="2" customWidth="1"/>
    <col min="3332" max="3332" width="15" style="2" bestFit="1" customWidth="1"/>
    <col min="3333" max="3333" width="11" style="2" customWidth="1"/>
    <col min="3334" max="3334" width="11.109375" style="2" customWidth="1"/>
    <col min="3335" max="3335" width="12.88671875" style="2" bestFit="1" customWidth="1"/>
    <col min="3336" max="3336" width="13.109375" style="2" bestFit="1" customWidth="1"/>
    <col min="3337" max="3340" width="14.109375" style="2" customWidth="1"/>
    <col min="3341" max="3341" width="14.44140625" style="2" customWidth="1"/>
    <col min="3342" max="3342" width="9.6640625" style="2" customWidth="1"/>
    <col min="3343" max="3343" width="12.6640625" style="2" customWidth="1"/>
    <col min="3344" max="3346" width="13.5546875" style="2" customWidth="1"/>
    <col min="3347" max="3347" width="12.109375" style="2" customWidth="1"/>
    <col min="3348" max="3348" width="15" style="2" customWidth="1"/>
    <col min="3349" max="3584" width="9.109375" style="2"/>
    <col min="3585" max="3585" width="9.88671875" style="2" customWidth="1"/>
    <col min="3586" max="3586" width="10.44140625" style="2" bestFit="1" customWidth="1"/>
    <col min="3587" max="3587" width="39.33203125" style="2" customWidth="1"/>
    <col min="3588" max="3588" width="15" style="2" bestFit="1" customWidth="1"/>
    <col min="3589" max="3589" width="11" style="2" customWidth="1"/>
    <col min="3590" max="3590" width="11.109375" style="2" customWidth="1"/>
    <col min="3591" max="3591" width="12.88671875" style="2" bestFit="1" customWidth="1"/>
    <col min="3592" max="3592" width="13.109375" style="2" bestFit="1" customWidth="1"/>
    <col min="3593" max="3596" width="14.109375" style="2" customWidth="1"/>
    <col min="3597" max="3597" width="14.44140625" style="2" customWidth="1"/>
    <col min="3598" max="3598" width="9.6640625" style="2" customWidth="1"/>
    <col min="3599" max="3599" width="12.6640625" style="2" customWidth="1"/>
    <col min="3600" max="3602" width="13.5546875" style="2" customWidth="1"/>
    <col min="3603" max="3603" width="12.109375" style="2" customWidth="1"/>
    <col min="3604" max="3604" width="15" style="2" customWidth="1"/>
    <col min="3605" max="3840" width="9.109375" style="2"/>
    <col min="3841" max="3841" width="9.88671875" style="2" customWidth="1"/>
    <col min="3842" max="3842" width="10.44140625" style="2" bestFit="1" customWidth="1"/>
    <col min="3843" max="3843" width="39.33203125" style="2" customWidth="1"/>
    <col min="3844" max="3844" width="15" style="2" bestFit="1" customWidth="1"/>
    <col min="3845" max="3845" width="11" style="2" customWidth="1"/>
    <col min="3846" max="3846" width="11.109375" style="2" customWidth="1"/>
    <col min="3847" max="3847" width="12.88671875" style="2" bestFit="1" customWidth="1"/>
    <col min="3848" max="3848" width="13.109375" style="2" bestFit="1" customWidth="1"/>
    <col min="3849" max="3852" width="14.109375" style="2" customWidth="1"/>
    <col min="3853" max="3853" width="14.44140625" style="2" customWidth="1"/>
    <col min="3854" max="3854" width="9.6640625" style="2" customWidth="1"/>
    <col min="3855" max="3855" width="12.6640625" style="2" customWidth="1"/>
    <col min="3856" max="3858" width="13.5546875" style="2" customWidth="1"/>
    <col min="3859" max="3859" width="12.109375" style="2" customWidth="1"/>
    <col min="3860" max="3860" width="15" style="2" customWidth="1"/>
    <col min="3861" max="4096" width="9.109375" style="2"/>
    <col min="4097" max="4097" width="9.88671875" style="2" customWidth="1"/>
    <col min="4098" max="4098" width="10.44140625" style="2" bestFit="1" customWidth="1"/>
    <col min="4099" max="4099" width="39.33203125" style="2" customWidth="1"/>
    <col min="4100" max="4100" width="15" style="2" bestFit="1" customWidth="1"/>
    <col min="4101" max="4101" width="11" style="2" customWidth="1"/>
    <col min="4102" max="4102" width="11.109375" style="2" customWidth="1"/>
    <col min="4103" max="4103" width="12.88671875" style="2" bestFit="1" customWidth="1"/>
    <col min="4104" max="4104" width="13.109375" style="2" bestFit="1" customWidth="1"/>
    <col min="4105" max="4108" width="14.109375" style="2" customWidth="1"/>
    <col min="4109" max="4109" width="14.44140625" style="2" customWidth="1"/>
    <col min="4110" max="4110" width="9.6640625" style="2" customWidth="1"/>
    <col min="4111" max="4111" width="12.6640625" style="2" customWidth="1"/>
    <col min="4112" max="4114" width="13.5546875" style="2" customWidth="1"/>
    <col min="4115" max="4115" width="12.109375" style="2" customWidth="1"/>
    <col min="4116" max="4116" width="15" style="2" customWidth="1"/>
    <col min="4117" max="4352" width="9.109375" style="2"/>
    <col min="4353" max="4353" width="9.88671875" style="2" customWidth="1"/>
    <col min="4354" max="4354" width="10.44140625" style="2" bestFit="1" customWidth="1"/>
    <col min="4355" max="4355" width="39.33203125" style="2" customWidth="1"/>
    <col min="4356" max="4356" width="15" style="2" bestFit="1" customWidth="1"/>
    <col min="4357" max="4357" width="11" style="2" customWidth="1"/>
    <col min="4358" max="4358" width="11.109375" style="2" customWidth="1"/>
    <col min="4359" max="4359" width="12.88671875" style="2" bestFit="1" customWidth="1"/>
    <col min="4360" max="4360" width="13.109375" style="2" bestFit="1" customWidth="1"/>
    <col min="4361" max="4364" width="14.109375" style="2" customWidth="1"/>
    <col min="4365" max="4365" width="14.44140625" style="2" customWidth="1"/>
    <col min="4366" max="4366" width="9.6640625" style="2" customWidth="1"/>
    <col min="4367" max="4367" width="12.6640625" style="2" customWidth="1"/>
    <col min="4368" max="4370" width="13.5546875" style="2" customWidth="1"/>
    <col min="4371" max="4371" width="12.109375" style="2" customWidth="1"/>
    <col min="4372" max="4372" width="15" style="2" customWidth="1"/>
    <col min="4373" max="4608" width="9.109375" style="2"/>
    <col min="4609" max="4609" width="9.88671875" style="2" customWidth="1"/>
    <col min="4610" max="4610" width="10.44140625" style="2" bestFit="1" customWidth="1"/>
    <col min="4611" max="4611" width="39.33203125" style="2" customWidth="1"/>
    <col min="4612" max="4612" width="15" style="2" bestFit="1" customWidth="1"/>
    <col min="4613" max="4613" width="11" style="2" customWidth="1"/>
    <col min="4614" max="4614" width="11.109375" style="2" customWidth="1"/>
    <col min="4615" max="4615" width="12.88671875" style="2" bestFit="1" customWidth="1"/>
    <col min="4616" max="4616" width="13.109375" style="2" bestFit="1" customWidth="1"/>
    <col min="4617" max="4620" width="14.109375" style="2" customWidth="1"/>
    <col min="4621" max="4621" width="14.44140625" style="2" customWidth="1"/>
    <col min="4622" max="4622" width="9.6640625" style="2" customWidth="1"/>
    <col min="4623" max="4623" width="12.6640625" style="2" customWidth="1"/>
    <col min="4624" max="4626" width="13.5546875" style="2" customWidth="1"/>
    <col min="4627" max="4627" width="12.109375" style="2" customWidth="1"/>
    <col min="4628" max="4628" width="15" style="2" customWidth="1"/>
    <col min="4629" max="4864" width="9.109375" style="2"/>
    <col min="4865" max="4865" width="9.88671875" style="2" customWidth="1"/>
    <col min="4866" max="4866" width="10.44140625" style="2" bestFit="1" customWidth="1"/>
    <col min="4867" max="4867" width="39.33203125" style="2" customWidth="1"/>
    <col min="4868" max="4868" width="15" style="2" bestFit="1" customWidth="1"/>
    <col min="4869" max="4869" width="11" style="2" customWidth="1"/>
    <col min="4870" max="4870" width="11.109375" style="2" customWidth="1"/>
    <col min="4871" max="4871" width="12.88671875" style="2" bestFit="1" customWidth="1"/>
    <col min="4872" max="4872" width="13.109375" style="2" bestFit="1" customWidth="1"/>
    <col min="4873" max="4876" width="14.109375" style="2" customWidth="1"/>
    <col min="4877" max="4877" width="14.44140625" style="2" customWidth="1"/>
    <col min="4878" max="4878" width="9.6640625" style="2" customWidth="1"/>
    <col min="4879" max="4879" width="12.6640625" style="2" customWidth="1"/>
    <col min="4880" max="4882" width="13.5546875" style="2" customWidth="1"/>
    <col min="4883" max="4883" width="12.109375" style="2" customWidth="1"/>
    <col min="4884" max="4884" width="15" style="2" customWidth="1"/>
    <col min="4885" max="5120" width="9.109375" style="2"/>
    <col min="5121" max="5121" width="9.88671875" style="2" customWidth="1"/>
    <col min="5122" max="5122" width="10.44140625" style="2" bestFit="1" customWidth="1"/>
    <col min="5123" max="5123" width="39.33203125" style="2" customWidth="1"/>
    <col min="5124" max="5124" width="15" style="2" bestFit="1" customWidth="1"/>
    <col min="5125" max="5125" width="11" style="2" customWidth="1"/>
    <col min="5126" max="5126" width="11.109375" style="2" customWidth="1"/>
    <col min="5127" max="5127" width="12.88671875" style="2" bestFit="1" customWidth="1"/>
    <col min="5128" max="5128" width="13.109375" style="2" bestFit="1" customWidth="1"/>
    <col min="5129" max="5132" width="14.109375" style="2" customWidth="1"/>
    <col min="5133" max="5133" width="14.44140625" style="2" customWidth="1"/>
    <col min="5134" max="5134" width="9.6640625" style="2" customWidth="1"/>
    <col min="5135" max="5135" width="12.6640625" style="2" customWidth="1"/>
    <col min="5136" max="5138" width="13.5546875" style="2" customWidth="1"/>
    <col min="5139" max="5139" width="12.109375" style="2" customWidth="1"/>
    <col min="5140" max="5140" width="15" style="2" customWidth="1"/>
    <col min="5141" max="5376" width="9.109375" style="2"/>
    <col min="5377" max="5377" width="9.88671875" style="2" customWidth="1"/>
    <col min="5378" max="5378" width="10.44140625" style="2" bestFit="1" customWidth="1"/>
    <col min="5379" max="5379" width="39.33203125" style="2" customWidth="1"/>
    <col min="5380" max="5380" width="15" style="2" bestFit="1" customWidth="1"/>
    <col min="5381" max="5381" width="11" style="2" customWidth="1"/>
    <col min="5382" max="5382" width="11.109375" style="2" customWidth="1"/>
    <col min="5383" max="5383" width="12.88671875" style="2" bestFit="1" customWidth="1"/>
    <col min="5384" max="5384" width="13.109375" style="2" bestFit="1" customWidth="1"/>
    <col min="5385" max="5388" width="14.109375" style="2" customWidth="1"/>
    <col min="5389" max="5389" width="14.44140625" style="2" customWidth="1"/>
    <col min="5390" max="5390" width="9.6640625" style="2" customWidth="1"/>
    <col min="5391" max="5391" width="12.6640625" style="2" customWidth="1"/>
    <col min="5392" max="5394" width="13.5546875" style="2" customWidth="1"/>
    <col min="5395" max="5395" width="12.109375" style="2" customWidth="1"/>
    <col min="5396" max="5396" width="15" style="2" customWidth="1"/>
    <col min="5397" max="5632" width="9.109375" style="2"/>
    <col min="5633" max="5633" width="9.88671875" style="2" customWidth="1"/>
    <col min="5634" max="5634" width="10.44140625" style="2" bestFit="1" customWidth="1"/>
    <col min="5635" max="5635" width="39.33203125" style="2" customWidth="1"/>
    <col min="5636" max="5636" width="15" style="2" bestFit="1" customWidth="1"/>
    <col min="5637" max="5637" width="11" style="2" customWidth="1"/>
    <col min="5638" max="5638" width="11.109375" style="2" customWidth="1"/>
    <col min="5639" max="5639" width="12.88671875" style="2" bestFit="1" customWidth="1"/>
    <col min="5640" max="5640" width="13.109375" style="2" bestFit="1" customWidth="1"/>
    <col min="5641" max="5644" width="14.109375" style="2" customWidth="1"/>
    <col min="5645" max="5645" width="14.44140625" style="2" customWidth="1"/>
    <col min="5646" max="5646" width="9.6640625" style="2" customWidth="1"/>
    <col min="5647" max="5647" width="12.6640625" style="2" customWidth="1"/>
    <col min="5648" max="5650" width="13.5546875" style="2" customWidth="1"/>
    <col min="5651" max="5651" width="12.109375" style="2" customWidth="1"/>
    <col min="5652" max="5652" width="15" style="2" customWidth="1"/>
    <col min="5653" max="5888" width="9.109375" style="2"/>
    <col min="5889" max="5889" width="9.88671875" style="2" customWidth="1"/>
    <col min="5890" max="5890" width="10.44140625" style="2" bestFit="1" customWidth="1"/>
    <col min="5891" max="5891" width="39.33203125" style="2" customWidth="1"/>
    <col min="5892" max="5892" width="15" style="2" bestFit="1" customWidth="1"/>
    <col min="5893" max="5893" width="11" style="2" customWidth="1"/>
    <col min="5894" max="5894" width="11.109375" style="2" customWidth="1"/>
    <col min="5895" max="5895" width="12.88671875" style="2" bestFit="1" customWidth="1"/>
    <col min="5896" max="5896" width="13.109375" style="2" bestFit="1" customWidth="1"/>
    <col min="5897" max="5900" width="14.109375" style="2" customWidth="1"/>
    <col min="5901" max="5901" width="14.44140625" style="2" customWidth="1"/>
    <col min="5902" max="5902" width="9.6640625" style="2" customWidth="1"/>
    <col min="5903" max="5903" width="12.6640625" style="2" customWidth="1"/>
    <col min="5904" max="5906" width="13.5546875" style="2" customWidth="1"/>
    <col min="5907" max="5907" width="12.109375" style="2" customWidth="1"/>
    <col min="5908" max="5908" width="15" style="2" customWidth="1"/>
    <col min="5909" max="6144" width="9.109375" style="2"/>
    <col min="6145" max="6145" width="9.88671875" style="2" customWidth="1"/>
    <col min="6146" max="6146" width="10.44140625" style="2" bestFit="1" customWidth="1"/>
    <col min="6147" max="6147" width="39.33203125" style="2" customWidth="1"/>
    <col min="6148" max="6148" width="15" style="2" bestFit="1" customWidth="1"/>
    <col min="6149" max="6149" width="11" style="2" customWidth="1"/>
    <col min="6150" max="6150" width="11.109375" style="2" customWidth="1"/>
    <col min="6151" max="6151" width="12.88671875" style="2" bestFit="1" customWidth="1"/>
    <col min="6152" max="6152" width="13.109375" style="2" bestFit="1" customWidth="1"/>
    <col min="6153" max="6156" width="14.109375" style="2" customWidth="1"/>
    <col min="6157" max="6157" width="14.44140625" style="2" customWidth="1"/>
    <col min="6158" max="6158" width="9.6640625" style="2" customWidth="1"/>
    <col min="6159" max="6159" width="12.6640625" style="2" customWidth="1"/>
    <col min="6160" max="6162" width="13.5546875" style="2" customWidth="1"/>
    <col min="6163" max="6163" width="12.109375" style="2" customWidth="1"/>
    <col min="6164" max="6164" width="15" style="2" customWidth="1"/>
    <col min="6165" max="6400" width="9.109375" style="2"/>
    <col min="6401" max="6401" width="9.88671875" style="2" customWidth="1"/>
    <col min="6402" max="6402" width="10.44140625" style="2" bestFit="1" customWidth="1"/>
    <col min="6403" max="6403" width="39.33203125" style="2" customWidth="1"/>
    <col min="6404" max="6404" width="15" style="2" bestFit="1" customWidth="1"/>
    <col min="6405" max="6405" width="11" style="2" customWidth="1"/>
    <col min="6406" max="6406" width="11.109375" style="2" customWidth="1"/>
    <col min="6407" max="6407" width="12.88671875" style="2" bestFit="1" customWidth="1"/>
    <col min="6408" max="6408" width="13.109375" style="2" bestFit="1" customWidth="1"/>
    <col min="6409" max="6412" width="14.109375" style="2" customWidth="1"/>
    <col min="6413" max="6413" width="14.44140625" style="2" customWidth="1"/>
    <col min="6414" max="6414" width="9.6640625" style="2" customWidth="1"/>
    <col min="6415" max="6415" width="12.6640625" style="2" customWidth="1"/>
    <col min="6416" max="6418" width="13.5546875" style="2" customWidth="1"/>
    <col min="6419" max="6419" width="12.109375" style="2" customWidth="1"/>
    <col min="6420" max="6420" width="15" style="2" customWidth="1"/>
    <col min="6421" max="6656" width="9.109375" style="2"/>
    <col min="6657" max="6657" width="9.88671875" style="2" customWidth="1"/>
    <col min="6658" max="6658" width="10.44140625" style="2" bestFit="1" customWidth="1"/>
    <col min="6659" max="6659" width="39.33203125" style="2" customWidth="1"/>
    <col min="6660" max="6660" width="15" style="2" bestFit="1" customWidth="1"/>
    <col min="6661" max="6661" width="11" style="2" customWidth="1"/>
    <col min="6662" max="6662" width="11.109375" style="2" customWidth="1"/>
    <col min="6663" max="6663" width="12.88671875" style="2" bestFit="1" customWidth="1"/>
    <col min="6664" max="6664" width="13.109375" style="2" bestFit="1" customWidth="1"/>
    <col min="6665" max="6668" width="14.109375" style="2" customWidth="1"/>
    <col min="6669" max="6669" width="14.44140625" style="2" customWidth="1"/>
    <col min="6670" max="6670" width="9.6640625" style="2" customWidth="1"/>
    <col min="6671" max="6671" width="12.6640625" style="2" customWidth="1"/>
    <col min="6672" max="6674" width="13.5546875" style="2" customWidth="1"/>
    <col min="6675" max="6675" width="12.109375" style="2" customWidth="1"/>
    <col min="6676" max="6676" width="15" style="2" customWidth="1"/>
    <col min="6677" max="6912" width="9.109375" style="2"/>
    <col min="6913" max="6913" width="9.88671875" style="2" customWidth="1"/>
    <col min="6914" max="6914" width="10.44140625" style="2" bestFit="1" customWidth="1"/>
    <col min="6915" max="6915" width="39.33203125" style="2" customWidth="1"/>
    <col min="6916" max="6916" width="15" style="2" bestFit="1" customWidth="1"/>
    <col min="6917" max="6917" width="11" style="2" customWidth="1"/>
    <col min="6918" max="6918" width="11.109375" style="2" customWidth="1"/>
    <col min="6919" max="6919" width="12.88671875" style="2" bestFit="1" customWidth="1"/>
    <col min="6920" max="6920" width="13.109375" style="2" bestFit="1" customWidth="1"/>
    <col min="6921" max="6924" width="14.109375" style="2" customWidth="1"/>
    <col min="6925" max="6925" width="14.44140625" style="2" customWidth="1"/>
    <col min="6926" max="6926" width="9.6640625" style="2" customWidth="1"/>
    <col min="6927" max="6927" width="12.6640625" style="2" customWidth="1"/>
    <col min="6928" max="6930" width="13.5546875" style="2" customWidth="1"/>
    <col min="6931" max="6931" width="12.109375" style="2" customWidth="1"/>
    <col min="6932" max="6932" width="15" style="2" customWidth="1"/>
    <col min="6933" max="7168" width="9.109375" style="2"/>
    <col min="7169" max="7169" width="9.88671875" style="2" customWidth="1"/>
    <col min="7170" max="7170" width="10.44140625" style="2" bestFit="1" customWidth="1"/>
    <col min="7171" max="7171" width="39.33203125" style="2" customWidth="1"/>
    <col min="7172" max="7172" width="15" style="2" bestFit="1" customWidth="1"/>
    <col min="7173" max="7173" width="11" style="2" customWidth="1"/>
    <col min="7174" max="7174" width="11.109375" style="2" customWidth="1"/>
    <col min="7175" max="7175" width="12.88671875" style="2" bestFit="1" customWidth="1"/>
    <col min="7176" max="7176" width="13.109375" style="2" bestFit="1" customWidth="1"/>
    <col min="7177" max="7180" width="14.109375" style="2" customWidth="1"/>
    <col min="7181" max="7181" width="14.44140625" style="2" customWidth="1"/>
    <col min="7182" max="7182" width="9.6640625" style="2" customWidth="1"/>
    <col min="7183" max="7183" width="12.6640625" style="2" customWidth="1"/>
    <col min="7184" max="7186" width="13.5546875" style="2" customWidth="1"/>
    <col min="7187" max="7187" width="12.109375" style="2" customWidth="1"/>
    <col min="7188" max="7188" width="15" style="2" customWidth="1"/>
    <col min="7189" max="7424" width="9.109375" style="2"/>
    <col min="7425" max="7425" width="9.88671875" style="2" customWidth="1"/>
    <col min="7426" max="7426" width="10.44140625" style="2" bestFit="1" customWidth="1"/>
    <col min="7427" max="7427" width="39.33203125" style="2" customWidth="1"/>
    <col min="7428" max="7428" width="15" style="2" bestFit="1" customWidth="1"/>
    <col min="7429" max="7429" width="11" style="2" customWidth="1"/>
    <col min="7430" max="7430" width="11.109375" style="2" customWidth="1"/>
    <col min="7431" max="7431" width="12.88671875" style="2" bestFit="1" customWidth="1"/>
    <col min="7432" max="7432" width="13.109375" style="2" bestFit="1" customWidth="1"/>
    <col min="7433" max="7436" width="14.109375" style="2" customWidth="1"/>
    <col min="7437" max="7437" width="14.44140625" style="2" customWidth="1"/>
    <col min="7438" max="7438" width="9.6640625" style="2" customWidth="1"/>
    <col min="7439" max="7439" width="12.6640625" style="2" customWidth="1"/>
    <col min="7440" max="7442" width="13.5546875" style="2" customWidth="1"/>
    <col min="7443" max="7443" width="12.109375" style="2" customWidth="1"/>
    <col min="7444" max="7444" width="15" style="2" customWidth="1"/>
    <col min="7445" max="7680" width="9.109375" style="2"/>
    <col min="7681" max="7681" width="9.88671875" style="2" customWidth="1"/>
    <col min="7682" max="7682" width="10.44140625" style="2" bestFit="1" customWidth="1"/>
    <col min="7683" max="7683" width="39.33203125" style="2" customWidth="1"/>
    <col min="7684" max="7684" width="15" style="2" bestFit="1" customWidth="1"/>
    <col min="7685" max="7685" width="11" style="2" customWidth="1"/>
    <col min="7686" max="7686" width="11.109375" style="2" customWidth="1"/>
    <col min="7687" max="7687" width="12.88671875" style="2" bestFit="1" customWidth="1"/>
    <col min="7688" max="7688" width="13.109375" style="2" bestFit="1" customWidth="1"/>
    <col min="7689" max="7692" width="14.109375" style="2" customWidth="1"/>
    <col min="7693" max="7693" width="14.44140625" style="2" customWidth="1"/>
    <col min="7694" max="7694" width="9.6640625" style="2" customWidth="1"/>
    <col min="7695" max="7695" width="12.6640625" style="2" customWidth="1"/>
    <col min="7696" max="7698" width="13.5546875" style="2" customWidth="1"/>
    <col min="7699" max="7699" width="12.109375" style="2" customWidth="1"/>
    <col min="7700" max="7700" width="15" style="2" customWidth="1"/>
    <col min="7701" max="7936" width="9.109375" style="2"/>
    <col min="7937" max="7937" width="9.88671875" style="2" customWidth="1"/>
    <col min="7938" max="7938" width="10.44140625" style="2" bestFit="1" customWidth="1"/>
    <col min="7939" max="7939" width="39.33203125" style="2" customWidth="1"/>
    <col min="7940" max="7940" width="15" style="2" bestFit="1" customWidth="1"/>
    <col min="7941" max="7941" width="11" style="2" customWidth="1"/>
    <col min="7942" max="7942" width="11.109375" style="2" customWidth="1"/>
    <col min="7943" max="7943" width="12.88671875" style="2" bestFit="1" customWidth="1"/>
    <col min="7944" max="7944" width="13.109375" style="2" bestFit="1" customWidth="1"/>
    <col min="7945" max="7948" width="14.109375" style="2" customWidth="1"/>
    <col min="7949" max="7949" width="14.44140625" style="2" customWidth="1"/>
    <col min="7950" max="7950" width="9.6640625" style="2" customWidth="1"/>
    <col min="7951" max="7951" width="12.6640625" style="2" customWidth="1"/>
    <col min="7952" max="7954" width="13.5546875" style="2" customWidth="1"/>
    <col min="7955" max="7955" width="12.109375" style="2" customWidth="1"/>
    <col min="7956" max="7956" width="15" style="2" customWidth="1"/>
    <col min="7957" max="8192" width="9.109375" style="2"/>
    <col min="8193" max="8193" width="9.88671875" style="2" customWidth="1"/>
    <col min="8194" max="8194" width="10.44140625" style="2" bestFit="1" customWidth="1"/>
    <col min="8195" max="8195" width="39.33203125" style="2" customWidth="1"/>
    <col min="8196" max="8196" width="15" style="2" bestFit="1" customWidth="1"/>
    <col min="8197" max="8197" width="11" style="2" customWidth="1"/>
    <col min="8198" max="8198" width="11.109375" style="2" customWidth="1"/>
    <col min="8199" max="8199" width="12.88671875" style="2" bestFit="1" customWidth="1"/>
    <col min="8200" max="8200" width="13.109375" style="2" bestFit="1" customWidth="1"/>
    <col min="8201" max="8204" width="14.109375" style="2" customWidth="1"/>
    <col min="8205" max="8205" width="14.44140625" style="2" customWidth="1"/>
    <col min="8206" max="8206" width="9.6640625" style="2" customWidth="1"/>
    <col min="8207" max="8207" width="12.6640625" style="2" customWidth="1"/>
    <col min="8208" max="8210" width="13.5546875" style="2" customWidth="1"/>
    <col min="8211" max="8211" width="12.109375" style="2" customWidth="1"/>
    <col min="8212" max="8212" width="15" style="2" customWidth="1"/>
    <col min="8213" max="8448" width="9.109375" style="2"/>
    <col min="8449" max="8449" width="9.88671875" style="2" customWidth="1"/>
    <col min="8450" max="8450" width="10.44140625" style="2" bestFit="1" customWidth="1"/>
    <col min="8451" max="8451" width="39.33203125" style="2" customWidth="1"/>
    <col min="8452" max="8452" width="15" style="2" bestFit="1" customWidth="1"/>
    <col min="8453" max="8453" width="11" style="2" customWidth="1"/>
    <col min="8454" max="8454" width="11.109375" style="2" customWidth="1"/>
    <col min="8455" max="8455" width="12.88671875" style="2" bestFit="1" customWidth="1"/>
    <col min="8456" max="8456" width="13.109375" style="2" bestFit="1" customWidth="1"/>
    <col min="8457" max="8460" width="14.109375" style="2" customWidth="1"/>
    <col min="8461" max="8461" width="14.44140625" style="2" customWidth="1"/>
    <col min="8462" max="8462" width="9.6640625" style="2" customWidth="1"/>
    <col min="8463" max="8463" width="12.6640625" style="2" customWidth="1"/>
    <col min="8464" max="8466" width="13.5546875" style="2" customWidth="1"/>
    <col min="8467" max="8467" width="12.109375" style="2" customWidth="1"/>
    <col min="8468" max="8468" width="15" style="2" customWidth="1"/>
    <col min="8469" max="8704" width="9.109375" style="2"/>
    <col min="8705" max="8705" width="9.88671875" style="2" customWidth="1"/>
    <col min="8706" max="8706" width="10.44140625" style="2" bestFit="1" customWidth="1"/>
    <col min="8707" max="8707" width="39.33203125" style="2" customWidth="1"/>
    <col min="8708" max="8708" width="15" style="2" bestFit="1" customWidth="1"/>
    <col min="8709" max="8709" width="11" style="2" customWidth="1"/>
    <col min="8710" max="8710" width="11.109375" style="2" customWidth="1"/>
    <col min="8711" max="8711" width="12.88671875" style="2" bestFit="1" customWidth="1"/>
    <col min="8712" max="8712" width="13.109375" style="2" bestFit="1" customWidth="1"/>
    <col min="8713" max="8716" width="14.109375" style="2" customWidth="1"/>
    <col min="8717" max="8717" width="14.44140625" style="2" customWidth="1"/>
    <col min="8718" max="8718" width="9.6640625" style="2" customWidth="1"/>
    <col min="8719" max="8719" width="12.6640625" style="2" customWidth="1"/>
    <col min="8720" max="8722" width="13.5546875" style="2" customWidth="1"/>
    <col min="8723" max="8723" width="12.109375" style="2" customWidth="1"/>
    <col min="8724" max="8724" width="15" style="2" customWidth="1"/>
    <col min="8725" max="8960" width="9.109375" style="2"/>
    <col min="8961" max="8961" width="9.88671875" style="2" customWidth="1"/>
    <col min="8962" max="8962" width="10.44140625" style="2" bestFit="1" customWidth="1"/>
    <col min="8963" max="8963" width="39.33203125" style="2" customWidth="1"/>
    <col min="8964" max="8964" width="15" style="2" bestFit="1" customWidth="1"/>
    <col min="8965" max="8965" width="11" style="2" customWidth="1"/>
    <col min="8966" max="8966" width="11.109375" style="2" customWidth="1"/>
    <col min="8967" max="8967" width="12.88671875" style="2" bestFit="1" customWidth="1"/>
    <col min="8968" max="8968" width="13.109375" style="2" bestFit="1" customWidth="1"/>
    <col min="8969" max="8972" width="14.109375" style="2" customWidth="1"/>
    <col min="8973" max="8973" width="14.44140625" style="2" customWidth="1"/>
    <col min="8974" max="8974" width="9.6640625" style="2" customWidth="1"/>
    <col min="8975" max="8975" width="12.6640625" style="2" customWidth="1"/>
    <col min="8976" max="8978" width="13.5546875" style="2" customWidth="1"/>
    <col min="8979" max="8979" width="12.109375" style="2" customWidth="1"/>
    <col min="8980" max="8980" width="15" style="2" customWidth="1"/>
    <col min="8981" max="9216" width="9.109375" style="2"/>
    <col min="9217" max="9217" width="9.88671875" style="2" customWidth="1"/>
    <col min="9218" max="9218" width="10.44140625" style="2" bestFit="1" customWidth="1"/>
    <col min="9219" max="9219" width="39.33203125" style="2" customWidth="1"/>
    <col min="9220" max="9220" width="15" style="2" bestFit="1" customWidth="1"/>
    <col min="9221" max="9221" width="11" style="2" customWidth="1"/>
    <col min="9222" max="9222" width="11.109375" style="2" customWidth="1"/>
    <col min="9223" max="9223" width="12.88671875" style="2" bestFit="1" customWidth="1"/>
    <col min="9224" max="9224" width="13.109375" style="2" bestFit="1" customWidth="1"/>
    <col min="9225" max="9228" width="14.109375" style="2" customWidth="1"/>
    <col min="9229" max="9229" width="14.44140625" style="2" customWidth="1"/>
    <col min="9230" max="9230" width="9.6640625" style="2" customWidth="1"/>
    <col min="9231" max="9231" width="12.6640625" style="2" customWidth="1"/>
    <col min="9232" max="9234" width="13.5546875" style="2" customWidth="1"/>
    <col min="9235" max="9235" width="12.109375" style="2" customWidth="1"/>
    <col min="9236" max="9236" width="15" style="2" customWidth="1"/>
    <col min="9237" max="9472" width="9.109375" style="2"/>
    <col min="9473" max="9473" width="9.88671875" style="2" customWidth="1"/>
    <col min="9474" max="9474" width="10.44140625" style="2" bestFit="1" customWidth="1"/>
    <col min="9475" max="9475" width="39.33203125" style="2" customWidth="1"/>
    <col min="9476" max="9476" width="15" style="2" bestFit="1" customWidth="1"/>
    <col min="9477" max="9477" width="11" style="2" customWidth="1"/>
    <col min="9478" max="9478" width="11.109375" style="2" customWidth="1"/>
    <col min="9479" max="9479" width="12.88671875" style="2" bestFit="1" customWidth="1"/>
    <col min="9480" max="9480" width="13.109375" style="2" bestFit="1" customWidth="1"/>
    <col min="9481" max="9484" width="14.109375" style="2" customWidth="1"/>
    <col min="9485" max="9485" width="14.44140625" style="2" customWidth="1"/>
    <col min="9486" max="9486" width="9.6640625" style="2" customWidth="1"/>
    <col min="9487" max="9487" width="12.6640625" style="2" customWidth="1"/>
    <col min="9488" max="9490" width="13.5546875" style="2" customWidth="1"/>
    <col min="9491" max="9491" width="12.109375" style="2" customWidth="1"/>
    <col min="9492" max="9492" width="15" style="2" customWidth="1"/>
    <col min="9493" max="9728" width="9.109375" style="2"/>
    <col min="9729" max="9729" width="9.88671875" style="2" customWidth="1"/>
    <col min="9730" max="9730" width="10.44140625" style="2" bestFit="1" customWidth="1"/>
    <col min="9731" max="9731" width="39.33203125" style="2" customWidth="1"/>
    <col min="9732" max="9732" width="15" style="2" bestFit="1" customWidth="1"/>
    <col min="9733" max="9733" width="11" style="2" customWidth="1"/>
    <col min="9734" max="9734" width="11.109375" style="2" customWidth="1"/>
    <col min="9735" max="9735" width="12.88671875" style="2" bestFit="1" customWidth="1"/>
    <col min="9736" max="9736" width="13.109375" style="2" bestFit="1" customWidth="1"/>
    <col min="9737" max="9740" width="14.109375" style="2" customWidth="1"/>
    <col min="9741" max="9741" width="14.44140625" style="2" customWidth="1"/>
    <col min="9742" max="9742" width="9.6640625" style="2" customWidth="1"/>
    <col min="9743" max="9743" width="12.6640625" style="2" customWidth="1"/>
    <col min="9744" max="9746" width="13.5546875" style="2" customWidth="1"/>
    <col min="9747" max="9747" width="12.109375" style="2" customWidth="1"/>
    <col min="9748" max="9748" width="15" style="2" customWidth="1"/>
    <col min="9749" max="9984" width="9.109375" style="2"/>
    <col min="9985" max="9985" width="9.88671875" style="2" customWidth="1"/>
    <col min="9986" max="9986" width="10.44140625" style="2" bestFit="1" customWidth="1"/>
    <col min="9987" max="9987" width="39.33203125" style="2" customWidth="1"/>
    <col min="9988" max="9988" width="15" style="2" bestFit="1" customWidth="1"/>
    <col min="9989" max="9989" width="11" style="2" customWidth="1"/>
    <col min="9990" max="9990" width="11.109375" style="2" customWidth="1"/>
    <col min="9991" max="9991" width="12.88671875" style="2" bestFit="1" customWidth="1"/>
    <col min="9992" max="9992" width="13.109375" style="2" bestFit="1" customWidth="1"/>
    <col min="9993" max="9996" width="14.109375" style="2" customWidth="1"/>
    <col min="9997" max="9997" width="14.44140625" style="2" customWidth="1"/>
    <col min="9998" max="9998" width="9.6640625" style="2" customWidth="1"/>
    <col min="9999" max="9999" width="12.6640625" style="2" customWidth="1"/>
    <col min="10000" max="10002" width="13.5546875" style="2" customWidth="1"/>
    <col min="10003" max="10003" width="12.109375" style="2" customWidth="1"/>
    <col min="10004" max="10004" width="15" style="2" customWidth="1"/>
    <col min="10005" max="10240" width="9.109375" style="2"/>
    <col min="10241" max="10241" width="9.88671875" style="2" customWidth="1"/>
    <col min="10242" max="10242" width="10.44140625" style="2" bestFit="1" customWidth="1"/>
    <col min="10243" max="10243" width="39.33203125" style="2" customWidth="1"/>
    <col min="10244" max="10244" width="15" style="2" bestFit="1" customWidth="1"/>
    <col min="10245" max="10245" width="11" style="2" customWidth="1"/>
    <col min="10246" max="10246" width="11.109375" style="2" customWidth="1"/>
    <col min="10247" max="10247" width="12.88671875" style="2" bestFit="1" customWidth="1"/>
    <col min="10248" max="10248" width="13.109375" style="2" bestFit="1" customWidth="1"/>
    <col min="10249" max="10252" width="14.109375" style="2" customWidth="1"/>
    <col min="10253" max="10253" width="14.44140625" style="2" customWidth="1"/>
    <col min="10254" max="10254" width="9.6640625" style="2" customWidth="1"/>
    <col min="10255" max="10255" width="12.6640625" style="2" customWidth="1"/>
    <col min="10256" max="10258" width="13.5546875" style="2" customWidth="1"/>
    <col min="10259" max="10259" width="12.109375" style="2" customWidth="1"/>
    <col min="10260" max="10260" width="15" style="2" customWidth="1"/>
    <col min="10261" max="10496" width="9.109375" style="2"/>
    <col min="10497" max="10497" width="9.88671875" style="2" customWidth="1"/>
    <col min="10498" max="10498" width="10.44140625" style="2" bestFit="1" customWidth="1"/>
    <col min="10499" max="10499" width="39.33203125" style="2" customWidth="1"/>
    <col min="10500" max="10500" width="15" style="2" bestFit="1" customWidth="1"/>
    <col min="10501" max="10501" width="11" style="2" customWidth="1"/>
    <col min="10502" max="10502" width="11.109375" style="2" customWidth="1"/>
    <col min="10503" max="10503" width="12.88671875" style="2" bestFit="1" customWidth="1"/>
    <col min="10504" max="10504" width="13.109375" style="2" bestFit="1" customWidth="1"/>
    <col min="10505" max="10508" width="14.109375" style="2" customWidth="1"/>
    <col min="10509" max="10509" width="14.44140625" style="2" customWidth="1"/>
    <col min="10510" max="10510" width="9.6640625" style="2" customWidth="1"/>
    <col min="10511" max="10511" width="12.6640625" style="2" customWidth="1"/>
    <col min="10512" max="10514" width="13.5546875" style="2" customWidth="1"/>
    <col min="10515" max="10515" width="12.109375" style="2" customWidth="1"/>
    <col min="10516" max="10516" width="15" style="2" customWidth="1"/>
    <col min="10517" max="10752" width="9.109375" style="2"/>
    <col min="10753" max="10753" width="9.88671875" style="2" customWidth="1"/>
    <col min="10754" max="10754" width="10.44140625" style="2" bestFit="1" customWidth="1"/>
    <col min="10755" max="10755" width="39.33203125" style="2" customWidth="1"/>
    <col min="10756" max="10756" width="15" style="2" bestFit="1" customWidth="1"/>
    <col min="10757" max="10757" width="11" style="2" customWidth="1"/>
    <col min="10758" max="10758" width="11.109375" style="2" customWidth="1"/>
    <col min="10759" max="10759" width="12.88671875" style="2" bestFit="1" customWidth="1"/>
    <col min="10760" max="10760" width="13.109375" style="2" bestFit="1" customWidth="1"/>
    <col min="10761" max="10764" width="14.109375" style="2" customWidth="1"/>
    <col min="10765" max="10765" width="14.44140625" style="2" customWidth="1"/>
    <col min="10766" max="10766" width="9.6640625" style="2" customWidth="1"/>
    <col min="10767" max="10767" width="12.6640625" style="2" customWidth="1"/>
    <col min="10768" max="10770" width="13.5546875" style="2" customWidth="1"/>
    <col min="10771" max="10771" width="12.109375" style="2" customWidth="1"/>
    <col min="10772" max="10772" width="15" style="2" customWidth="1"/>
    <col min="10773" max="11008" width="9.109375" style="2"/>
    <col min="11009" max="11009" width="9.88671875" style="2" customWidth="1"/>
    <col min="11010" max="11010" width="10.44140625" style="2" bestFit="1" customWidth="1"/>
    <col min="11011" max="11011" width="39.33203125" style="2" customWidth="1"/>
    <col min="11012" max="11012" width="15" style="2" bestFit="1" customWidth="1"/>
    <col min="11013" max="11013" width="11" style="2" customWidth="1"/>
    <col min="11014" max="11014" width="11.109375" style="2" customWidth="1"/>
    <col min="11015" max="11015" width="12.88671875" style="2" bestFit="1" customWidth="1"/>
    <col min="11016" max="11016" width="13.109375" style="2" bestFit="1" customWidth="1"/>
    <col min="11017" max="11020" width="14.109375" style="2" customWidth="1"/>
    <col min="11021" max="11021" width="14.44140625" style="2" customWidth="1"/>
    <col min="11022" max="11022" width="9.6640625" style="2" customWidth="1"/>
    <col min="11023" max="11023" width="12.6640625" style="2" customWidth="1"/>
    <col min="11024" max="11026" width="13.5546875" style="2" customWidth="1"/>
    <col min="11027" max="11027" width="12.109375" style="2" customWidth="1"/>
    <col min="11028" max="11028" width="15" style="2" customWidth="1"/>
    <col min="11029" max="11264" width="9.109375" style="2"/>
    <col min="11265" max="11265" width="9.88671875" style="2" customWidth="1"/>
    <col min="11266" max="11266" width="10.44140625" style="2" bestFit="1" customWidth="1"/>
    <col min="11267" max="11267" width="39.33203125" style="2" customWidth="1"/>
    <col min="11268" max="11268" width="15" style="2" bestFit="1" customWidth="1"/>
    <col min="11269" max="11269" width="11" style="2" customWidth="1"/>
    <col min="11270" max="11270" width="11.109375" style="2" customWidth="1"/>
    <col min="11271" max="11271" width="12.88671875" style="2" bestFit="1" customWidth="1"/>
    <col min="11272" max="11272" width="13.109375" style="2" bestFit="1" customWidth="1"/>
    <col min="11273" max="11276" width="14.109375" style="2" customWidth="1"/>
    <col min="11277" max="11277" width="14.44140625" style="2" customWidth="1"/>
    <col min="11278" max="11278" width="9.6640625" style="2" customWidth="1"/>
    <col min="11279" max="11279" width="12.6640625" style="2" customWidth="1"/>
    <col min="11280" max="11282" width="13.5546875" style="2" customWidth="1"/>
    <col min="11283" max="11283" width="12.109375" style="2" customWidth="1"/>
    <col min="11284" max="11284" width="15" style="2" customWidth="1"/>
    <col min="11285" max="11520" width="9.109375" style="2"/>
    <col min="11521" max="11521" width="9.88671875" style="2" customWidth="1"/>
    <col min="11522" max="11522" width="10.44140625" style="2" bestFit="1" customWidth="1"/>
    <col min="11523" max="11523" width="39.33203125" style="2" customWidth="1"/>
    <col min="11524" max="11524" width="15" style="2" bestFit="1" customWidth="1"/>
    <col min="11525" max="11525" width="11" style="2" customWidth="1"/>
    <col min="11526" max="11526" width="11.109375" style="2" customWidth="1"/>
    <col min="11527" max="11527" width="12.88671875" style="2" bestFit="1" customWidth="1"/>
    <col min="11528" max="11528" width="13.109375" style="2" bestFit="1" customWidth="1"/>
    <col min="11529" max="11532" width="14.109375" style="2" customWidth="1"/>
    <col min="11533" max="11533" width="14.44140625" style="2" customWidth="1"/>
    <col min="11534" max="11534" width="9.6640625" style="2" customWidth="1"/>
    <col min="11535" max="11535" width="12.6640625" style="2" customWidth="1"/>
    <col min="11536" max="11538" width="13.5546875" style="2" customWidth="1"/>
    <col min="11539" max="11539" width="12.109375" style="2" customWidth="1"/>
    <col min="11540" max="11540" width="15" style="2" customWidth="1"/>
    <col min="11541" max="11776" width="9.109375" style="2"/>
    <col min="11777" max="11777" width="9.88671875" style="2" customWidth="1"/>
    <col min="11778" max="11778" width="10.44140625" style="2" bestFit="1" customWidth="1"/>
    <col min="11779" max="11779" width="39.33203125" style="2" customWidth="1"/>
    <col min="11780" max="11780" width="15" style="2" bestFit="1" customWidth="1"/>
    <col min="11781" max="11781" width="11" style="2" customWidth="1"/>
    <col min="11782" max="11782" width="11.109375" style="2" customWidth="1"/>
    <col min="11783" max="11783" width="12.88671875" style="2" bestFit="1" customWidth="1"/>
    <col min="11784" max="11784" width="13.109375" style="2" bestFit="1" customWidth="1"/>
    <col min="11785" max="11788" width="14.109375" style="2" customWidth="1"/>
    <col min="11789" max="11789" width="14.44140625" style="2" customWidth="1"/>
    <col min="11790" max="11790" width="9.6640625" style="2" customWidth="1"/>
    <col min="11791" max="11791" width="12.6640625" style="2" customWidth="1"/>
    <col min="11792" max="11794" width="13.5546875" style="2" customWidth="1"/>
    <col min="11795" max="11795" width="12.109375" style="2" customWidth="1"/>
    <col min="11796" max="11796" width="15" style="2" customWidth="1"/>
    <col min="11797" max="12032" width="9.109375" style="2"/>
    <col min="12033" max="12033" width="9.88671875" style="2" customWidth="1"/>
    <col min="12034" max="12034" width="10.44140625" style="2" bestFit="1" customWidth="1"/>
    <col min="12035" max="12035" width="39.33203125" style="2" customWidth="1"/>
    <col min="12036" max="12036" width="15" style="2" bestFit="1" customWidth="1"/>
    <col min="12037" max="12037" width="11" style="2" customWidth="1"/>
    <col min="12038" max="12038" width="11.109375" style="2" customWidth="1"/>
    <col min="12039" max="12039" width="12.88671875" style="2" bestFit="1" customWidth="1"/>
    <col min="12040" max="12040" width="13.109375" style="2" bestFit="1" customWidth="1"/>
    <col min="12041" max="12044" width="14.109375" style="2" customWidth="1"/>
    <col min="12045" max="12045" width="14.44140625" style="2" customWidth="1"/>
    <col min="12046" max="12046" width="9.6640625" style="2" customWidth="1"/>
    <col min="12047" max="12047" width="12.6640625" style="2" customWidth="1"/>
    <col min="12048" max="12050" width="13.5546875" style="2" customWidth="1"/>
    <col min="12051" max="12051" width="12.109375" style="2" customWidth="1"/>
    <col min="12052" max="12052" width="15" style="2" customWidth="1"/>
    <col min="12053" max="12288" width="9.109375" style="2"/>
    <col min="12289" max="12289" width="9.88671875" style="2" customWidth="1"/>
    <col min="12290" max="12290" width="10.44140625" style="2" bestFit="1" customWidth="1"/>
    <col min="12291" max="12291" width="39.33203125" style="2" customWidth="1"/>
    <col min="12292" max="12292" width="15" style="2" bestFit="1" customWidth="1"/>
    <col min="12293" max="12293" width="11" style="2" customWidth="1"/>
    <col min="12294" max="12294" width="11.109375" style="2" customWidth="1"/>
    <col min="12295" max="12295" width="12.88671875" style="2" bestFit="1" customWidth="1"/>
    <col min="12296" max="12296" width="13.109375" style="2" bestFit="1" customWidth="1"/>
    <col min="12297" max="12300" width="14.109375" style="2" customWidth="1"/>
    <col min="12301" max="12301" width="14.44140625" style="2" customWidth="1"/>
    <col min="12302" max="12302" width="9.6640625" style="2" customWidth="1"/>
    <col min="12303" max="12303" width="12.6640625" style="2" customWidth="1"/>
    <col min="12304" max="12306" width="13.5546875" style="2" customWidth="1"/>
    <col min="12307" max="12307" width="12.109375" style="2" customWidth="1"/>
    <col min="12308" max="12308" width="15" style="2" customWidth="1"/>
    <col min="12309" max="12544" width="9.109375" style="2"/>
    <col min="12545" max="12545" width="9.88671875" style="2" customWidth="1"/>
    <col min="12546" max="12546" width="10.44140625" style="2" bestFit="1" customWidth="1"/>
    <col min="12547" max="12547" width="39.33203125" style="2" customWidth="1"/>
    <col min="12548" max="12548" width="15" style="2" bestFit="1" customWidth="1"/>
    <col min="12549" max="12549" width="11" style="2" customWidth="1"/>
    <col min="12550" max="12550" width="11.109375" style="2" customWidth="1"/>
    <col min="12551" max="12551" width="12.88671875" style="2" bestFit="1" customWidth="1"/>
    <col min="12552" max="12552" width="13.109375" style="2" bestFit="1" customWidth="1"/>
    <col min="12553" max="12556" width="14.109375" style="2" customWidth="1"/>
    <col min="12557" max="12557" width="14.44140625" style="2" customWidth="1"/>
    <col min="12558" max="12558" width="9.6640625" style="2" customWidth="1"/>
    <col min="12559" max="12559" width="12.6640625" style="2" customWidth="1"/>
    <col min="12560" max="12562" width="13.5546875" style="2" customWidth="1"/>
    <col min="12563" max="12563" width="12.109375" style="2" customWidth="1"/>
    <col min="12564" max="12564" width="15" style="2" customWidth="1"/>
    <col min="12565" max="12800" width="9.109375" style="2"/>
    <col min="12801" max="12801" width="9.88671875" style="2" customWidth="1"/>
    <col min="12802" max="12802" width="10.44140625" style="2" bestFit="1" customWidth="1"/>
    <col min="12803" max="12803" width="39.33203125" style="2" customWidth="1"/>
    <col min="12804" max="12804" width="15" style="2" bestFit="1" customWidth="1"/>
    <col min="12805" max="12805" width="11" style="2" customWidth="1"/>
    <col min="12806" max="12806" width="11.109375" style="2" customWidth="1"/>
    <col min="12807" max="12807" width="12.88671875" style="2" bestFit="1" customWidth="1"/>
    <col min="12808" max="12808" width="13.109375" style="2" bestFit="1" customWidth="1"/>
    <col min="12809" max="12812" width="14.109375" style="2" customWidth="1"/>
    <col min="12813" max="12813" width="14.44140625" style="2" customWidth="1"/>
    <col min="12814" max="12814" width="9.6640625" style="2" customWidth="1"/>
    <col min="12815" max="12815" width="12.6640625" style="2" customWidth="1"/>
    <col min="12816" max="12818" width="13.5546875" style="2" customWidth="1"/>
    <col min="12819" max="12819" width="12.109375" style="2" customWidth="1"/>
    <col min="12820" max="12820" width="15" style="2" customWidth="1"/>
    <col min="12821" max="13056" width="9.109375" style="2"/>
    <col min="13057" max="13057" width="9.88671875" style="2" customWidth="1"/>
    <col min="13058" max="13058" width="10.44140625" style="2" bestFit="1" customWidth="1"/>
    <col min="13059" max="13059" width="39.33203125" style="2" customWidth="1"/>
    <col min="13060" max="13060" width="15" style="2" bestFit="1" customWidth="1"/>
    <col min="13061" max="13061" width="11" style="2" customWidth="1"/>
    <col min="13062" max="13062" width="11.109375" style="2" customWidth="1"/>
    <col min="13063" max="13063" width="12.88671875" style="2" bestFit="1" customWidth="1"/>
    <col min="13064" max="13064" width="13.109375" style="2" bestFit="1" customWidth="1"/>
    <col min="13065" max="13068" width="14.109375" style="2" customWidth="1"/>
    <col min="13069" max="13069" width="14.44140625" style="2" customWidth="1"/>
    <col min="13070" max="13070" width="9.6640625" style="2" customWidth="1"/>
    <col min="13071" max="13071" width="12.6640625" style="2" customWidth="1"/>
    <col min="13072" max="13074" width="13.5546875" style="2" customWidth="1"/>
    <col min="13075" max="13075" width="12.109375" style="2" customWidth="1"/>
    <col min="13076" max="13076" width="15" style="2" customWidth="1"/>
    <col min="13077" max="13312" width="9.109375" style="2"/>
    <col min="13313" max="13313" width="9.88671875" style="2" customWidth="1"/>
    <col min="13314" max="13314" width="10.44140625" style="2" bestFit="1" customWidth="1"/>
    <col min="13315" max="13315" width="39.33203125" style="2" customWidth="1"/>
    <col min="13316" max="13316" width="15" style="2" bestFit="1" customWidth="1"/>
    <col min="13317" max="13317" width="11" style="2" customWidth="1"/>
    <col min="13318" max="13318" width="11.109375" style="2" customWidth="1"/>
    <col min="13319" max="13319" width="12.88671875" style="2" bestFit="1" customWidth="1"/>
    <col min="13320" max="13320" width="13.109375" style="2" bestFit="1" customWidth="1"/>
    <col min="13321" max="13324" width="14.109375" style="2" customWidth="1"/>
    <col min="13325" max="13325" width="14.44140625" style="2" customWidth="1"/>
    <col min="13326" max="13326" width="9.6640625" style="2" customWidth="1"/>
    <col min="13327" max="13327" width="12.6640625" style="2" customWidth="1"/>
    <col min="13328" max="13330" width="13.5546875" style="2" customWidth="1"/>
    <col min="13331" max="13331" width="12.109375" style="2" customWidth="1"/>
    <col min="13332" max="13332" width="15" style="2" customWidth="1"/>
    <col min="13333" max="13568" width="9.109375" style="2"/>
    <col min="13569" max="13569" width="9.88671875" style="2" customWidth="1"/>
    <col min="13570" max="13570" width="10.44140625" style="2" bestFit="1" customWidth="1"/>
    <col min="13571" max="13571" width="39.33203125" style="2" customWidth="1"/>
    <col min="13572" max="13572" width="15" style="2" bestFit="1" customWidth="1"/>
    <col min="13573" max="13573" width="11" style="2" customWidth="1"/>
    <col min="13574" max="13574" width="11.109375" style="2" customWidth="1"/>
    <col min="13575" max="13575" width="12.88671875" style="2" bestFit="1" customWidth="1"/>
    <col min="13576" max="13576" width="13.109375" style="2" bestFit="1" customWidth="1"/>
    <col min="13577" max="13580" width="14.109375" style="2" customWidth="1"/>
    <col min="13581" max="13581" width="14.44140625" style="2" customWidth="1"/>
    <col min="13582" max="13582" width="9.6640625" style="2" customWidth="1"/>
    <col min="13583" max="13583" width="12.6640625" style="2" customWidth="1"/>
    <col min="13584" max="13586" width="13.5546875" style="2" customWidth="1"/>
    <col min="13587" max="13587" width="12.109375" style="2" customWidth="1"/>
    <col min="13588" max="13588" width="15" style="2" customWidth="1"/>
    <col min="13589" max="13824" width="9.109375" style="2"/>
    <col min="13825" max="13825" width="9.88671875" style="2" customWidth="1"/>
    <col min="13826" max="13826" width="10.44140625" style="2" bestFit="1" customWidth="1"/>
    <col min="13827" max="13827" width="39.33203125" style="2" customWidth="1"/>
    <col min="13828" max="13828" width="15" style="2" bestFit="1" customWidth="1"/>
    <col min="13829" max="13829" width="11" style="2" customWidth="1"/>
    <col min="13830" max="13830" width="11.109375" style="2" customWidth="1"/>
    <col min="13831" max="13831" width="12.88671875" style="2" bestFit="1" customWidth="1"/>
    <col min="13832" max="13832" width="13.109375" style="2" bestFit="1" customWidth="1"/>
    <col min="13833" max="13836" width="14.109375" style="2" customWidth="1"/>
    <col min="13837" max="13837" width="14.44140625" style="2" customWidth="1"/>
    <col min="13838" max="13838" width="9.6640625" style="2" customWidth="1"/>
    <col min="13839" max="13839" width="12.6640625" style="2" customWidth="1"/>
    <col min="13840" max="13842" width="13.5546875" style="2" customWidth="1"/>
    <col min="13843" max="13843" width="12.109375" style="2" customWidth="1"/>
    <col min="13844" max="13844" width="15" style="2" customWidth="1"/>
    <col min="13845" max="14080" width="9.109375" style="2"/>
    <col min="14081" max="14081" width="9.88671875" style="2" customWidth="1"/>
    <col min="14082" max="14082" width="10.44140625" style="2" bestFit="1" customWidth="1"/>
    <col min="14083" max="14083" width="39.33203125" style="2" customWidth="1"/>
    <col min="14084" max="14084" width="15" style="2" bestFit="1" customWidth="1"/>
    <col min="14085" max="14085" width="11" style="2" customWidth="1"/>
    <col min="14086" max="14086" width="11.109375" style="2" customWidth="1"/>
    <col min="14087" max="14087" width="12.88671875" style="2" bestFit="1" customWidth="1"/>
    <col min="14088" max="14088" width="13.109375" style="2" bestFit="1" customWidth="1"/>
    <col min="14089" max="14092" width="14.109375" style="2" customWidth="1"/>
    <col min="14093" max="14093" width="14.44140625" style="2" customWidth="1"/>
    <col min="14094" max="14094" width="9.6640625" style="2" customWidth="1"/>
    <col min="14095" max="14095" width="12.6640625" style="2" customWidth="1"/>
    <col min="14096" max="14098" width="13.5546875" style="2" customWidth="1"/>
    <col min="14099" max="14099" width="12.109375" style="2" customWidth="1"/>
    <col min="14100" max="14100" width="15" style="2" customWidth="1"/>
    <col min="14101" max="14336" width="9.109375" style="2"/>
    <col min="14337" max="14337" width="9.88671875" style="2" customWidth="1"/>
    <col min="14338" max="14338" width="10.44140625" style="2" bestFit="1" customWidth="1"/>
    <col min="14339" max="14339" width="39.33203125" style="2" customWidth="1"/>
    <col min="14340" max="14340" width="15" style="2" bestFit="1" customWidth="1"/>
    <col min="14341" max="14341" width="11" style="2" customWidth="1"/>
    <col min="14342" max="14342" width="11.109375" style="2" customWidth="1"/>
    <col min="14343" max="14343" width="12.88671875" style="2" bestFit="1" customWidth="1"/>
    <col min="14344" max="14344" width="13.109375" style="2" bestFit="1" customWidth="1"/>
    <col min="14345" max="14348" width="14.109375" style="2" customWidth="1"/>
    <col min="14349" max="14349" width="14.44140625" style="2" customWidth="1"/>
    <col min="14350" max="14350" width="9.6640625" style="2" customWidth="1"/>
    <col min="14351" max="14351" width="12.6640625" style="2" customWidth="1"/>
    <col min="14352" max="14354" width="13.5546875" style="2" customWidth="1"/>
    <col min="14355" max="14355" width="12.109375" style="2" customWidth="1"/>
    <col min="14356" max="14356" width="15" style="2" customWidth="1"/>
    <col min="14357" max="14592" width="9.109375" style="2"/>
    <col min="14593" max="14593" width="9.88671875" style="2" customWidth="1"/>
    <col min="14594" max="14594" width="10.44140625" style="2" bestFit="1" customWidth="1"/>
    <col min="14595" max="14595" width="39.33203125" style="2" customWidth="1"/>
    <col min="14596" max="14596" width="15" style="2" bestFit="1" customWidth="1"/>
    <col min="14597" max="14597" width="11" style="2" customWidth="1"/>
    <col min="14598" max="14598" width="11.109375" style="2" customWidth="1"/>
    <col min="14599" max="14599" width="12.88671875" style="2" bestFit="1" customWidth="1"/>
    <col min="14600" max="14600" width="13.109375" style="2" bestFit="1" customWidth="1"/>
    <col min="14601" max="14604" width="14.109375" style="2" customWidth="1"/>
    <col min="14605" max="14605" width="14.44140625" style="2" customWidth="1"/>
    <col min="14606" max="14606" width="9.6640625" style="2" customWidth="1"/>
    <col min="14607" max="14607" width="12.6640625" style="2" customWidth="1"/>
    <col min="14608" max="14610" width="13.5546875" style="2" customWidth="1"/>
    <col min="14611" max="14611" width="12.109375" style="2" customWidth="1"/>
    <col min="14612" max="14612" width="15" style="2" customWidth="1"/>
    <col min="14613" max="14848" width="9.109375" style="2"/>
    <col min="14849" max="14849" width="9.88671875" style="2" customWidth="1"/>
    <col min="14850" max="14850" width="10.44140625" style="2" bestFit="1" customWidth="1"/>
    <col min="14851" max="14851" width="39.33203125" style="2" customWidth="1"/>
    <col min="14852" max="14852" width="15" style="2" bestFit="1" customWidth="1"/>
    <col min="14853" max="14853" width="11" style="2" customWidth="1"/>
    <col min="14854" max="14854" width="11.109375" style="2" customWidth="1"/>
    <col min="14855" max="14855" width="12.88671875" style="2" bestFit="1" customWidth="1"/>
    <col min="14856" max="14856" width="13.109375" style="2" bestFit="1" customWidth="1"/>
    <col min="14857" max="14860" width="14.109375" style="2" customWidth="1"/>
    <col min="14861" max="14861" width="14.44140625" style="2" customWidth="1"/>
    <col min="14862" max="14862" width="9.6640625" style="2" customWidth="1"/>
    <col min="14863" max="14863" width="12.6640625" style="2" customWidth="1"/>
    <col min="14864" max="14866" width="13.5546875" style="2" customWidth="1"/>
    <col min="14867" max="14867" width="12.109375" style="2" customWidth="1"/>
    <col min="14868" max="14868" width="15" style="2" customWidth="1"/>
    <col min="14869" max="15104" width="9.109375" style="2"/>
    <col min="15105" max="15105" width="9.88671875" style="2" customWidth="1"/>
    <col min="15106" max="15106" width="10.44140625" style="2" bestFit="1" customWidth="1"/>
    <col min="15107" max="15107" width="39.33203125" style="2" customWidth="1"/>
    <col min="15108" max="15108" width="15" style="2" bestFit="1" customWidth="1"/>
    <col min="15109" max="15109" width="11" style="2" customWidth="1"/>
    <col min="15110" max="15110" width="11.109375" style="2" customWidth="1"/>
    <col min="15111" max="15111" width="12.88671875" style="2" bestFit="1" customWidth="1"/>
    <col min="15112" max="15112" width="13.109375" style="2" bestFit="1" customWidth="1"/>
    <col min="15113" max="15116" width="14.109375" style="2" customWidth="1"/>
    <col min="15117" max="15117" width="14.44140625" style="2" customWidth="1"/>
    <col min="15118" max="15118" width="9.6640625" style="2" customWidth="1"/>
    <col min="15119" max="15119" width="12.6640625" style="2" customWidth="1"/>
    <col min="15120" max="15122" width="13.5546875" style="2" customWidth="1"/>
    <col min="15123" max="15123" width="12.109375" style="2" customWidth="1"/>
    <col min="15124" max="15124" width="15" style="2" customWidth="1"/>
    <col min="15125" max="15360" width="9.109375" style="2"/>
    <col min="15361" max="15361" width="9.88671875" style="2" customWidth="1"/>
    <col min="15362" max="15362" width="10.44140625" style="2" bestFit="1" customWidth="1"/>
    <col min="15363" max="15363" width="39.33203125" style="2" customWidth="1"/>
    <col min="15364" max="15364" width="15" style="2" bestFit="1" customWidth="1"/>
    <col min="15365" max="15365" width="11" style="2" customWidth="1"/>
    <col min="15366" max="15366" width="11.109375" style="2" customWidth="1"/>
    <col min="15367" max="15367" width="12.88671875" style="2" bestFit="1" customWidth="1"/>
    <col min="15368" max="15368" width="13.109375" style="2" bestFit="1" customWidth="1"/>
    <col min="15369" max="15372" width="14.109375" style="2" customWidth="1"/>
    <col min="15373" max="15373" width="14.44140625" style="2" customWidth="1"/>
    <col min="15374" max="15374" width="9.6640625" style="2" customWidth="1"/>
    <col min="15375" max="15375" width="12.6640625" style="2" customWidth="1"/>
    <col min="15376" max="15378" width="13.5546875" style="2" customWidth="1"/>
    <col min="15379" max="15379" width="12.109375" style="2" customWidth="1"/>
    <col min="15380" max="15380" width="15" style="2" customWidth="1"/>
    <col min="15381" max="15616" width="9.109375" style="2"/>
    <col min="15617" max="15617" width="9.88671875" style="2" customWidth="1"/>
    <col min="15618" max="15618" width="10.44140625" style="2" bestFit="1" customWidth="1"/>
    <col min="15619" max="15619" width="39.33203125" style="2" customWidth="1"/>
    <col min="15620" max="15620" width="15" style="2" bestFit="1" customWidth="1"/>
    <col min="15621" max="15621" width="11" style="2" customWidth="1"/>
    <col min="15622" max="15622" width="11.109375" style="2" customWidth="1"/>
    <col min="15623" max="15623" width="12.88671875" style="2" bestFit="1" customWidth="1"/>
    <col min="15624" max="15624" width="13.109375" style="2" bestFit="1" customWidth="1"/>
    <col min="15625" max="15628" width="14.109375" style="2" customWidth="1"/>
    <col min="15629" max="15629" width="14.44140625" style="2" customWidth="1"/>
    <col min="15630" max="15630" width="9.6640625" style="2" customWidth="1"/>
    <col min="15631" max="15631" width="12.6640625" style="2" customWidth="1"/>
    <col min="15632" max="15634" width="13.5546875" style="2" customWidth="1"/>
    <col min="15635" max="15635" width="12.109375" style="2" customWidth="1"/>
    <col min="15636" max="15636" width="15" style="2" customWidth="1"/>
    <col min="15637" max="15872" width="9.109375" style="2"/>
    <col min="15873" max="15873" width="9.88671875" style="2" customWidth="1"/>
    <col min="15874" max="15874" width="10.44140625" style="2" bestFit="1" customWidth="1"/>
    <col min="15875" max="15875" width="39.33203125" style="2" customWidth="1"/>
    <col min="15876" max="15876" width="15" style="2" bestFit="1" customWidth="1"/>
    <col min="15877" max="15877" width="11" style="2" customWidth="1"/>
    <col min="15878" max="15878" width="11.109375" style="2" customWidth="1"/>
    <col min="15879" max="15879" width="12.88671875" style="2" bestFit="1" customWidth="1"/>
    <col min="15880" max="15880" width="13.109375" style="2" bestFit="1" customWidth="1"/>
    <col min="15881" max="15884" width="14.109375" style="2" customWidth="1"/>
    <col min="15885" max="15885" width="14.44140625" style="2" customWidth="1"/>
    <col min="15886" max="15886" width="9.6640625" style="2" customWidth="1"/>
    <col min="15887" max="15887" width="12.6640625" style="2" customWidth="1"/>
    <col min="15888" max="15890" width="13.5546875" style="2" customWidth="1"/>
    <col min="15891" max="15891" width="12.109375" style="2" customWidth="1"/>
    <col min="15892" max="15892" width="15" style="2" customWidth="1"/>
    <col min="15893" max="16128" width="9.109375" style="2"/>
    <col min="16129" max="16129" width="9.88671875" style="2" customWidth="1"/>
    <col min="16130" max="16130" width="10.44140625" style="2" bestFit="1" customWidth="1"/>
    <col min="16131" max="16131" width="39.33203125" style="2" customWidth="1"/>
    <col min="16132" max="16132" width="15" style="2" bestFit="1" customWidth="1"/>
    <col min="16133" max="16133" width="11" style="2" customWidth="1"/>
    <col min="16134" max="16134" width="11.109375" style="2" customWidth="1"/>
    <col min="16135" max="16135" width="12.88671875" style="2" bestFit="1" customWidth="1"/>
    <col min="16136" max="16136" width="13.109375" style="2" bestFit="1" customWidth="1"/>
    <col min="16137" max="16140" width="14.109375" style="2" customWidth="1"/>
    <col min="16141" max="16141" width="14.44140625" style="2" customWidth="1"/>
    <col min="16142" max="16142" width="9.6640625" style="2" customWidth="1"/>
    <col min="16143" max="16143" width="12.6640625" style="2" customWidth="1"/>
    <col min="16144" max="16146" width="13.5546875" style="2" customWidth="1"/>
    <col min="16147" max="16147" width="12.109375" style="2" customWidth="1"/>
    <col min="16148" max="16148" width="15" style="2" customWidth="1"/>
    <col min="16149" max="16384" width="9.109375" style="2"/>
  </cols>
  <sheetData>
    <row r="1" spans="1:22" x14ac:dyDescent="0.3">
      <c r="A1" s="23"/>
      <c r="B1" s="265" t="str">
        <f>INSTRUÇÕES!B1</f>
        <v>Tribunal Regional Federal da 6ª Região</v>
      </c>
      <c r="D1" s="24"/>
      <c r="E1" s="24"/>
      <c r="F1" s="24"/>
      <c r="G1" s="24"/>
      <c r="H1" s="24"/>
      <c r="I1" s="24"/>
      <c r="J1" s="266"/>
      <c r="K1" s="266"/>
      <c r="L1" s="24"/>
      <c r="M1" s="24"/>
      <c r="N1" s="24"/>
    </row>
    <row r="2" spans="1:22" x14ac:dyDescent="0.3">
      <c r="A2" s="23"/>
      <c r="B2" s="265" t="str">
        <f>INSTRUÇÕES!B2</f>
        <v>Seção Judiciária de Minas Gerais</v>
      </c>
      <c r="D2" s="24"/>
      <c r="E2" s="24"/>
      <c r="F2" s="24"/>
      <c r="G2" s="24"/>
      <c r="H2" s="24"/>
      <c r="I2" s="24"/>
      <c r="J2" s="266"/>
      <c r="K2" s="266"/>
      <c r="L2" s="24"/>
      <c r="M2" s="24"/>
      <c r="N2" s="24"/>
    </row>
    <row r="3" spans="1:22" ht="18" x14ac:dyDescent="0.3">
      <c r="A3" s="23"/>
      <c r="B3" s="265" t="str">
        <f>INSTRUÇÕES!B3</f>
        <v>Subseção Judiciária de Sete Lagoas</v>
      </c>
      <c r="D3" s="24"/>
      <c r="E3" s="267" t="s">
        <v>727</v>
      </c>
      <c r="F3" s="24"/>
      <c r="G3" s="24"/>
      <c r="H3" s="24"/>
      <c r="I3" s="24"/>
      <c r="J3" s="266"/>
      <c r="K3" s="266"/>
      <c r="L3" s="24"/>
      <c r="M3" s="24"/>
      <c r="N3" s="24"/>
      <c r="R3" s="268"/>
    </row>
    <row r="4" spans="1:22" s="6" customFormat="1" ht="24.9" customHeight="1" x14ac:dyDescent="0.3">
      <c r="A4" s="269" t="str">
        <f>CONCATENATE("Sindicato utilizado - ",E15,". Vigência: ",E17,". Sendo a data base da categoria ",E18,". Com número de registro no MTE ",E16,".")</f>
        <v>Sindicato utilizado - SINTAPPI/MG. Vigência: 01/04/2023 à 31/03/2024. Sendo a data base da categoria 01º de Abril. Com número de registro no MTE MG001474/2023.</v>
      </c>
      <c r="B4" s="269"/>
      <c r="C4" s="270"/>
      <c r="D4" s="271"/>
      <c r="E4" s="269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</row>
    <row r="5" spans="1:22" s="6" customFormat="1" ht="66.75" customHeight="1" x14ac:dyDescent="0.3">
      <c r="A5" s="1013" t="s">
        <v>294</v>
      </c>
      <c r="B5" s="1013" t="s">
        <v>295</v>
      </c>
      <c r="C5" s="1013" t="s">
        <v>16</v>
      </c>
      <c r="D5" s="1013" t="s">
        <v>296</v>
      </c>
      <c r="E5" s="1013" t="s">
        <v>394</v>
      </c>
      <c r="F5" s="1013" t="s">
        <v>297</v>
      </c>
      <c r="G5" s="1013" t="s">
        <v>298</v>
      </c>
      <c r="H5" s="1013" t="s">
        <v>299</v>
      </c>
      <c r="I5" s="1013" t="s">
        <v>688</v>
      </c>
      <c r="J5" s="1013" t="s">
        <v>689</v>
      </c>
      <c r="K5" s="1013" t="s">
        <v>690</v>
      </c>
      <c r="L5" s="1013" t="s">
        <v>300</v>
      </c>
      <c r="M5" s="1012" t="s">
        <v>301</v>
      </c>
      <c r="N5" s="578" t="s">
        <v>302</v>
      </c>
      <c r="O5" s="578" t="s">
        <v>303</v>
      </c>
      <c r="P5" s="578" t="s">
        <v>304</v>
      </c>
      <c r="Q5" s="578" t="s">
        <v>305</v>
      </c>
      <c r="R5" s="578" t="s">
        <v>306</v>
      </c>
      <c r="S5" s="578" t="s">
        <v>307</v>
      </c>
      <c r="T5" s="1013" t="s">
        <v>308</v>
      </c>
      <c r="V5" s="273"/>
    </row>
    <row r="6" spans="1:22" s="6" customFormat="1" ht="28.8" x14ac:dyDescent="0.3">
      <c r="A6" s="1013"/>
      <c r="B6" s="1013"/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2"/>
      <c r="N6" s="274" t="s">
        <v>309</v>
      </c>
      <c r="O6" s="275">
        <f>B7+B8</f>
        <v>2</v>
      </c>
      <c r="P6" s="275">
        <f>B9</f>
        <v>1</v>
      </c>
      <c r="Q6" s="275">
        <f>B10</f>
        <v>1</v>
      </c>
      <c r="R6" s="275">
        <f>B11</f>
        <v>2</v>
      </c>
      <c r="S6" s="13">
        <v>0</v>
      </c>
      <c r="T6" s="1013"/>
      <c r="V6" s="273"/>
    </row>
    <row r="7" spans="1:22" s="6" customFormat="1" ht="25.2" customHeight="1" x14ac:dyDescent="0.3">
      <c r="A7" s="1014">
        <v>333903702</v>
      </c>
      <c r="B7" s="275">
        <v>1</v>
      </c>
      <c r="C7" s="276" t="s">
        <v>58</v>
      </c>
      <c r="D7" s="275">
        <v>200</v>
      </c>
      <c r="E7" s="92">
        <v>1440</v>
      </c>
      <c r="F7" s="501">
        <f>ROUND(((E7/220)*D7),2)</f>
        <v>1309.0899999999999</v>
      </c>
      <c r="G7" s="277">
        <v>0.4</v>
      </c>
      <c r="H7" s="501">
        <f>G7*G28</f>
        <v>528</v>
      </c>
      <c r="I7" s="13">
        <v>0</v>
      </c>
      <c r="J7" s="13">
        <v>0</v>
      </c>
      <c r="K7" s="13"/>
      <c r="L7" s="13">
        <v>0</v>
      </c>
      <c r="M7" s="278">
        <f>F7+H7+L7</f>
        <v>1837.09</v>
      </c>
      <c r="N7" s="501">
        <f>Unif!$H$14</f>
        <v>42.67</v>
      </c>
      <c r="O7" s="501">
        <f>ROUND((Mat!$G$48/$O$6),2)</f>
        <v>1115.81</v>
      </c>
      <c r="P7" s="501"/>
      <c r="Q7" s="278"/>
      <c r="R7" s="501">
        <f>ROUND((Equip!$G$12/$R$6),2)</f>
        <v>10.14</v>
      </c>
      <c r="S7" s="501">
        <f>EPI!$J$15</f>
        <v>2.68</v>
      </c>
      <c r="T7" s="503">
        <v>2</v>
      </c>
      <c r="V7" s="273"/>
    </row>
    <row r="8" spans="1:22" s="6" customFormat="1" ht="21" customHeight="1" x14ac:dyDescent="0.3">
      <c r="A8" s="1014"/>
      <c r="B8" s="275">
        <v>1</v>
      </c>
      <c r="C8" s="276" t="s">
        <v>60</v>
      </c>
      <c r="D8" s="275">
        <v>200</v>
      </c>
      <c r="E8" s="92">
        <v>1440</v>
      </c>
      <c r="F8" s="501">
        <f t="shared" ref="F8:F11" si="0">ROUND(((E8/220)*D8),2)</f>
        <v>1309.0899999999999</v>
      </c>
      <c r="G8" s="279">
        <v>0</v>
      </c>
      <c r="H8" s="13">
        <v>0</v>
      </c>
      <c r="I8" s="13">
        <v>0</v>
      </c>
      <c r="J8" s="13">
        <v>0</v>
      </c>
      <c r="K8" s="13"/>
      <c r="L8" s="13">
        <v>0</v>
      </c>
      <c r="M8" s="278">
        <f t="shared" ref="M8:M11" si="1">F8+H8+L8</f>
        <v>1309.0899999999999</v>
      </c>
      <c r="N8" s="501">
        <f>Unif!$H$14</f>
        <v>42.67</v>
      </c>
      <c r="O8" s="501">
        <f>ROUND((Mat!$G$48/$O$6),2)</f>
        <v>1115.81</v>
      </c>
      <c r="P8" s="501"/>
      <c r="Q8" s="278"/>
      <c r="R8" s="501">
        <f>ROUND((Equip!$G$12/$R$6),2)</f>
        <v>10.14</v>
      </c>
      <c r="S8" s="501">
        <f>EPI!$J$16</f>
        <v>2.68</v>
      </c>
      <c r="T8" s="503">
        <v>2</v>
      </c>
      <c r="V8" s="273"/>
    </row>
    <row r="9" spans="1:22" s="6" customFormat="1" ht="24" customHeight="1" x14ac:dyDescent="0.3">
      <c r="A9" s="1014"/>
      <c r="B9" s="275">
        <v>1</v>
      </c>
      <c r="C9" s="276" t="s">
        <v>61</v>
      </c>
      <c r="D9" s="275">
        <v>200</v>
      </c>
      <c r="E9" s="92">
        <v>1442</v>
      </c>
      <c r="F9" s="501">
        <f t="shared" si="0"/>
        <v>1310.91</v>
      </c>
      <c r="G9" s="279">
        <v>0</v>
      </c>
      <c r="H9" s="13">
        <v>0</v>
      </c>
      <c r="I9" s="13">
        <v>0</v>
      </c>
      <c r="J9" s="13">
        <v>0</v>
      </c>
      <c r="K9" s="13"/>
      <c r="L9" s="13">
        <v>0</v>
      </c>
      <c r="M9" s="278">
        <f t="shared" si="1"/>
        <v>1310.91</v>
      </c>
      <c r="N9" s="501">
        <f>Unif!$H$24</f>
        <v>45.37</v>
      </c>
      <c r="O9" s="501"/>
      <c r="P9" s="501">
        <f>Mat!$G$72/P6</f>
        <v>95.650833333333352</v>
      </c>
      <c r="Q9" s="278"/>
      <c r="R9" s="501"/>
      <c r="S9" s="501">
        <f>EPI!$J$17</f>
        <v>2.68</v>
      </c>
      <c r="T9" s="503">
        <v>5</v>
      </c>
      <c r="V9" s="273"/>
    </row>
    <row r="10" spans="1:22" ht="21" customHeight="1" x14ac:dyDescent="0.3">
      <c r="A10" s="1014"/>
      <c r="B10" s="275">
        <v>1</v>
      </c>
      <c r="C10" s="276" t="s">
        <v>62</v>
      </c>
      <c r="D10" s="275">
        <v>200</v>
      </c>
      <c r="E10" s="92">
        <v>2151</v>
      </c>
      <c r="F10" s="501">
        <f t="shared" si="0"/>
        <v>1955.45</v>
      </c>
      <c r="G10" s="279">
        <v>0</v>
      </c>
      <c r="H10" s="13">
        <v>0</v>
      </c>
      <c r="I10" s="90">
        <v>0.12</v>
      </c>
      <c r="J10" s="90">
        <v>0.1</v>
      </c>
      <c r="K10" s="92">
        <f>F10</f>
        <v>1955.45</v>
      </c>
      <c r="L10" s="280">
        <f>ROUND((K10*I10*J10),2)</f>
        <v>23.47</v>
      </c>
      <c r="M10" s="278">
        <f t="shared" si="1"/>
        <v>1978.92</v>
      </c>
      <c r="N10" s="501">
        <f>Unif!$H$31+Unif!$H$37</f>
        <v>46.709999999999994</v>
      </c>
      <c r="O10" s="502"/>
      <c r="P10" s="501"/>
      <c r="Q10" s="501">
        <f>Mat!$G$85/$Q$6</f>
        <v>125.44000000000003</v>
      </c>
      <c r="R10" s="501"/>
      <c r="S10" s="501">
        <f>EPI!$J$18</f>
        <v>2.68</v>
      </c>
      <c r="T10" s="503">
        <v>2</v>
      </c>
    </row>
    <row r="11" spans="1:22" ht="24.9" customHeight="1" x14ac:dyDescent="0.3">
      <c r="A11" s="1014"/>
      <c r="B11" s="275">
        <v>2</v>
      </c>
      <c r="C11" s="276" t="s">
        <v>63</v>
      </c>
      <c r="D11" s="275">
        <v>200</v>
      </c>
      <c r="E11" s="92">
        <v>1788.06</v>
      </c>
      <c r="F11" s="501">
        <f t="shared" si="0"/>
        <v>1625.51</v>
      </c>
      <c r="G11" s="279">
        <v>0</v>
      </c>
      <c r="H11" s="13">
        <v>0</v>
      </c>
      <c r="I11" s="13">
        <v>0</v>
      </c>
      <c r="J11" s="13">
        <v>0</v>
      </c>
      <c r="K11" s="13"/>
      <c r="L11" s="13">
        <v>0</v>
      </c>
      <c r="M11" s="278">
        <f t="shared" si="1"/>
        <v>1625.51</v>
      </c>
      <c r="N11" s="501">
        <f>Unif!$H$44</f>
        <v>41.7</v>
      </c>
      <c r="O11" s="501"/>
      <c r="P11" s="501"/>
      <c r="Q11" s="278"/>
      <c r="R11" s="501"/>
      <c r="S11" s="501">
        <f>EPI!$J$19</f>
        <v>2.68</v>
      </c>
      <c r="T11" s="503">
        <v>1</v>
      </c>
    </row>
    <row r="12" spans="1:22" ht="34.5" customHeight="1" x14ac:dyDescent="0.3">
      <c r="A12" s="281" t="s">
        <v>773</v>
      </c>
      <c r="B12" s="1"/>
      <c r="C12" s="1"/>
      <c r="D12" s="281"/>
      <c r="F12" s="281"/>
      <c r="G12" s="281" t="s">
        <v>691</v>
      </c>
      <c r="H12" s="281"/>
      <c r="I12" s="281"/>
      <c r="J12" s="281"/>
      <c r="K12" s="269"/>
      <c r="L12" s="282" t="s">
        <v>310</v>
      </c>
      <c r="M12" s="283">
        <f>SUM(M7:M11)</f>
        <v>8061.52</v>
      </c>
      <c r="N12" s="269"/>
      <c r="O12" s="269"/>
      <c r="P12" s="269"/>
      <c r="Q12" s="269"/>
      <c r="R12" s="269"/>
      <c r="S12" s="269"/>
      <c r="T12" s="269"/>
    </row>
    <row r="13" spans="1:22" ht="24.9" customHeight="1" x14ac:dyDescent="0.3">
      <c r="A13" s="1015" t="s">
        <v>311</v>
      </c>
      <c r="B13" s="1015"/>
      <c r="C13" s="1015"/>
      <c r="D13" s="1015"/>
      <c r="E13" s="1015"/>
      <c r="F13" s="1015"/>
      <c r="G13" s="1015"/>
      <c r="N13" s="269"/>
      <c r="O13" s="269"/>
      <c r="P13" s="269"/>
      <c r="Q13" s="269"/>
      <c r="R13" s="269"/>
      <c r="S13" s="269"/>
      <c r="T13" s="269"/>
    </row>
    <row r="14" spans="1:22" ht="24" customHeight="1" x14ac:dyDescent="0.3">
      <c r="A14" s="285">
        <v>1</v>
      </c>
      <c r="B14" s="1016" t="s">
        <v>312</v>
      </c>
      <c r="C14" s="1016"/>
      <c r="D14" s="1016"/>
      <c r="E14" s="1017" t="s">
        <v>313</v>
      </c>
      <c r="F14" s="1017"/>
      <c r="G14" s="1017"/>
      <c r="H14" s="8" t="s">
        <v>314</v>
      </c>
      <c r="N14" s="269"/>
      <c r="O14" s="269"/>
      <c r="P14" s="269"/>
      <c r="Q14" s="269"/>
      <c r="R14" s="269"/>
      <c r="S14" s="269"/>
      <c r="T14" s="14"/>
    </row>
    <row r="15" spans="1:22" ht="24" customHeight="1" x14ac:dyDescent="0.3">
      <c r="A15" s="285">
        <v>2</v>
      </c>
      <c r="B15" s="1016" t="s">
        <v>315</v>
      </c>
      <c r="C15" s="1016"/>
      <c r="D15" s="1016"/>
      <c r="E15" s="1017" t="s">
        <v>316</v>
      </c>
      <c r="F15" s="1017"/>
      <c r="G15" s="1017"/>
      <c r="H15" s="8" t="s">
        <v>317</v>
      </c>
      <c r="N15" s="269"/>
      <c r="O15" s="269"/>
      <c r="P15" s="269"/>
      <c r="Q15" s="269"/>
      <c r="R15" s="269"/>
      <c r="S15" s="269"/>
      <c r="T15" s="14"/>
    </row>
    <row r="16" spans="1:22" ht="24" customHeight="1" x14ac:dyDescent="0.3">
      <c r="A16" s="285">
        <v>3</v>
      </c>
      <c r="B16" s="1016" t="s">
        <v>318</v>
      </c>
      <c r="C16" s="1016"/>
      <c r="D16" s="1016"/>
      <c r="E16" s="1017" t="s">
        <v>319</v>
      </c>
      <c r="F16" s="1017"/>
      <c r="G16" s="1017"/>
      <c r="H16" s="8" t="s">
        <v>320</v>
      </c>
      <c r="N16" s="269"/>
      <c r="O16" s="269"/>
      <c r="P16" s="269"/>
      <c r="Q16" s="269"/>
      <c r="R16" s="269"/>
      <c r="S16" s="269"/>
      <c r="T16" s="14"/>
    </row>
    <row r="17" spans="1:20" ht="24" customHeight="1" x14ac:dyDescent="0.3">
      <c r="A17" s="285">
        <v>4</v>
      </c>
      <c r="B17" s="1016" t="s">
        <v>321</v>
      </c>
      <c r="C17" s="1016"/>
      <c r="D17" s="1016"/>
      <c r="E17" s="1017" t="s">
        <v>322</v>
      </c>
      <c r="F17" s="1017"/>
      <c r="G17" s="1017"/>
      <c r="H17" s="8" t="s">
        <v>323</v>
      </c>
      <c r="N17" s="269"/>
      <c r="O17" s="269"/>
      <c r="P17" s="269"/>
      <c r="Q17" s="269"/>
      <c r="R17" s="269"/>
      <c r="S17" s="269"/>
      <c r="T17" s="14"/>
    </row>
    <row r="18" spans="1:20" ht="24" customHeight="1" x14ac:dyDescent="0.3">
      <c r="A18" s="285">
        <v>5</v>
      </c>
      <c r="B18" s="1016" t="s">
        <v>324</v>
      </c>
      <c r="C18" s="1016"/>
      <c r="D18" s="1016"/>
      <c r="E18" s="1017" t="s">
        <v>325</v>
      </c>
      <c r="F18" s="1017"/>
      <c r="G18" s="1017"/>
      <c r="H18" s="8" t="s">
        <v>326</v>
      </c>
      <c r="N18" s="269"/>
      <c r="O18" s="269"/>
      <c r="P18" s="269"/>
      <c r="Q18" s="269"/>
      <c r="R18" s="269"/>
      <c r="S18" s="269"/>
      <c r="T18" s="14"/>
    </row>
    <row r="19" spans="1:20" ht="12.75" customHeight="1" x14ac:dyDescent="0.3">
      <c r="A19" s="284"/>
      <c r="H19" s="8"/>
      <c r="J19" s="2"/>
      <c r="K19" s="2"/>
    </row>
    <row r="20" spans="1:20" s="14" customFormat="1" ht="24.9" customHeight="1" x14ac:dyDescent="0.3">
      <c r="A20" s="1015" t="s">
        <v>327</v>
      </c>
      <c r="B20" s="1015"/>
      <c r="C20" s="1015"/>
      <c r="D20" s="1015"/>
      <c r="E20" s="1015"/>
      <c r="F20" s="1015"/>
      <c r="G20" s="1015"/>
      <c r="H20" s="8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</row>
    <row r="21" spans="1:20" ht="24" customHeight="1" x14ac:dyDescent="0.3">
      <c r="A21" s="285" t="s">
        <v>328</v>
      </c>
      <c r="B21" s="1016" t="s">
        <v>329</v>
      </c>
      <c r="C21" s="1016"/>
      <c r="D21" s="1016"/>
      <c r="E21" s="1016"/>
      <c r="F21" s="1016"/>
      <c r="G21" s="286">
        <f>Encargos!C57</f>
        <v>0.79049999999999998</v>
      </c>
      <c r="H21" s="8"/>
      <c r="J21" s="2"/>
      <c r="K21" s="2"/>
    </row>
    <row r="22" spans="1:20" ht="12.75" customHeight="1" x14ac:dyDescent="0.3">
      <c r="A22" s="284"/>
      <c r="G22" s="1"/>
      <c r="H22" s="8"/>
      <c r="J22" s="2"/>
      <c r="K22" s="2"/>
    </row>
    <row r="23" spans="1:20" ht="24.9" customHeight="1" x14ac:dyDescent="0.3">
      <c r="A23" s="55">
        <v>1</v>
      </c>
      <c r="B23" s="1018" t="s">
        <v>330</v>
      </c>
      <c r="C23" s="1019"/>
      <c r="D23" s="1019"/>
      <c r="E23" s="1019"/>
      <c r="F23" s="1020"/>
      <c r="G23" s="288">
        <f>G24*G25</f>
        <v>0.06</v>
      </c>
      <c r="H23" s="8"/>
      <c r="J23" s="2"/>
      <c r="K23" s="2"/>
    </row>
    <row r="24" spans="1:20" ht="24.9" customHeight="1" x14ac:dyDescent="0.3">
      <c r="A24" s="55">
        <v>2</v>
      </c>
      <c r="B24" s="1018" t="s">
        <v>331</v>
      </c>
      <c r="C24" s="1019"/>
      <c r="D24" s="1019"/>
      <c r="E24" s="1019"/>
      <c r="F24" s="1020"/>
      <c r="G24" s="90">
        <v>0.03</v>
      </c>
      <c r="H24" s="8" t="s">
        <v>332</v>
      </c>
      <c r="J24" s="2"/>
      <c r="K24" s="2"/>
    </row>
    <row r="25" spans="1:20" ht="24.9" customHeight="1" x14ac:dyDescent="0.3">
      <c r="A25" s="55">
        <v>3</v>
      </c>
      <c r="B25" s="1018" t="s">
        <v>333</v>
      </c>
      <c r="C25" s="1019"/>
      <c r="D25" s="1019"/>
      <c r="E25" s="1019"/>
      <c r="F25" s="1020"/>
      <c r="G25" s="91">
        <v>2</v>
      </c>
      <c r="H25" s="8" t="s">
        <v>334</v>
      </c>
      <c r="J25" s="2"/>
      <c r="K25" s="2"/>
    </row>
    <row r="26" spans="1:20" ht="12.75" customHeight="1" x14ac:dyDescent="0.3">
      <c r="A26" s="284"/>
      <c r="B26" s="269"/>
      <c r="C26" s="269"/>
      <c r="D26" s="269"/>
      <c r="E26" s="269"/>
      <c r="F26" s="269"/>
      <c r="H26" s="8"/>
      <c r="J26" s="2"/>
      <c r="K26" s="2"/>
    </row>
    <row r="27" spans="1:20" ht="24.9" customHeight="1" x14ac:dyDescent="0.3">
      <c r="A27" s="1027" t="s">
        <v>335</v>
      </c>
      <c r="B27" s="1028"/>
      <c r="C27" s="1028"/>
      <c r="D27" s="1028"/>
      <c r="E27" s="1028"/>
      <c r="F27" s="1028"/>
      <c r="G27" s="1029"/>
      <c r="H27" s="8"/>
      <c r="J27" s="2"/>
      <c r="K27" s="2"/>
    </row>
    <row r="28" spans="1:20" ht="24.9" customHeight="1" x14ac:dyDescent="0.3">
      <c r="A28" s="55">
        <v>1</v>
      </c>
      <c r="B28" s="1018" t="s">
        <v>336</v>
      </c>
      <c r="C28" s="1019"/>
      <c r="D28" s="1019"/>
      <c r="E28" s="1019"/>
      <c r="F28" s="1020"/>
      <c r="G28" s="92">
        <v>1320</v>
      </c>
      <c r="H28" s="8" t="s">
        <v>337</v>
      </c>
      <c r="J28" s="2"/>
      <c r="K28" s="2"/>
    </row>
    <row r="29" spans="1:20" ht="12.75" customHeight="1" x14ac:dyDescent="0.3">
      <c r="A29" s="287"/>
      <c r="B29" s="289"/>
      <c r="C29" s="289"/>
      <c r="D29" s="289"/>
      <c r="E29" s="289"/>
      <c r="F29" s="289"/>
      <c r="G29" s="290"/>
      <c r="H29" s="8"/>
      <c r="J29" s="2"/>
      <c r="K29" s="2"/>
    </row>
    <row r="30" spans="1:20" s="14" customFormat="1" ht="24.9" customHeight="1" x14ac:dyDescent="0.3">
      <c r="A30" s="1027" t="s">
        <v>338</v>
      </c>
      <c r="B30" s="1028"/>
      <c r="C30" s="1028"/>
      <c r="D30" s="1028"/>
      <c r="E30" s="1028"/>
      <c r="F30" s="1028"/>
      <c r="G30" s="1029"/>
      <c r="H30" s="8"/>
      <c r="I30" s="2"/>
      <c r="J30" s="2"/>
      <c r="K30" s="269"/>
      <c r="L30" s="269"/>
      <c r="M30" s="269"/>
      <c r="N30" s="269"/>
      <c r="O30" s="269"/>
      <c r="P30" s="269"/>
      <c r="Q30" s="269"/>
      <c r="R30" s="269"/>
      <c r="S30" s="269"/>
    </row>
    <row r="31" spans="1:20" ht="26.25" customHeight="1" x14ac:dyDescent="0.3">
      <c r="A31" s="285">
        <v>1</v>
      </c>
      <c r="B31" s="1018" t="s">
        <v>339</v>
      </c>
      <c r="C31" s="1019"/>
      <c r="D31" s="1019"/>
      <c r="E31" s="1019"/>
      <c r="F31" s="1020"/>
      <c r="G31" s="93">
        <v>1.55</v>
      </c>
      <c r="H31" s="8" t="s">
        <v>681</v>
      </c>
      <c r="J31" s="2"/>
      <c r="K31" s="2"/>
    </row>
    <row r="32" spans="1:20" ht="26.25" customHeight="1" x14ac:dyDescent="0.3">
      <c r="A32" s="579">
        <v>2</v>
      </c>
      <c r="B32" s="1018" t="s">
        <v>340</v>
      </c>
      <c r="C32" s="1019"/>
      <c r="D32" s="1019"/>
      <c r="E32" s="1019"/>
      <c r="F32" s="1020"/>
      <c r="G32" s="91">
        <v>0</v>
      </c>
      <c r="H32" s="8" t="s">
        <v>681</v>
      </c>
      <c r="J32" s="2"/>
      <c r="K32" s="2"/>
    </row>
    <row r="33" spans="1:19" ht="26.25" customHeight="1" x14ac:dyDescent="0.3">
      <c r="A33" s="1036">
        <v>3</v>
      </c>
      <c r="B33" s="1030" t="s">
        <v>341</v>
      </c>
      <c r="C33" s="1031"/>
      <c r="D33" s="1021" t="s">
        <v>673</v>
      </c>
      <c r="E33" s="1022"/>
      <c r="F33" s="1023"/>
      <c r="G33" s="172">
        <v>4.25</v>
      </c>
      <c r="H33" s="291" t="s">
        <v>679</v>
      </c>
      <c r="I33" s="269"/>
      <c r="J33" s="2"/>
      <c r="K33" s="2"/>
      <c r="O33" s="16"/>
    </row>
    <row r="34" spans="1:19" ht="26.25" customHeight="1" x14ac:dyDescent="0.3">
      <c r="A34" s="1037"/>
      <c r="B34" s="1032"/>
      <c r="C34" s="1033"/>
      <c r="D34" s="1021" t="s">
        <v>677</v>
      </c>
      <c r="E34" s="1022"/>
      <c r="F34" s="1023"/>
      <c r="G34" s="172">
        <v>2</v>
      </c>
      <c r="H34" s="291" t="s">
        <v>676</v>
      </c>
      <c r="I34" s="269"/>
      <c r="J34" s="2"/>
      <c r="K34" s="2"/>
      <c r="O34" s="16"/>
    </row>
    <row r="35" spans="1:19" ht="26.25" customHeight="1" x14ac:dyDescent="0.3">
      <c r="A35" s="1037"/>
      <c r="B35" s="1032"/>
      <c r="C35" s="1033"/>
      <c r="D35" s="1021" t="s">
        <v>671</v>
      </c>
      <c r="E35" s="1022"/>
      <c r="F35" s="1023"/>
      <c r="G35" s="292">
        <v>22</v>
      </c>
      <c r="H35" s="8" t="s">
        <v>680</v>
      </c>
      <c r="I35" s="269"/>
      <c r="J35" s="2"/>
      <c r="K35" s="2"/>
      <c r="O35" s="16"/>
    </row>
    <row r="36" spans="1:19" ht="26.25" customHeight="1" x14ac:dyDescent="0.3">
      <c r="A36" s="1038"/>
      <c r="B36" s="1034"/>
      <c r="C36" s="1035"/>
      <c r="D36" s="1024" t="s">
        <v>672</v>
      </c>
      <c r="E36" s="1025"/>
      <c r="F36" s="1026"/>
      <c r="G36" s="173">
        <v>0.06</v>
      </c>
      <c r="H36" s="291" t="s">
        <v>675</v>
      </c>
      <c r="O36" s="16"/>
    </row>
    <row r="37" spans="1:19" ht="26.25" customHeight="1" x14ac:dyDescent="0.3">
      <c r="A37" s="1036">
        <v>4</v>
      </c>
      <c r="B37" s="1030" t="s">
        <v>342</v>
      </c>
      <c r="C37" s="1031"/>
      <c r="D37" s="1021" t="s">
        <v>678</v>
      </c>
      <c r="E37" s="1022"/>
      <c r="F37" s="1023"/>
      <c r="G37" s="91">
        <v>24</v>
      </c>
      <c r="H37" s="291" t="s">
        <v>674</v>
      </c>
      <c r="I37" s="269"/>
      <c r="J37" s="2"/>
      <c r="K37" s="2"/>
    </row>
    <row r="38" spans="1:19" ht="26.25" customHeight="1" x14ac:dyDescent="0.3">
      <c r="A38" s="1037"/>
      <c r="B38" s="1032"/>
      <c r="C38" s="1033"/>
      <c r="D38" s="1021" t="s">
        <v>671</v>
      </c>
      <c r="E38" s="1022"/>
      <c r="F38" s="1023"/>
      <c r="G38" s="292">
        <f>G35</f>
        <v>22</v>
      </c>
      <c r="H38" s="8" t="s">
        <v>680</v>
      </c>
      <c r="I38" s="293"/>
      <c r="J38" s="293"/>
      <c r="K38" s="269"/>
      <c r="O38" s="16"/>
      <c r="Q38" s="16"/>
    </row>
    <row r="39" spans="1:19" ht="26.25" customHeight="1" x14ac:dyDescent="0.3">
      <c r="A39" s="1038"/>
      <c r="B39" s="1034"/>
      <c r="C39" s="1035"/>
      <c r="D39" s="1024" t="s">
        <v>672</v>
      </c>
      <c r="E39" s="1025"/>
      <c r="F39" s="1026"/>
      <c r="G39" s="174">
        <v>0.2</v>
      </c>
      <c r="H39" s="291" t="s">
        <v>675</v>
      </c>
      <c r="J39" s="2"/>
      <c r="K39" s="2"/>
      <c r="O39" s="16"/>
    </row>
    <row r="40" spans="1:19" ht="26.25" customHeight="1" x14ac:dyDescent="0.3">
      <c r="A40" s="285">
        <v>5</v>
      </c>
      <c r="B40" s="1061" t="s">
        <v>343</v>
      </c>
      <c r="C40" s="1062"/>
      <c r="D40" s="1062"/>
      <c r="E40" s="1062"/>
      <c r="F40" s="1063"/>
      <c r="G40" s="91">
        <v>0</v>
      </c>
      <c r="H40" s="8" t="s">
        <v>344</v>
      </c>
      <c r="J40" s="2"/>
      <c r="K40" s="2"/>
      <c r="O40" s="16"/>
    </row>
    <row r="41" spans="1:19" ht="26.25" customHeight="1" x14ac:dyDescent="0.3">
      <c r="A41" s="285">
        <v>6</v>
      </c>
      <c r="B41" s="1061" t="s">
        <v>343</v>
      </c>
      <c r="C41" s="1062"/>
      <c r="D41" s="1062"/>
      <c r="E41" s="1062"/>
      <c r="F41" s="1063"/>
      <c r="G41" s="91">
        <v>0</v>
      </c>
      <c r="H41" s="8" t="s">
        <v>344</v>
      </c>
      <c r="J41" s="2"/>
      <c r="K41" s="2"/>
    </row>
    <row r="42" spans="1:19" ht="12.75" customHeight="1" x14ac:dyDescent="0.3">
      <c r="H42" s="8"/>
      <c r="J42" s="2"/>
      <c r="K42" s="2"/>
    </row>
    <row r="43" spans="1:19" s="14" customFormat="1" ht="24.9" customHeight="1" x14ac:dyDescent="0.3">
      <c r="A43" s="1015" t="s">
        <v>345</v>
      </c>
      <c r="B43" s="1015"/>
      <c r="C43" s="1015"/>
      <c r="D43" s="1015"/>
      <c r="E43" s="1015"/>
      <c r="F43" s="1015"/>
      <c r="G43" s="1015"/>
      <c r="H43" s="8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</row>
    <row r="44" spans="1:19" ht="24.9" customHeight="1" x14ac:dyDescent="0.3">
      <c r="A44" s="285">
        <v>1</v>
      </c>
      <c r="B44" s="1016" t="s">
        <v>346</v>
      </c>
      <c r="C44" s="1016"/>
      <c r="D44" s="1016"/>
      <c r="E44" s="1016"/>
      <c r="F44" s="1016"/>
      <c r="G44" s="90">
        <v>0.03</v>
      </c>
      <c r="H44" s="8" t="s">
        <v>347</v>
      </c>
      <c r="J44" s="2"/>
      <c r="K44" s="2"/>
    </row>
    <row r="45" spans="1:19" ht="24.9" customHeight="1" x14ac:dyDescent="0.3">
      <c r="A45" s="285">
        <v>2</v>
      </c>
      <c r="B45" s="1016" t="s">
        <v>348</v>
      </c>
      <c r="C45" s="1016"/>
      <c r="D45" s="1016"/>
      <c r="E45" s="1016"/>
      <c r="F45" s="1016"/>
      <c r="G45" s="90">
        <v>6.7900000000000002E-2</v>
      </c>
      <c r="H45" s="8" t="s">
        <v>347</v>
      </c>
      <c r="J45" s="2"/>
      <c r="K45" s="2"/>
    </row>
    <row r="46" spans="1:19" ht="12.75" customHeight="1" x14ac:dyDescent="0.3">
      <c r="H46" s="8"/>
      <c r="J46" s="2"/>
      <c r="K46" s="2"/>
    </row>
    <row r="47" spans="1:19" s="14" customFormat="1" ht="24.9" customHeight="1" x14ac:dyDescent="0.3">
      <c r="A47" s="1015" t="s">
        <v>349</v>
      </c>
      <c r="B47" s="1015"/>
      <c r="C47" s="1015"/>
      <c r="D47" s="1015"/>
      <c r="E47" s="1015"/>
      <c r="F47" s="1015"/>
      <c r="G47" s="1015"/>
      <c r="H47" s="8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</row>
    <row r="48" spans="1:19" s="14" customFormat="1" ht="24.9" customHeight="1" x14ac:dyDescent="0.3">
      <c r="A48" s="1012" t="s">
        <v>350</v>
      </c>
      <c r="B48" s="1012" t="str">
        <f>IF(F51="LUCRO REAL","INFORMAR ALÍQUOTAS MÉDIAS DE RECOLHIMENTO DOS ÚLTIMOS 12 (DOZE) MESES.",IF(F51="LUCRO PRESUMIDO","ALÍQUOTAS FIXAS - PIS: 0,65%; COFINS: 3,00%.",IF(F51="SIMPLES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48" s="1012"/>
      <c r="D48" s="1012"/>
      <c r="E48" s="1012"/>
      <c r="F48" s="1012"/>
      <c r="G48" s="1012"/>
      <c r="H48" s="8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</row>
    <row r="49" spans="1:19" s="14" customFormat="1" ht="24.9" customHeight="1" x14ac:dyDescent="0.3">
      <c r="A49" s="1012"/>
      <c r="B49" s="1012"/>
      <c r="C49" s="1012"/>
      <c r="D49" s="1012"/>
      <c r="E49" s="1012"/>
      <c r="F49" s="1012"/>
      <c r="G49" s="1012"/>
      <c r="H49" s="8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</row>
    <row r="50" spans="1:19" s="14" customFormat="1" ht="24.9" customHeight="1" x14ac:dyDescent="0.3">
      <c r="A50" s="1012"/>
      <c r="B50" s="1012"/>
      <c r="C50" s="1012"/>
      <c r="D50" s="1012"/>
      <c r="E50" s="1012"/>
      <c r="F50" s="1012"/>
      <c r="G50" s="1012"/>
      <c r="H50" s="8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24" customHeight="1" x14ac:dyDescent="0.3">
      <c r="A51" s="285">
        <v>1</v>
      </c>
      <c r="B51" s="1016" t="s">
        <v>351</v>
      </c>
      <c r="C51" s="1016"/>
      <c r="D51" s="1016"/>
      <c r="E51" s="1016"/>
      <c r="F51" s="1017" t="s">
        <v>393</v>
      </c>
      <c r="G51" s="1017"/>
      <c r="H51" s="8" t="s">
        <v>352</v>
      </c>
      <c r="J51" s="2"/>
      <c r="K51" s="2"/>
      <c r="R51" s="294"/>
    </row>
    <row r="52" spans="1:19" ht="24" customHeight="1" x14ac:dyDescent="0.3">
      <c r="A52" s="285">
        <v>2</v>
      </c>
      <c r="B52" s="1016" t="s">
        <v>353</v>
      </c>
      <c r="C52" s="1016"/>
      <c r="D52" s="1016"/>
      <c r="E52" s="1016"/>
      <c r="F52" s="1016"/>
      <c r="G52" s="90">
        <v>7.5999999999999998E-2</v>
      </c>
      <c r="H52" s="8" t="s">
        <v>354</v>
      </c>
      <c r="J52" s="2"/>
      <c r="K52" s="2"/>
    </row>
    <row r="53" spans="1:19" ht="24" customHeight="1" x14ac:dyDescent="0.3">
      <c r="A53" s="285">
        <v>3</v>
      </c>
      <c r="B53" s="1016" t="s">
        <v>355</v>
      </c>
      <c r="C53" s="1046"/>
      <c r="D53" s="1046"/>
      <c r="E53" s="1046"/>
      <c r="F53" s="1046"/>
      <c r="G53" s="90">
        <v>1.6500000000000001E-2</v>
      </c>
      <c r="H53" s="8" t="s">
        <v>354</v>
      </c>
      <c r="J53" s="2"/>
      <c r="K53" s="2"/>
    </row>
    <row r="54" spans="1:19" ht="24" customHeight="1" x14ac:dyDescent="0.3">
      <c r="A54" s="285">
        <v>4</v>
      </c>
      <c r="B54" s="1016" t="s">
        <v>356</v>
      </c>
      <c r="C54" s="1046"/>
      <c r="D54" s="1046"/>
      <c r="E54" s="1046"/>
      <c r="F54" s="1046"/>
      <c r="G54" s="90">
        <v>0.03</v>
      </c>
      <c r="H54" s="8" t="s">
        <v>357</v>
      </c>
      <c r="J54" s="2"/>
      <c r="K54" s="2"/>
    </row>
    <row r="55" spans="1:19" ht="24" customHeight="1" x14ac:dyDescent="0.3">
      <c r="A55" s="285">
        <v>5</v>
      </c>
      <c r="B55" s="1047" t="s">
        <v>343</v>
      </c>
      <c r="C55" s="1048"/>
      <c r="D55" s="1048"/>
      <c r="E55" s="1048"/>
      <c r="F55" s="1048"/>
      <c r="G55" s="90">
        <v>0</v>
      </c>
      <c r="H55" s="8" t="s">
        <v>358</v>
      </c>
      <c r="J55" s="2"/>
      <c r="K55" s="2"/>
    </row>
    <row r="56" spans="1:19" ht="21.75" customHeight="1" x14ac:dyDescent="0.3">
      <c r="A56" s="285">
        <v>6</v>
      </c>
      <c r="B56" s="1016" t="s">
        <v>359</v>
      </c>
      <c r="C56" s="1046"/>
      <c r="D56" s="1046"/>
      <c r="E56" s="1046"/>
      <c r="F56" s="1046"/>
      <c r="G56" s="277">
        <f>SUM(G52:G55)</f>
        <v>0.1225</v>
      </c>
      <c r="H56" s="8"/>
      <c r="J56" s="2"/>
      <c r="K56" s="2"/>
    </row>
    <row r="57" spans="1:19" ht="12.75" customHeight="1" x14ac:dyDescent="0.3"/>
    <row r="58" spans="1:19" x14ac:dyDescent="0.3">
      <c r="J58" s="2"/>
      <c r="K58" s="2"/>
    </row>
    <row r="60" spans="1:19" ht="66.75" hidden="1" customHeight="1" x14ac:dyDescent="0.3">
      <c r="A60" s="1012" t="s">
        <v>360</v>
      </c>
      <c r="B60" s="1012"/>
      <c r="C60" s="1012"/>
      <c r="D60" s="1012"/>
      <c r="E60" s="1012"/>
      <c r="F60" s="1012"/>
      <c r="G60" s="1012"/>
      <c r="H60" s="1012"/>
      <c r="I60" s="295" t="s">
        <v>361</v>
      </c>
      <c r="J60" s="296" t="s">
        <v>362</v>
      </c>
      <c r="K60" s="295" t="s">
        <v>363</v>
      </c>
      <c r="L60" s="295" t="s">
        <v>361</v>
      </c>
      <c r="M60" s="295" t="s">
        <v>364</v>
      </c>
      <c r="N60" s="1039" t="s">
        <v>365</v>
      </c>
      <c r="O60" s="1040"/>
      <c r="P60" s="1041" t="s">
        <v>366</v>
      </c>
      <c r="Q60" s="1041"/>
      <c r="R60" s="1041" t="s">
        <v>367</v>
      </c>
      <c r="S60" s="1041"/>
    </row>
    <row r="61" spans="1:19" hidden="1" x14ac:dyDescent="0.3">
      <c r="A61" s="1042" t="s">
        <v>368</v>
      </c>
      <c r="B61" s="1042"/>
      <c r="C61" s="285" t="s">
        <v>369</v>
      </c>
      <c r="D61" s="297">
        <f>IPCA!G23</f>
        <v>0</v>
      </c>
      <c r="E61" s="1016" t="s">
        <v>370</v>
      </c>
      <c r="F61" s="1016"/>
      <c r="G61" s="1016"/>
      <c r="H61" s="1016"/>
      <c r="I61" s="298" t="s">
        <v>59</v>
      </c>
      <c r="J61" s="298" t="s">
        <v>59</v>
      </c>
      <c r="K61" s="298" t="s">
        <v>59</v>
      </c>
      <c r="L61" s="298" t="s">
        <v>59</v>
      </c>
      <c r="M61" s="298" t="s">
        <v>59</v>
      </c>
      <c r="N61" s="1043">
        <f>ROUND((100%+D61),2)</f>
        <v>1</v>
      </c>
      <c r="O61" s="1043"/>
      <c r="P61" s="1044"/>
      <c r="Q61" s="1044"/>
      <c r="R61" s="1045"/>
      <c r="S61" s="1045"/>
    </row>
    <row r="62" spans="1:19" hidden="1" x14ac:dyDescent="0.3">
      <c r="A62" s="1042" t="s">
        <v>371</v>
      </c>
      <c r="B62" s="1042"/>
      <c r="C62" s="285" t="s">
        <v>369</v>
      </c>
      <c r="D62" s="297">
        <f>IPCA!N23</f>
        <v>0</v>
      </c>
      <c r="E62" s="1016" t="s">
        <v>370</v>
      </c>
      <c r="F62" s="1016"/>
      <c r="G62" s="1016"/>
      <c r="H62" s="1016"/>
      <c r="I62" s="298" t="s">
        <v>59</v>
      </c>
      <c r="J62" s="298" t="s">
        <v>59</v>
      </c>
      <c r="K62" s="298" t="s">
        <v>59</v>
      </c>
      <c r="L62" s="298" t="s">
        <v>59</v>
      </c>
      <c r="M62" s="298" t="s">
        <v>59</v>
      </c>
      <c r="N62" s="1043">
        <f t="shared" ref="N62:N65" si="2">ROUND((100%+D62),2)</f>
        <v>1</v>
      </c>
      <c r="O62" s="1043"/>
      <c r="P62" s="1044"/>
      <c r="Q62" s="1044"/>
      <c r="R62" s="1045"/>
      <c r="S62" s="1045"/>
    </row>
    <row r="63" spans="1:19" hidden="1" x14ac:dyDescent="0.3">
      <c r="A63" s="1042" t="s">
        <v>372</v>
      </c>
      <c r="B63" s="1042"/>
      <c r="C63" s="285" t="s">
        <v>369</v>
      </c>
      <c r="D63" s="297">
        <f>IPCA!U23</f>
        <v>0</v>
      </c>
      <c r="E63" s="1016" t="s">
        <v>370</v>
      </c>
      <c r="F63" s="1016"/>
      <c r="G63" s="1016"/>
      <c r="H63" s="1016"/>
      <c r="I63" s="298" t="s">
        <v>59</v>
      </c>
      <c r="J63" s="298" t="s">
        <v>59</v>
      </c>
      <c r="K63" s="298" t="s">
        <v>59</v>
      </c>
      <c r="L63" s="298" t="s">
        <v>59</v>
      </c>
      <c r="M63" s="298" t="s">
        <v>59</v>
      </c>
      <c r="N63" s="1043">
        <f t="shared" si="2"/>
        <v>1</v>
      </c>
      <c r="O63" s="1043"/>
      <c r="P63" s="1044"/>
      <c r="Q63" s="1044"/>
      <c r="R63" s="1045"/>
      <c r="S63" s="1045"/>
    </row>
    <row r="64" spans="1:19" hidden="1" x14ac:dyDescent="0.3">
      <c r="A64" s="1042" t="s">
        <v>373</v>
      </c>
      <c r="B64" s="1042"/>
      <c r="C64" s="285" t="s">
        <v>369</v>
      </c>
      <c r="D64" s="297">
        <f>IPCA!AB23</f>
        <v>0</v>
      </c>
      <c r="E64" s="1016" t="s">
        <v>370</v>
      </c>
      <c r="F64" s="1016"/>
      <c r="G64" s="1016"/>
      <c r="H64" s="1016"/>
      <c r="I64" s="298" t="s">
        <v>59</v>
      </c>
      <c r="J64" s="298" t="s">
        <v>59</v>
      </c>
      <c r="K64" s="298" t="s">
        <v>59</v>
      </c>
      <c r="L64" s="298" t="s">
        <v>59</v>
      </c>
      <c r="M64" s="298" t="s">
        <v>59</v>
      </c>
      <c r="N64" s="1043">
        <f t="shared" si="2"/>
        <v>1</v>
      </c>
      <c r="O64" s="1043"/>
      <c r="P64" s="1044"/>
      <c r="Q64" s="1044"/>
      <c r="R64" s="1045"/>
      <c r="S64" s="1045"/>
    </row>
    <row r="65" spans="1:19" hidden="1" x14ac:dyDescent="0.3">
      <c r="A65" s="1042" t="s">
        <v>374</v>
      </c>
      <c r="B65" s="1042"/>
      <c r="C65" s="285" t="s">
        <v>369</v>
      </c>
      <c r="D65" s="297">
        <f>IPCA!AI23</f>
        <v>0</v>
      </c>
      <c r="E65" s="1016" t="s">
        <v>370</v>
      </c>
      <c r="F65" s="1016"/>
      <c r="G65" s="1016"/>
      <c r="H65" s="1016"/>
      <c r="I65" s="298" t="s">
        <v>59</v>
      </c>
      <c r="J65" s="298" t="s">
        <v>59</v>
      </c>
      <c r="K65" s="298" t="s">
        <v>59</v>
      </c>
      <c r="L65" s="298" t="s">
        <v>59</v>
      </c>
      <c r="M65" s="298" t="s">
        <v>59</v>
      </c>
      <c r="N65" s="1043">
        <f t="shared" si="2"/>
        <v>1</v>
      </c>
      <c r="O65" s="1043"/>
      <c r="P65" s="1044"/>
      <c r="Q65" s="1044"/>
      <c r="R65" s="1045"/>
      <c r="S65" s="1045"/>
    </row>
    <row r="66" spans="1:19" hidden="1" x14ac:dyDescent="0.3">
      <c r="B66" s="299"/>
      <c r="C66" s="299"/>
      <c r="D66" s="299"/>
      <c r="E66" s="299"/>
    </row>
    <row r="67" spans="1:19" ht="28.8" hidden="1" x14ac:dyDescent="0.3">
      <c r="A67" s="1041" t="s">
        <v>375</v>
      </c>
      <c r="B67" s="1041"/>
      <c r="C67" s="1041"/>
      <c r="D67" s="300" t="s">
        <v>376</v>
      </c>
      <c r="E67" s="299"/>
    </row>
    <row r="68" spans="1:19" ht="15.75" hidden="1" customHeight="1" x14ac:dyDescent="0.3">
      <c r="A68" s="1041"/>
      <c r="B68" s="1041"/>
      <c r="C68" s="1041"/>
      <c r="D68" s="298" t="s">
        <v>377</v>
      </c>
      <c r="E68" s="299"/>
    </row>
    <row r="69" spans="1:19" ht="28.8" hidden="1" x14ac:dyDescent="0.3">
      <c r="A69" s="1041" t="s">
        <v>378</v>
      </c>
      <c r="B69" s="1041"/>
      <c r="C69" s="1041"/>
      <c r="D69" s="300" t="s">
        <v>376</v>
      </c>
      <c r="E69" s="299"/>
    </row>
    <row r="70" spans="1:19" ht="15.75" hidden="1" customHeight="1" x14ac:dyDescent="0.3">
      <c r="A70" s="1041"/>
      <c r="B70" s="1041"/>
      <c r="C70" s="1041"/>
      <c r="D70" s="298" t="s">
        <v>377</v>
      </c>
      <c r="E70" s="299"/>
    </row>
    <row r="71" spans="1:19" ht="28.8" hidden="1" x14ac:dyDescent="0.3">
      <c r="A71" s="1041" t="s">
        <v>379</v>
      </c>
      <c r="B71" s="1041"/>
      <c r="C71" s="1041"/>
      <c r="D71" s="300" t="s">
        <v>376</v>
      </c>
      <c r="E71" s="299"/>
    </row>
    <row r="72" spans="1:19" ht="15.75" hidden="1" customHeight="1" x14ac:dyDescent="0.3">
      <c r="A72" s="1041"/>
      <c r="B72" s="1041"/>
      <c r="C72" s="1041"/>
      <c r="D72" s="298" t="s">
        <v>377</v>
      </c>
      <c r="E72" s="299"/>
    </row>
    <row r="73" spans="1:19" ht="42.75" hidden="1" customHeight="1" x14ac:dyDescent="0.3">
      <c r="A73" s="1041" t="s">
        <v>380</v>
      </c>
      <c r="B73" s="1041"/>
      <c r="C73" s="1041"/>
      <c r="D73" s="300" t="s">
        <v>376</v>
      </c>
      <c r="E73" s="301" t="s">
        <v>381</v>
      </c>
      <c r="F73" s="300" t="s">
        <v>80</v>
      </c>
      <c r="G73" s="300" t="s">
        <v>81</v>
      </c>
      <c r="H73" s="300" t="s">
        <v>82</v>
      </c>
      <c r="I73" s="300" t="s">
        <v>83</v>
      </c>
      <c r="J73" s="300" t="s">
        <v>84</v>
      </c>
      <c r="K73" s="299" t="s">
        <v>382</v>
      </c>
    </row>
    <row r="74" spans="1:19" ht="15.75" hidden="1" customHeight="1" x14ac:dyDescent="0.3">
      <c r="A74" s="1041"/>
      <c r="B74" s="1041"/>
      <c r="C74" s="1041"/>
      <c r="D74" s="298" t="s">
        <v>377</v>
      </c>
      <c r="E74" s="302">
        <f>G31</f>
        <v>1.55</v>
      </c>
      <c r="F74" s="303">
        <f>ROUND(IF(Dados!$M$61="SIM",E74*Dados!$N$61,E74),2)</f>
        <v>1.55</v>
      </c>
      <c r="G74" s="303">
        <f>ROUND(IF(Dados!$M$62="SIM",F74*Dados!$N$62,F74),2)</f>
        <v>1.55</v>
      </c>
      <c r="H74" s="303">
        <f>ROUND(IF(Dados!$M$63="SIM",G74*Dados!$N$63,G74),2)</f>
        <v>1.55</v>
      </c>
      <c r="I74" s="303">
        <f>ROUND(IF(Dados!$M$64="SIM",H74*Dados!$N$64,H74),2)</f>
        <v>1.55</v>
      </c>
      <c r="J74" s="303">
        <f>ROUND(IF(Dados!$M$65="SIM",I74*Dados!$N$65,I74),2)</f>
        <v>1.55</v>
      </c>
      <c r="K74" s="1">
        <f>IF(D74="INICIAL",E74,IF(D74="1º IPCA",F74,IF(D74="2º IPCA",G74,IF(D74="3º IPCA",H74,IF(D74="4º IPCA",I74,IF(D74="5º IPCA",J74,))))))</f>
        <v>1.55</v>
      </c>
    </row>
    <row r="75" spans="1:19" hidden="1" x14ac:dyDescent="0.3">
      <c r="E75" s="299"/>
    </row>
    <row r="76" spans="1:19" ht="15" hidden="1" thickBot="1" x14ac:dyDescent="0.35">
      <c r="A76" s="1058" t="s">
        <v>383</v>
      </c>
      <c r="B76" s="1058"/>
      <c r="C76" s="1058"/>
      <c r="D76" s="1058"/>
      <c r="E76" s="1058"/>
      <c r="F76" s="1058"/>
      <c r="G76" s="1058"/>
      <c r="H76" s="1058"/>
    </row>
    <row r="77" spans="1:19" hidden="1" x14ac:dyDescent="0.3">
      <c r="A77" s="1052" t="s">
        <v>384</v>
      </c>
      <c r="B77" s="1052"/>
      <c r="C77" s="1052"/>
      <c r="D77" s="1052"/>
      <c r="E77" s="1052"/>
      <c r="F77" s="1053" t="s">
        <v>385</v>
      </c>
      <c r="G77" s="1054"/>
      <c r="H77" s="304"/>
    </row>
    <row r="78" spans="1:19" ht="43.5" hidden="1" customHeight="1" thickBot="1" x14ac:dyDescent="0.35">
      <c r="A78" s="1049" t="s">
        <v>386</v>
      </c>
      <c r="B78" s="1050"/>
      <c r="C78" s="1050"/>
      <c r="D78" s="1050"/>
      <c r="E78" s="1050"/>
      <c r="F78" s="1050"/>
      <c r="G78" s="1050"/>
      <c r="H78" s="1051"/>
    </row>
    <row r="79" spans="1:19" hidden="1" x14ac:dyDescent="0.3">
      <c r="A79" s="1052" t="s">
        <v>387</v>
      </c>
      <c r="B79" s="1052"/>
      <c r="C79" s="1052"/>
      <c r="D79" s="1052"/>
      <c r="E79" s="1052"/>
      <c r="F79" s="1053" t="s">
        <v>385</v>
      </c>
      <c r="G79" s="1054"/>
      <c r="H79" s="304"/>
    </row>
    <row r="80" spans="1:19" ht="43.5" hidden="1" customHeight="1" thickBot="1" x14ac:dyDescent="0.35">
      <c r="A80" s="1055" t="s">
        <v>388</v>
      </c>
      <c r="B80" s="1056"/>
      <c r="C80" s="1056"/>
      <c r="D80" s="1056"/>
      <c r="E80" s="1056"/>
      <c r="F80" s="1056"/>
      <c r="G80" s="1056"/>
      <c r="H80" s="1057"/>
    </row>
    <row r="81" spans="1:8" hidden="1" x14ac:dyDescent="0.3">
      <c r="A81" s="1052" t="s">
        <v>389</v>
      </c>
      <c r="B81" s="1052"/>
      <c r="C81" s="1052"/>
      <c r="D81" s="1052"/>
      <c r="E81" s="1052"/>
      <c r="F81" s="1053" t="s">
        <v>385</v>
      </c>
      <c r="G81" s="1054"/>
      <c r="H81" s="304"/>
    </row>
    <row r="82" spans="1:8" ht="43.5" hidden="1" customHeight="1" thickBot="1" x14ac:dyDescent="0.35">
      <c r="A82" s="1059" t="s">
        <v>390</v>
      </c>
      <c r="B82" s="1059"/>
      <c r="C82" s="1059"/>
      <c r="D82" s="1059"/>
      <c r="E82" s="1059"/>
      <c r="F82" s="1059"/>
      <c r="G82" s="1059"/>
      <c r="H82" s="1059"/>
    </row>
    <row r="83" spans="1:8" hidden="1" x14ac:dyDescent="0.3">
      <c r="A83" s="1060" t="s">
        <v>391</v>
      </c>
      <c r="B83" s="1060"/>
      <c r="C83" s="1060"/>
      <c r="D83" s="1060"/>
      <c r="E83" s="1060"/>
      <c r="F83" s="1053" t="s">
        <v>385</v>
      </c>
      <c r="G83" s="1054"/>
      <c r="H83" s="305"/>
    </row>
    <row r="84" spans="1:8" ht="43.5" hidden="1" customHeight="1" thickBot="1" x14ac:dyDescent="0.35">
      <c r="A84" s="1049" t="s">
        <v>392</v>
      </c>
      <c r="B84" s="1050"/>
      <c r="C84" s="1050"/>
      <c r="D84" s="1050"/>
      <c r="E84" s="1050"/>
      <c r="F84" s="1050"/>
      <c r="G84" s="1050"/>
      <c r="H84" s="1051"/>
    </row>
    <row r="85" spans="1:8" hidden="1" x14ac:dyDescent="0.3">
      <c r="A85" s="306"/>
      <c r="H85" s="307"/>
    </row>
    <row r="86" spans="1:8" hidden="1" x14ac:dyDescent="0.3">
      <c r="A86" s="308"/>
      <c r="H86" s="307"/>
    </row>
    <row r="87" spans="1:8" hidden="1" x14ac:dyDescent="0.3">
      <c r="A87" s="308"/>
      <c r="H87" s="307"/>
    </row>
    <row r="88" spans="1:8" hidden="1" x14ac:dyDescent="0.3">
      <c r="A88" s="308"/>
      <c r="H88" s="307"/>
    </row>
    <row r="89" spans="1:8" hidden="1" x14ac:dyDescent="0.3">
      <c r="A89" s="308"/>
      <c r="H89" s="307"/>
    </row>
    <row r="90" spans="1:8" hidden="1" x14ac:dyDescent="0.3">
      <c r="A90" s="308"/>
      <c r="H90" s="307"/>
    </row>
    <row r="91" spans="1:8" hidden="1" x14ac:dyDescent="0.3">
      <c r="A91" s="308"/>
      <c r="H91" s="307"/>
    </row>
    <row r="92" spans="1:8" hidden="1" x14ac:dyDescent="0.3">
      <c r="A92" s="308"/>
      <c r="H92" s="307"/>
    </row>
    <row r="93" spans="1:8" hidden="1" x14ac:dyDescent="0.3">
      <c r="A93" s="308"/>
      <c r="H93" s="307"/>
    </row>
    <row r="94" spans="1:8" hidden="1" x14ac:dyDescent="0.3">
      <c r="A94" s="308"/>
      <c r="H94" s="307"/>
    </row>
    <row r="95" spans="1:8" hidden="1" x14ac:dyDescent="0.3">
      <c r="A95" s="308"/>
      <c r="H95" s="307"/>
    </row>
    <row r="96" spans="1:8" hidden="1" x14ac:dyDescent="0.3">
      <c r="A96" s="308"/>
      <c r="H96" s="307"/>
    </row>
    <row r="97" spans="1:8" hidden="1" x14ac:dyDescent="0.3">
      <c r="A97" s="308"/>
      <c r="H97" s="307"/>
    </row>
    <row r="98" spans="1:8" hidden="1" x14ac:dyDescent="0.3">
      <c r="A98" s="308"/>
      <c r="H98" s="307"/>
    </row>
    <row r="99" spans="1:8" hidden="1" x14ac:dyDescent="0.3">
      <c r="A99" s="308"/>
      <c r="H99" s="307"/>
    </row>
    <row r="100" spans="1:8" hidden="1" x14ac:dyDescent="0.3">
      <c r="A100" s="308"/>
      <c r="H100" s="307"/>
    </row>
    <row r="101" spans="1:8" hidden="1" x14ac:dyDescent="0.3">
      <c r="A101" s="308"/>
      <c r="H101" s="307"/>
    </row>
    <row r="102" spans="1:8" hidden="1" x14ac:dyDescent="0.3">
      <c r="A102" s="308"/>
      <c r="H102" s="307"/>
    </row>
    <row r="103" spans="1:8" hidden="1" x14ac:dyDescent="0.3">
      <c r="A103" s="308"/>
      <c r="H103" s="307"/>
    </row>
    <row r="104" spans="1:8" hidden="1" x14ac:dyDescent="0.3">
      <c r="A104" s="308"/>
      <c r="H104" s="307"/>
    </row>
    <row r="105" spans="1:8" hidden="1" x14ac:dyDescent="0.3">
      <c r="A105" s="308"/>
      <c r="H105" s="307"/>
    </row>
    <row r="106" spans="1:8" hidden="1" x14ac:dyDescent="0.3">
      <c r="A106" s="308"/>
      <c r="H106" s="307"/>
    </row>
    <row r="107" spans="1:8" hidden="1" x14ac:dyDescent="0.3">
      <c r="A107" s="308"/>
      <c r="H107" s="307"/>
    </row>
    <row r="108" spans="1:8" hidden="1" x14ac:dyDescent="0.3">
      <c r="A108" s="308"/>
      <c r="H108" s="307"/>
    </row>
    <row r="109" spans="1:8" hidden="1" x14ac:dyDescent="0.3">
      <c r="A109" s="308"/>
      <c r="H109" s="307"/>
    </row>
    <row r="110" spans="1:8" hidden="1" x14ac:dyDescent="0.3">
      <c r="A110" s="308"/>
      <c r="H110" s="307"/>
    </row>
    <row r="111" spans="1:8" hidden="1" x14ac:dyDescent="0.3">
      <c r="A111" s="308"/>
      <c r="H111" s="307"/>
    </row>
    <row r="112" spans="1:8" hidden="1" x14ac:dyDescent="0.3">
      <c r="A112" s="308"/>
      <c r="H112" s="307"/>
    </row>
    <row r="113" spans="1:8" hidden="1" x14ac:dyDescent="0.3">
      <c r="A113" s="308"/>
      <c r="H113" s="307"/>
    </row>
    <row r="114" spans="1:8" hidden="1" x14ac:dyDescent="0.3">
      <c r="A114" s="308"/>
      <c r="H114" s="307"/>
    </row>
    <row r="115" spans="1:8" hidden="1" x14ac:dyDescent="0.3">
      <c r="A115" s="308"/>
      <c r="H115" s="307"/>
    </row>
    <row r="116" spans="1:8" hidden="1" x14ac:dyDescent="0.3">
      <c r="A116" s="308"/>
      <c r="H116" s="307"/>
    </row>
    <row r="117" spans="1:8" hidden="1" x14ac:dyDescent="0.3">
      <c r="A117" s="308"/>
      <c r="H117" s="307"/>
    </row>
    <row r="118" spans="1:8" hidden="1" x14ac:dyDescent="0.3">
      <c r="A118" s="308"/>
      <c r="H118" s="307"/>
    </row>
    <row r="119" spans="1:8" hidden="1" x14ac:dyDescent="0.3">
      <c r="A119" s="308"/>
      <c r="H119" s="307"/>
    </row>
    <row r="120" spans="1:8" hidden="1" x14ac:dyDescent="0.3">
      <c r="A120" s="308"/>
      <c r="H120" s="307"/>
    </row>
    <row r="121" spans="1:8" hidden="1" x14ac:dyDescent="0.3">
      <c r="A121" s="308"/>
      <c r="H121" s="307"/>
    </row>
    <row r="122" spans="1:8" hidden="1" x14ac:dyDescent="0.3">
      <c r="A122" s="308"/>
      <c r="H122" s="307"/>
    </row>
    <row r="123" spans="1:8" hidden="1" x14ac:dyDescent="0.3">
      <c r="A123" s="308"/>
      <c r="H123" s="307"/>
    </row>
    <row r="124" spans="1:8" hidden="1" x14ac:dyDescent="0.3">
      <c r="A124" s="308"/>
      <c r="H124" s="307"/>
    </row>
    <row r="125" spans="1:8" hidden="1" x14ac:dyDescent="0.3">
      <c r="A125" s="308"/>
      <c r="H125" s="307"/>
    </row>
    <row r="126" spans="1:8" hidden="1" x14ac:dyDescent="0.3">
      <c r="A126" s="308"/>
      <c r="H126" s="307"/>
    </row>
    <row r="127" spans="1:8" hidden="1" x14ac:dyDescent="0.3">
      <c r="A127" s="308"/>
      <c r="H127" s="307"/>
    </row>
    <row r="128" spans="1:8" hidden="1" x14ac:dyDescent="0.3">
      <c r="A128" s="308"/>
      <c r="H128" s="307"/>
    </row>
    <row r="129" spans="1:8" hidden="1" x14ac:dyDescent="0.3">
      <c r="A129" s="308"/>
      <c r="H129" s="307"/>
    </row>
    <row r="130" spans="1:8" hidden="1" x14ac:dyDescent="0.3">
      <c r="A130" s="308"/>
      <c r="H130" s="307"/>
    </row>
    <row r="131" spans="1:8" hidden="1" x14ac:dyDescent="0.3">
      <c r="A131" s="308"/>
      <c r="H131" s="307"/>
    </row>
    <row r="132" spans="1:8" hidden="1" x14ac:dyDescent="0.3">
      <c r="A132" s="308"/>
      <c r="H132" s="307"/>
    </row>
    <row r="133" spans="1:8" hidden="1" x14ac:dyDescent="0.3">
      <c r="A133" s="308"/>
      <c r="H133" s="307"/>
    </row>
    <row r="134" spans="1:8" hidden="1" x14ac:dyDescent="0.3">
      <c r="A134" s="308"/>
      <c r="H134" s="307"/>
    </row>
    <row r="135" spans="1:8" hidden="1" x14ac:dyDescent="0.3">
      <c r="A135" s="308"/>
      <c r="H135" s="307"/>
    </row>
    <row r="136" spans="1:8" hidden="1" x14ac:dyDescent="0.3">
      <c r="A136" s="308"/>
      <c r="H136" s="307"/>
    </row>
    <row r="137" spans="1:8" hidden="1" x14ac:dyDescent="0.3">
      <c r="A137" s="308"/>
      <c r="H137" s="307"/>
    </row>
    <row r="138" spans="1:8" hidden="1" x14ac:dyDescent="0.3">
      <c r="A138" s="308"/>
      <c r="H138" s="307"/>
    </row>
    <row r="139" spans="1:8" hidden="1" x14ac:dyDescent="0.3">
      <c r="A139" s="308"/>
      <c r="H139" s="307"/>
    </row>
    <row r="140" spans="1:8" hidden="1" x14ac:dyDescent="0.3">
      <c r="A140" s="308"/>
      <c r="H140" s="307"/>
    </row>
    <row r="141" spans="1:8" hidden="1" x14ac:dyDescent="0.3">
      <c r="A141" s="308"/>
      <c r="H141" s="307"/>
    </row>
    <row r="142" spans="1:8" hidden="1" x14ac:dyDescent="0.3">
      <c r="A142" s="308"/>
      <c r="H142" s="307"/>
    </row>
    <row r="143" spans="1:8" hidden="1" x14ac:dyDescent="0.3">
      <c r="A143" s="308"/>
      <c r="H143" s="307"/>
    </row>
    <row r="144" spans="1:8" hidden="1" x14ac:dyDescent="0.3">
      <c r="A144" s="308"/>
      <c r="H144" s="307"/>
    </row>
    <row r="145" spans="1:8" hidden="1" x14ac:dyDescent="0.3">
      <c r="A145" s="308"/>
      <c r="H145" s="307"/>
    </row>
    <row r="146" spans="1:8" hidden="1" x14ac:dyDescent="0.3">
      <c r="A146" s="308"/>
      <c r="H146" s="307"/>
    </row>
    <row r="147" spans="1:8" hidden="1" x14ac:dyDescent="0.3">
      <c r="A147" s="308"/>
      <c r="H147" s="307"/>
    </row>
    <row r="148" spans="1:8" hidden="1" x14ac:dyDescent="0.3">
      <c r="A148" s="308"/>
      <c r="H148" s="307"/>
    </row>
    <row r="149" spans="1:8" hidden="1" x14ac:dyDescent="0.3">
      <c r="A149" s="308"/>
      <c r="H149" s="307"/>
    </row>
    <row r="150" spans="1:8" hidden="1" x14ac:dyDescent="0.3">
      <c r="A150" s="308"/>
      <c r="H150" s="307"/>
    </row>
    <row r="151" spans="1:8" hidden="1" x14ac:dyDescent="0.3">
      <c r="A151" s="308"/>
      <c r="H151" s="307"/>
    </row>
    <row r="152" spans="1:8" hidden="1" x14ac:dyDescent="0.3">
      <c r="A152" s="308"/>
      <c r="H152" s="307"/>
    </row>
    <row r="153" spans="1:8" hidden="1" x14ac:dyDescent="0.3">
      <c r="A153" s="308"/>
      <c r="H153" s="307"/>
    </row>
    <row r="154" spans="1:8" hidden="1" x14ac:dyDescent="0.3">
      <c r="A154" s="308"/>
      <c r="H154" s="307"/>
    </row>
    <row r="155" spans="1:8" hidden="1" x14ac:dyDescent="0.3">
      <c r="A155" s="308"/>
      <c r="H155" s="307"/>
    </row>
    <row r="156" spans="1:8" hidden="1" x14ac:dyDescent="0.3">
      <c r="A156" s="308"/>
      <c r="H156" s="307"/>
    </row>
    <row r="157" spans="1:8" hidden="1" x14ac:dyDescent="0.3">
      <c r="A157" s="308"/>
      <c r="H157" s="307"/>
    </row>
    <row r="158" spans="1:8" hidden="1" x14ac:dyDescent="0.3">
      <c r="A158" s="308"/>
      <c r="H158" s="307"/>
    </row>
    <row r="159" spans="1:8" hidden="1" x14ac:dyDescent="0.3">
      <c r="A159" s="308"/>
      <c r="H159" s="307"/>
    </row>
    <row r="160" spans="1:8" hidden="1" x14ac:dyDescent="0.3">
      <c r="A160" s="308"/>
      <c r="H160" s="307"/>
    </row>
    <row r="161" spans="1:8" hidden="1" x14ac:dyDescent="0.3">
      <c r="A161" s="308"/>
      <c r="H161" s="307"/>
    </row>
    <row r="162" spans="1:8" hidden="1" x14ac:dyDescent="0.3">
      <c r="A162" s="308"/>
      <c r="H162" s="307"/>
    </row>
    <row r="163" spans="1:8" hidden="1" x14ac:dyDescent="0.3">
      <c r="A163" s="308"/>
      <c r="H163" s="307"/>
    </row>
    <row r="164" spans="1:8" hidden="1" x14ac:dyDescent="0.3">
      <c r="A164" s="308"/>
      <c r="H164" s="307"/>
    </row>
    <row r="165" spans="1:8" hidden="1" x14ac:dyDescent="0.3">
      <c r="A165" s="308"/>
      <c r="H165" s="307"/>
    </row>
    <row r="166" spans="1:8" hidden="1" x14ac:dyDescent="0.3">
      <c r="A166" s="308"/>
      <c r="H166" s="307"/>
    </row>
    <row r="167" spans="1:8" hidden="1" x14ac:dyDescent="0.3">
      <c r="A167" s="308"/>
      <c r="H167" s="307"/>
    </row>
    <row r="168" spans="1:8" hidden="1" x14ac:dyDescent="0.3">
      <c r="A168" s="308"/>
      <c r="H168" s="307"/>
    </row>
    <row r="169" spans="1:8" hidden="1" x14ac:dyDescent="0.3">
      <c r="A169" s="308"/>
      <c r="H169" s="307"/>
    </row>
    <row r="170" spans="1:8" hidden="1" x14ac:dyDescent="0.3">
      <c r="A170" s="308"/>
      <c r="H170" s="307"/>
    </row>
    <row r="171" spans="1:8" hidden="1" x14ac:dyDescent="0.3">
      <c r="A171" s="308"/>
      <c r="H171" s="307"/>
    </row>
    <row r="172" spans="1:8" hidden="1" x14ac:dyDescent="0.3">
      <c r="A172" s="308"/>
      <c r="H172" s="307"/>
    </row>
    <row r="173" spans="1:8" hidden="1" x14ac:dyDescent="0.3">
      <c r="A173" s="308"/>
      <c r="H173" s="307"/>
    </row>
    <row r="174" spans="1:8" hidden="1" x14ac:dyDescent="0.3">
      <c r="A174" s="308"/>
      <c r="H174" s="307"/>
    </row>
    <row r="175" spans="1:8" hidden="1" x14ac:dyDescent="0.3">
      <c r="A175" s="308"/>
      <c r="H175" s="307"/>
    </row>
    <row r="176" spans="1:8" hidden="1" x14ac:dyDescent="0.3">
      <c r="A176" s="308"/>
      <c r="H176" s="307"/>
    </row>
    <row r="177" spans="1:8" hidden="1" x14ac:dyDescent="0.3">
      <c r="A177" s="308"/>
      <c r="H177" s="307"/>
    </row>
    <row r="178" spans="1:8" hidden="1" x14ac:dyDescent="0.3">
      <c r="A178" s="308"/>
      <c r="H178" s="307"/>
    </row>
    <row r="179" spans="1:8" hidden="1" x14ac:dyDescent="0.3">
      <c r="A179" s="308"/>
      <c r="H179" s="307"/>
    </row>
    <row r="180" spans="1:8" hidden="1" x14ac:dyDescent="0.3">
      <c r="A180" s="308"/>
      <c r="H180" s="307"/>
    </row>
    <row r="181" spans="1:8" hidden="1" x14ac:dyDescent="0.3">
      <c r="A181" s="308"/>
      <c r="H181" s="307"/>
    </row>
    <row r="182" spans="1:8" hidden="1" x14ac:dyDescent="0.3">
      <c r="A182" s="308"/>
      <c r="H182" s="307"/>
    </row>
    <row r="183" spans="1:8" hidden="1" x14ac:dyDescent="0.3">
      <c r="A183" s="308"/>
      <c r="H183" s="307"/>
    </row>
    <row r="184" spans="1:8" hidden="1" x14ac:dyDescent="0.3">
      <c r="A184" s="308"/>
      <c r="H184" s="307"/>
    </row>
    <row r="185" spans="1:8" hidden="1" x14ac:dyDescent="0.3">
      <c r="A185" s="308"/>
      <c r="H185" s="307"/>
    </row>
    <row r="186" spans="1:8" hidden="1" x14ac:dyDescent="0.3">
      <c r="A186" s="308"/>
      <c r="H186" s="307"/>
    </row>
    <row r="187" spans="1:8" hidden="1" x14ac:dyDescent="0.3">
      <c r="A187" s="308"/>
      <c r="H187" s="307"/>
    </row>
    <row r="188" spans="1:8" hidden="1" x14ac:dyDescent="0.3">
      <c r="A188" s="308"/>
      <c r="H188" s="307"/>
    </row>
    <row r="189" spans="1:8" hidden="1" x14ac:dyDescent="0.3">
      <c r="A189" s="308"/>
      <c r="H189" s="307"/>
    </row>
    <row r="190" spans="1:8" hidden="1" x14ac:dyDescent="0.3">
      <c r="A190" s="308"/>
      <c r="H190" s="307"/>
    </row>
    <row r="191" spans="1:8" hidden="1" x14ac:dyDescent="0.3">
      <c r="A191" s="308"/>
      <c r="H191" s="307"/>
    </row>
    <row r="192" spans="1:8" hidden="1" x14ac:dyDescent="0.3">
      <c r="A192" s="308"/>
      <c r="H192" s="307"/>
    </row>
    <row r="193" spans="1:8" hidden="1" x14ac:dyDescent="0.3">
      <c r="A193" s="308"/>
      <c r="H193" s="307"/>
    </row>
    <row r="194" spans="1:8" hidden="1" x14ac:dyDescent="0.3">
      <c r="A194" s="308"/>
      <c r="H194" s="307"/>
    </row>
    <row r="195" spans="1:8" hidden="1" x14ac:dyDescent="0.3">
      <c r="A195" s="308"/>
      <c r="H195" s="307"/>
    </row>
    <row r="196" spans="1:8" hidden="1" x14ac:dyDescent="0.3">
      <c r="A196" s="308"/>
      <c r="H196" s="307"/>
    </row>
    <row r="197" spans="1:8" hidden="1" x14ac:dyDescent="0.3">
      <c r="A197" s="308"/>
      <c r="H197" s="307"/>
    </row>
    <row r="198" spans="1:8" hidden="1" x14ac:dyDescent="0.3">
      <c r="A198" s="308"/>
      <c r="H198" s="307"/>
    </row>
    <row r="199" spans="1:8" hidden="1" x14ac:dyDescent="0.3">
      <c r="A199" s="308"/>
      <c r="H199" s="307"/>
    </row>
    <row r="200" spans="1:8" hidden="1" x14ac:dyDescent="0.3">
      <c r="A200" s="309"/>
      <c r="B200" s="310"/>
      <c r="C200" s="310"/>
      <c r="D200" s="310"/>
      <c r="E200" s="310"/>
      <c r="F200" s="310"/>
      <c r="G200" s="310"/>
      <c r="H200" s="311"/>
    </row>
  </sheetData>
  <sheetProtection algorithmName="SHA-512" hashValue="WuefH7fwWrX88fJAnsvPy0i1v5kU0qfEtRRJ1jDjvpI64RndTirz/yDB//Q5hZ6LsTVNzj/PqMSwiCt71RrQLg==" saltValue="Ak6iN6460L+qAOyuMhOIzw==" spinCount="100000" sheet="1" objects="1" scenarios="1"/>
  <mergeCells count="108">
    <mergeCell ref="A82:H82"/>
    <mergeCell ref="A83:E83"/>
    <mergeCell ref="F83:G83"/>
    <mergeCell ref="A84:H84"/>
    <mergeCell ref="A48:A50"/>
    <mergeCell ref="B48:G50"/>
    <mergeCell ref="B40:F40"/>
    <mergeCell ref="B41:F41"/>
    <mergeCell ref="A43:G43"/>
    <mergeCell ref="B44:F44"/>
    <mergeCell ref="B45:F45"/>
    <mergeCell ref="A47:G47"/>
    <mergeCell ref="A81:E81"/>
    <mergeCell ref="F81:G81"/>
    <mergeCell ref="A37:A39"/>
    <mergeCell ref="B37:C39"/>
    <mergeCell ref="D37:F37"/>
    <mergeCell ref="D39:F39"/>
    <mergeCell ref="D38:F38"/>
    <mergeCell ref="A78:H78"/>
    <mergeCell ref="A79:E79"/>
    <mergeCell ref="F79:G79"/>
    <mergeCell ref="A80:H80"/>
    <mergeCell ref="A67:C68"/>
    <mergeCell ref="A69:C70"/>
    <mergeCell ref="A71:C72"/>
    <mergeCell ref="A73:C74"/>
    <mergeCell ref="A76:H76"/>
    <mergeCell ref="A77:E77"/>
    <mergeCell ref="F77:G77"/>
    <mergeCell ref="N64:O64"/>
    <mergeCell ref="P64:Q64"/>
    <mergeCell ref="R64:S64"/>
    <mergeCell ref="A65:B65"/>
    <mergeCell ref="E65:H65"/>
    <mergeCell ref="N65:O65"/>
    <mergeCell ref="P65:Q65"/>
    <mergeCell ref="R65:S65"/>
    <mergeCell ref="A62:B62"/>
    <mergeCell ref="E62:H62"/>
    <mergeCell ref="N62:O62"/>
    <mergeCell ref="P62:Q62"/>
    <mergeCell ref="R62:S62"/>
    <mergeCell ref="A63:B63"/>
    <mergeCell ref="E63:H63"/>
    <mergeCell ref="N63:O63"/>
    <mergeCell ref="P63:Q63"/>
    <mergeCell ref="R63:S63"/>
    <mergeCell ref="A64:B64"/>
    <mergeCell ref="E64:H64"/>
    <mergeCell ref="N60:O60"/>
    <mergeCell ref="P60:Q60"/>
    <mergeCell ref="R60:S60"/>
    <mergeCell ref="A61:B61"/>
    <mergeCell ref="E61:H61"/>
    <mergeCell ref="N61:O61"/>
    <mergeCell ref="P61:Q61"/>
    <mergeCell ref="R61:S61"/>
    <mergeCell ref="B51:E51"/>
    <mergeCell ref="F51:G51"/>
    <mergeCell ref="B52:F52"/>
    <mergeCell ref="B53:F53"/>
    <mergeCell ref="B54:F54"/>
    <mergeCell ref="B55:F55"/>
    <mergeCell ref="B56:F56"/>
    <mergeCell ref="A60:H60"/>
    <mergeCell ref="D35:F35"/>
    <mergeCell ref="D36:F36"/>
    <mergeCell ref="D34:F34"/>
    <mergeCell ref="B25:F25"/>
    <mergeCell ref="A27:G27"/>
    <mergeCell ref="B28:F28"/>
    <mergeCell ref="A30:G30"/>
    <mergeCell ref="B31:F31"/>
    <mergeCell ref="B32:F32"/>
    <mergeCell ref="B33:C36"/>
    <mergeCell ref="A33:A36"/>
    <mergeCell ref="D33:F33"/>
    <mergeCell ref="B18:D18"/>
    <mergeCell ref="E18:G18"/>
    <mergeCell ref="A20:G20"/>
    <mergeCell ref="B21:F21"/>
    <mergeCell ref="B23:F23"/>
    <mergeCell ref="B24:F24"/>
    <mergeCell ref="B15:D15"/>
    <mergeCell ref="E15:G15"/>
    <mergeCell ref="B16:D16"/>
    <mergeCell ref="E16:G16"/>
    <mergeCell ref="B17:D17"/>
    <mergeCell ref="E17:G17"/>
    <mergeCell ref="M5:M6"/>
    <mergeCell ref="T5:T6"/>
    <mergeCell ref="A7:A11"/>
    <mergeCell ref="A13:G13"/>
    <mergeCell ref="B14:D14"/>
    <mergeCell ref="E14:G14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dataValidations count="3">
    <dataValidation type="list" allowBlank="1" showInputMessage="1" showErrorMessage="1" sqref="F51" xr:uid="{00000000-0002-0000-0200-000000000000}">
      <formula1>"LUCRO REAL,LUCRO PRESUMIDO,SIMPLES NACIONAL,OUTRO"</formula1>
    </dataValidation>
    <dataValidation type="list" allowBlank="1" showInputMessage="1" showErrorMessage="1" sqref="I61:M65" xr:uid="{00000000-0002-0000-0200-000001000000}">
      <formula1>"NÃO,SIM"</formula1>
    </dataValidation>
    <dataValidation type="list" allowBlank="1" showInputMessage="1" showErrorMessage="1" sqref="D68 D70 D72 D74" xr:uid="{00000000-0002-0000-0200-000002000000}">
      <formula1>"INICIAL,1º IPCA,2º IPCA,3º IPCA,4º IPCA,5º IPCA"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1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H61"/>
  <sheetViews>
    <sheetView showGridLines="0" view="pageBreakPreview" zoomScale="90" zoomScaleNormal="100" zoomScaleSheetLayoutView="90" workbookViewId="0">
      <selection activeCell="D26" sqref="D26"/>
    </sheetView>
  </sheetViews>
  <sheetFormatPr defaultColWidth="9" defaultRowHeight="14.4" x14ac:dyDescent="0.3"/>
  <cols>
    <col min="2" max="2" width="55.5546875" customWidth="1"/>
    <col min="3" max="3" width="13.109375" customWidth="1"/>
    <col min="4" max="4" width="4.88671875" customWidth="1"/>
    <col min="5" max="5" width="41.6640625" bestFit="1" customWidth="1"/>
    <col min="6" max="8" width="11" customWidth="1"/>
    <col min="258" max="258" width="55.5546875" customWidth="1"/>
    <col min="259" max="259" width="13.109375" customWidth="1"/>
    <col min="261" max="261" width="35.109375" customWidth="1"/>
    <col min="262" max="264" width="11" customWidth="1"/>
    <col min="514" max="514" width="55.5546875" customWidth="1"/>
    <col min="515" max="515" width="13.109375" customWidth="1"/>
    <col min="517" max="517" width="35.109375" customWidth="1"/>
    <col min="518" max="520" width="11" customWidth="1"/>
    <col min="770" max="770" width="55.5546875" customWidth="1"/>
    <col min="771" max="771" width="13.109375" customWidth="1"/>
    <col min="773" max="773" width="35.109375" customWidth="1"/>
    <col min="774" max="776" width="11" customWidth="1"/>
    <col min="1026" max="1026" width="55.5546875" customWidth="1"/>
    <col min="1027" max="1027" width="13.109375" customWidth="1"/>
    <col min="1029" max="1029" width="35.109375" customWidth="1"/>
    <col min="1030" max="1032" width="11" customWidth="1"/>
    <col min="1282" max="1282" width="55.5546875" customWidth="1"/>
    <col min="1283" max="1283" width="13.109375" customWidth="1"/>
    <col min="1285" max="1285" width="35.109375" customWidth="1"/>
    <col min="1286" max="1288" width="11" customWidth="1"/>
    <col min="1538" max="1538" width="55.5546875" customWidth="1"/>
    <col min="1539" max="1539" width="13.109375" customWidth="1"/>
    <col min="1541" max="1541" width="35.109375" customWidth="1"/>
    <col min="1542" max="1544" width="11" customWidth="1"/>
    <col min="1794" max="1794" width="55.5546875" customWidth="1"/>
    <col min="1795" max="1795" width="13.109375" customWidth="1"/>
    <col min="1797" max="1797" width="35.109375" customWidth="1"/>
    <col min="1798" max="1800" width="11" customWidth="1"/>
    <col min="2050" max="2050" width="55.5546875" customWidth="1"/>
    <col min="2051" max="2051" width="13.109375" customWidth="1"/>
    <col min="2053" max="2053" width="35.109375" customWidth="1"/>
    <col min="2054" max="2056" width="11" customWidth="1"/>
    <col min="2306" max="2306" width="55.5546875" customWidth="1"/>
    <col min="2307" max="2307" width="13.109375" customWidth="1"/>
    <col min="2309" max="2309" width="35.109375" customWidth="1"/>
    <col min="2310" max="2312" width="11" customWidth="1"/>
    <col min="2562" max="2562" width="55.5546875" customWidth="1"/>
    <col min="2563" max="2563" width="13.109375" customWidth="1"/>
    <col min="2565" max="2565" width="35.109375" customWidth="1"/>
    <col min="2566" max="2568" width="11" customWidth="1"/>
    <col min="2818" max="2818" width="55.5546875" customWidth="1"/>
    <col min="2819" max="2819" width="13.109375" customWidth="1"/>
    <col min="2821" max="2821" width="35.109375" customWidth="1"/>
    <col min="2822" max="2824" width="11" customWidth="1"/>
    <col min="3074" max="3074" width="55.5546875" customWidth="1"/>
    <col min="3075" max="3075" width="13.109375" customWidth="1"/>
    <col min="3077" max="3077" width="35.109375" customWidth="1"/>
    <col min="3078" max="3080" width="11" customWidth="1"/>
    <col min="3330" max="3330" width="55.5546875" customWidth="1"/>
    <col min="3331" max="3331" width="13.109375" customWidth="1"/>
    <col min="3333" max="3333" width="35.109375" customWidth="1"/>
    <col min="3334" max="3336" width="11" customWidth="1"/>
    <col min="3586" max="3586" width="55.5546875" customWidth="1"/>
    <col min="3587" max="3587" width="13.109375" customWidth="1"/>
    <col min="3589" max="3589" width="35.109375" customWidth="1"/>
    <col min="3590" max="3592" width="11" customWidth="1"/>
    <col min="3842" max="3842" width="55.5546875" customWidth="1"/>
    <col min="3843" max="3843" width="13.109375" customWidth="1"/>
    <col min="3845" max="3845" width="35.109375" customWidth="1"/>
    <col min="3846" max="3848" width="11" customWidth="1"/>
    <col min="4098" max="4098" width="55.5546875" customWidth="1"/>
    <col min="4099" max="4099" width="13.109375" customWidth="1"/>
    <col min="4101" max="4101" width="35.109375" customWidth="1"/>
    <col min="4102" max="4104" width="11" customWidth="1"/>
    <col min="4354" max="4354" width="55.5546875" customWidth="1"/>
    <col min="4355" max="4355" width="13.109375" customWidth="1"/>
    <col min="4357" max="4357" width="35.109375" customWidth="1"/>
    <col min="4358" max="4360" width="11" customWidth="1"/>
    <col min="4610" max="4610" width="55.5546875" customWidth="1"/>
    <col min="4611" max="4611" width="13.109375" customWidth="1"/>
    <col min="4613" max="4613" width="35.109375" customWidth="1"/>
    <col min="4614" max="4616" width="11" customWidth="1"/>
    <col min="4866" max="4866" width="55.5546875" customWidth="1"/>
    <col min="4867" max="4867" width="13.109375" customWidth="1"/>
    <col min="4869" max="4869" width="35.109375" customWidth="1"/>
    <col min="4870" max="4872" width="11" customWidth="1"/>
    <col min="5122" max="5122" width="55.5546875" customWidth="1"/>
    <col min="5123" max="5123" width="13.109375" customWidth="1"/>
    <col min="5125" max="5125" width="35.109375" customWidth="1"/>
    <col min="5126" max="5128" width="11" customWidth="1"/>
    <col min="5378" max="5378" width="55.5546875" customWidth="1"/>
    <col min="5379" max="5379" width="13.109375" customWidth="1"/>
    <col min="5381" max="5381" width="35.109375" customWidth="1"/>
    <col min="5382" max="5384" width="11" customWidth="1"/>
    <col min="5634" max="5634" width="55.5546875" customWidth="1"/>
    <col min="5635" max="5635" width="13.109375" customWidth="1"/>
    <col min="5637" max="5637" width="35.109375" customWidth="1"/>
    <col min="5638" max="5640" width="11" customWidth="1"/>
    <col min="5890" max="5890" width="55.5546875" customWidth="1"/>
    <col min="5891" max="5891" width="13.109375" customWidth="1"/>
    <col min="5893" max="5893" width="35.109375" customWidth="1"/>
    <col min="5894" max="5896" width="11" customWidth="1"/>
    <col min="6146" max="6146" width="55.5546875" customWidth="1"/>
    <col min="6147" max="6147" width="13.109375" customWidth="1"/>
    <col min="6149" max="6149" width="35.109375" customWidth="1"/>
    <col min="6150" max="6152" width="11" customWidth="1"/>
    <col min="6402" max="6402" width="55.5546875" customWidth="1"/>
    <col min="6403" max="6403" width="13.109375" customWidth="1"/>
    <col min="6405" max="6405" width="35.109375" customWidth="1"/>
    <col min="6406" max="6408" width="11" customWidth="1"/>
    <col min="6658" max="6658" width="55.5546875" customWidth="1"/>
    <col min="6659" max="6659" width="13.109375" customWidth="1"/>
    <col min="6661" max="6661" width="35.109375" customWidth="1"/>
    <col min="6662" max="6664" width="11" customWidth="1"/>
    <col min="6914" max="6914" width="55.5546875" customWidth="1"/>
    <col min="6915" max="6915" width="13.109375" customWidth="1"/>
    <col min="6917" max="6917" width="35.109375" customWidth="1"/>
    <col min="6918" max="6920" width="11" customWidth="1"/>
    <col min="7170" max="7170" width="55.5546875" customWidth="1"/>
    <col min="7171" max="7171" width="13.109375" customWidth="1"/>
    <col min="7173" max="7173" width="35.109375" customWidth="1"/>
    <col min="7174" max="7176" width="11" customWidth="1"/>
    <col min="7426" max="7426" width="55.5546875" customWidth="1"/>
    <col min="7427" max="7427" width="13.109375" customWidth="1"/>
    <col min="7429" max="7429" width="35.109375" customWidth="1"/>
    <col min="7430" max="7432" width="11" customWidth="1"/>
    <col min="7682" max="7682" width="55.5546875" customWidth="1"/>
    <col min="7683" max="7683" width="13.109375" customWidth="1"/>
    <col min="7685" max="7685" width="35.109375" customWidth="1"/>
    <col min="7686" max="7688" width="11" customWidth="1"/>
    <col min="7938" max="7938" width="55.5546875" customWidth="1"/>
    <col min="7939" max="7939" width="13.109375" customWidth="1"/>
    <col min="7941" max="7941" width="35.109375" customWidth="1"/>
    <col min="7942" max="7944" width="11" customWidth="1"/>
    <col min="8194" max="8194" width="55.5546875" customWidth="1"/>
    <col min="8195" max="8195" width="13.109375" customWidth="1"/>
    <col min="8197" max="8197" width="35.109375" customWidth="1"/>
    <col min="8198" max="8200" width="11" customWidth="1"/>
    <col min="8450" max="8450" width="55.5546875" customWidth="1"/>
    <col min="8451" max="8451" width="13.109375" customWidth="1"/>
    <col min="8453" max="8453" width="35.109375" customWidth="1"/>
    <col min="8454" max="8456" width="11" customWidth="1"/>
    <col min="8706" max="8706" width="55.5546875" customWidth="1"/>
    <col min="8707" max="8707" width="13.109375" customWidth="1"/>
    <col min="8709" max="8709" width="35.109375" customWidth="1"/>
    <col min="8710" max="8712" width="11" customWidth="1"/>
    <col min="8962" max="8962" width="55.5546875" customWidth="1"/>
    <col min="8963" max="8963" width="13.109375" customWidth="1"/>
    <col min="8965" max="8965" width="35.109375" customWidth="1"/>
    <col min="8966" max="8968" width="11" customWidth="1"/>
    <col min="9218" max="9218" width="55.5546875" customWidth="1"/>
    <col min="9219" max="9219" width="13.109375" customWidth="1"/>
    <col min="9221" max="9221" width="35.109375" customWidth="1"/>
    <col min="9222" max="9224" width="11" customWidth="1"/>
    <col min="9474" max="9474" width="55.5546875" customWidth="1"/>
    <col min="9475" max="9475" width="13.109375" customWidth="1"/>
    <col min="9477" max="9477" width="35.109375" customWidth="1"/>
    <col min="9478" max="9480" width="11" customWidth="1"/>
    <col min="9730" max="9730" width="55.5546875" customWidth="1"/>
    <col min="9731" max="9731" width="13.109375" customWidth="1"/>
    <col min="9733" max="9733" width="35.109375" customWidth="1"/>
    <col min="9734" max="9736" width="11" customWidth="1"/>
    <col min="9986" max="9986" width="55.5546875" customWidth="1"/>
    <col min="9987" max="9987" width="13.109375" customWidth="1"/>
    <col min="9989" max="9989" width="35.109375" customWidth="1"/>
    <col min="9990" max="9992" width="11" customWidth="1"/>
    <col min="10242" max="10242" width="55.5546875" customWidth="1"/>
    <col min="10243" max="10243" width="13.109375" customWidth="1"/>
    <col min="10245" max="10245" width="35.109375" customWidth="1"/>
    <col min="10246" max="10248" width="11" customWidth="1"/>
    <col min="10498" max="10498" width="55.5546875" customWidth="1"/>
    <col min="10499" max="10499" width="13.109375" customWidth="1"/>
    <col min="10501" max="10501" width="35.109375" customWidth="1"/>
    <col min="10502" max="10504" width="11" customWidth="1"/>
    <col min="10754" max="10754" width="55.5546875" customWidth="1"/>
    <col min="10755" max="10755" width="13.109375" customWidth="1"/>
    <col min="10757" max="10757" width="35.109375" customWidth="1"/>
    <col min="10758" max="10760" width="11" customWidth="1"/>
    <col min="11010" max="11010" width="55.5546875" customWidth="1"/>
    <col min="11011" max="11011" width="13.109375" customWidth="1"/>
    <col min="11013" max="11013" width="35.109375" customWidth="1"/>
    <col min="11014" max="11016" width="11" customWidth="1"/>
    <col min="11266" max="11266" width="55.5546875" customWidth="1"/>
    <col min="11267" max="11267" width="13.109375" customWidth="1"/>
    <col min="11269" max="11269" width="35.109375" customWidth="1"/>
    <col min="11270" max="11272" width="11" customWidth="1"/>
    <col min="11522" max="11522" width="55.5546875" customWidth="1"/>
    <col min="11523" max="11523" width="13.109375" customWidth="1"/>
    <col min="11525" max="11525" width="35.109375" customWidth="1"/>
    <col min="11526" max="11528" width="11" customWidth="1"/>
    <col min="11778" max="11778" width="55.5546875" customWidth="1"/>
    <col min="11779" max="11779" width="13.109375" customWidth="1"/>
    <col min="11781" max="11781" width="35.109375" customWidth="1"/>
    <col min="11782" max="11784" width="11" customWidth="1"/>
    <col min="12034" max="12034" width="55.5546875" customWidth="1"/>
    <col min="12035" max="12035" width="13.109375" customWidth="1"/>
    <col min="12037" max="12037" width="35.109375" customWidth="1"/>
    <col min="12038" max="12040" width="11" customWidth="1"/>
    <col min="12290" max="12290" width="55.5546875" customWidth="1"/>
    <col min="12291" max="12291" width="13.109375" customWidth="1"/>
    <col min="12293" max="12293" width="35.109375" customWidth="1"/>
    <col min="12294" max="12296" width="11" customWidth="1"/>
    <col min="12546" max="12546" width="55.5546875" customWidth="1"/>
    <col min="12547" max="12547" width="13.109375" customWidth="1"/>
    <col min="12549" max="12549" width="35.109375" customWidth="1"/>
    <col min="12550" max="12552" width="11" customWidth="1"/>
    <col min="12802" max="12802" width="55.5546875" customWidth="1"/>
    <col min="12803" max="12803" width="13.109375" customWidth="1"/>
    <col min="12805" max="12805" width="35.109375" customWidth="1"/>
    <col min="12806" max="12808" width="11" customWidth="1"/>
    <col min="13058" max="13058" width="55.5546875" customWidth="1"/>
    <col min="13059" max="13059" width="13.109375" customWidth="1"/>
    <col min="13061" max="13061" width="35.109375" customWidth="1"/>
    <col min="13062" max="13064" width="11" customWidth="1"/>
    <col min="13314" max="13314" width="55.5546875" customWidth="1"/>
    <col min="13315" max="13315" width="13.109375" customWidth="1"/>
    <col min="13317" max="13317" width="35.109375" customWidth="1"/>
    <col min="13318" max="13320" width="11" customWidth="1"/>
    <col min="13570" max="13570" width="55.5546875" customWidth="1"/>
    <col min="13571" max="13571" width="13.109375" customWidth="1"/>
    <col min="13573" max="13573" width="35.109375" customWidth="1"/>
    <col min="13574" max="13576" width="11" customWidth="1"/>
    <col min="13826" max="13826" width="55.5546875" customWidth="1"/>
    <col min="13827" max="13827" width="13.109375" customWidth="1"/>
    <col min="13829" max="13829" width="35.109375" customWidth="1"/>
    <col min="13830" max="13832" width="11" customWidth="1"/>
    <col min="14082" max="14082" width="55.5546875" customWidth="1"/>
    <col min="14083" max="14083" width="13.109375" customWidth="1"/>
    <col min="14085" max="14085" width="35.109375" customWidth="1"/>
    <col min="14086" max="14088" width="11" customWidth="1"/>
    <col min="14338" max="14338" width="55.5546875" customWidth="1"/>
    <col min="14339" max="14339" width="13.109375" customWidth="1"/>
    <col min="14341" max="14341" width="35.109375" customWidth="1"/>
    <col min="14342" max="14344" width="11" customWidth="1"/>
    <col min="14594" max="14594" width="55.5546875" customWidth="1"/>
    <col min="14595" max="14595" width="13.109375" customWidth="1"/>
    <col min="14597" max="14597" width="35.109375" customWidth="1"/>
    <col min="14598" max="14600" width="11" customWidth="1"/>
    <col min="14850" max="14850" width="55.5546875" customWidth="1"/>
    <col min="14851" max="14851" width="13.109375" customWidth="1"/>
    <col min="14853" max="14853" width="35.109375" customWidth="1"/>
    <col min="14854" max="14856" width="11" customWidth="1"/>
    <col min="15106" max="15106" width="55.5546875" customWidth="1"/>
    <col min="15107" max="15107" width="13.109375" customWidth="1"/>
    <col min="15109" max="15109" width="35.109375" customWidth="1"/>
    <col min="15110" max="15112" width="11" customWidth="1"/>
    <col min="15362" max="15362" width="55.5546875" customWidth="1"/>
    <col min="15363" max="15363" width="13.109375" customWidth="1"/>
    <col min="15365" max="15365" width="35.109375" customWidth="1"/>
    <col min="15366" max="15368" width="11" customWidth="1"/>
    <col min="15618" max="15618" width="55.5546875" customWidth="1"/>
    <col min="15619" max="15619" width="13.109375" customWidth="1"/>
    <col min="15621" max="15621" width="35.109375" customWidth="1"/>
    <col min="15622" max="15624" width="11" customWidth="1"/>
    <col min="15874" max="15874" width="55.5546875" customWidth="1"/>
    <col min="15875" max="15875" width="13.109375" customWidth="1"/>
    <col min="15877" max="15877" width="35.109375" customWidth="1"/>
    <col min="15878" max="15880" width="11" customWidth="1"/>
    <col min="16130" max="16130" width="55.5546875" customWidth="1"/>
    <col min="16131" max="16131" width="13.109375" customWidth="1"/>
    <col min="16133" max="16133" width="35.109375" customWidth="1"/>
    <col min="16134" max="16136" width="11" customWidth="1"/>
  </cols>
  <sheetData>
    <row r="1" spans="1:4" x14ac:dyDescent="0.3">
      <c r="A1" s="507"/>
      <c r="B1" s="508" t="str">
        <f>INSTRUÇÕES!B1</f>
        <v>Tribunal Regional Federal da 6ª Região</v>
      </c>
      <c r="C1" s="509"/>
    </row>
    <row r="2" spans="1:4" x14ac:dyDescent="0.3">
      <c r="A2" s="431"/>
      <c r="B2" s="265" t="str">
        <f>INSTRUÇÕES!B2</f>
        <v>Seção Judiciária de Minas Gerais</v>
      </c>
      <c r="C2" s="510"/>
    </row>
    <row r="3" spans="1:4" x14ac:dyDescent="0.3">
      <c r="A3" s="435"/>
      <c r="B3" s="265" t="str">
        <f>INSTRUÇÕES!B3</f>
        <v>Subseção Judiciária de Sete Lagoas</v>
      </c>
      <c r="C3" s="510"/>
    </row>
    <row r="4" spans="1:4" ht="21.75" customHeight="1" x14ac:dyDescent="0.3">
      <c r="A4" s="1066" t="s">
        <v>418</v>
      </c>
      <c r="B4" s="1067"/>
      <c r="C4" s="1068"/>
    </row>
    <row r="5" spans="1:4" ht="21.75" customHeight="1" x14ac:dyDescent="0.3">
      <c r="A5" s="1066" t="s">
        <v>419</v>
      </c>
      <c r="B5" s="1067"/>
      <c r="C5" s="1068"/>
    </row>
    <row r="6" spans="1:4" ht="26.25" customHeight="1" x14ac:dyDescent="0.3">
      <c r="A6" s="1069" t="s">
        <v>420</v>
      </c>
      <c r="B6" s="1070"/>
      <c r="C6" s="1071"/>
    </row>
    <row r="7" spans="1:4" x14ac:dyDescent="0.3">
      <c r="A7" s="1072" t="s">
        <v>421</v>
      </c>
      <c r="B7" s="1073"/>
      <c r="C7" s="1074"/>
    </row>
    <row r="8" spans="1:4" ht="15.9" customHeight="1" x14ac:dyDescent="0.3">
      <c r="A8" s="511" t="s">
        <v>65</v>
      </c>
      <c r="B8" s="512" t="s">
        <v>422</v>
      </c>
      <c r="C8" s="513" t="s">
        <v>423</v>
      </c>
    </row>
    <row r="9" spans="1:4" ht="15.9" customHeight="1" x14ac:dyDescent="0.3">
      <c r="A9" s="514" t="s">
        <v>424</v>
      </c>
      <c r="B9" s="1075" t="s">
        <v>425</v>
      </c>
      <c r="C9" s="1076"/>
    </row>
    <row r="10" spans="1:4" ht="15.9" customHeight="1" x14ac:dyDescent="0.3">
      <c r="A10" s="515">
        <v>1</v>
      </c>
      <c r="B10" s="516" t="s">
        <v>426</v>
      </c>
      <c r="C10" s="500">
        <v>0.2</v>
      </c>
    </row>
    <row r="11" spans="1:4" ht="15.9" customHeight="1" x14ac:dyDescent="0.3">
      <c r="A11" s="515">
        <v>2</v>
      </c>
      <c r="B11" s="516" t="s">
        <v>427</v>
      </c>
      <c r="C11" s="500">
        <v>1.4999999999999999E-2</v>
      </c>
    </row>
    <row r="12" spans="1:4" ht="15.9" customHeight="1" x14ac:dyDescent="0.3">
      <c r="A12" s="515">
        <v>3</v>
      </c>
      <c r="B12" s="516" t="s">
        <v>428</v>
      </c>
      <c r="C12" s="500">
        <v>0.01</v>
      </c>
    </row>
    <row r="13" spans="1:4" ht="15.9" customHeight="1" x14ac:dyDescent="0.3">
      <c r="A13" s="515">
        <v>4</v>
      </c>
      <c r="B13" s="516" t="s">
        <v>429</v>
      </c>
      <c r="C13" s="500">
        <v>2E-3</v>
      </c>
    </row>
    <row r="14" spans="1:4" ht="15.9" customHeight="1" x14ac:dyDescent="0.3">
      <c r="A14" s="515">
        <v>5</v>
      </c>
      <c r="B14" s="516" t="s">
        <v>430</v>
      </c>
      <c r="C14" s="500">
        <v>2.5000000000000001E-2</v>
      </c>
    </row>
    <row r="15" spans="1:4" ht="15.9" customHeight="1" x14ac:dyDescent="0.3">
      <c r="A15" s="515">
        <v>6</v>
      </c>
      <c r="B15" s="516" t="s">
        <v>431</v>
      </c>
      <c r="C15" s="500">
        <v>0.08</v>
      </c>
    </row>
    <row r="16" spans="1:4" ht="15.9" customHeight="1" x14ac:dyDescent="0.3">
      <c r="A16" s="515">
        <v>7</v>
      </c>
      <c r="B16" s="516" t="s">
        <v>432</v>
      </c>
      <c r="C16" s="518">
        <f>Dados!G23</f>
        <v>0.06</v>
      </c>
      <c r="D16" s="519" t="s">
        <v>734</v>
      </c>
    </row>
    <row r="17" spans="1:3" ht="15.9" customHeight="1" x14ac:dyDescent="0.3">
      <c r="A17" s="515">
        <v>8</v>
      </c>
      <c r="B17" s="516" t="s">
        <v>433</v>
      </c>
      <c r="C17" s="500">
        <v>6.0000000000000001E-3</v>
      </c>
    </row>
    <row r="18" spans="1:3" ht="15.9" customHeight="1" x14ac:dyDescent="0.3">
      <c r="A18" s="1064" t="s">
        <v>434</v>
      </c>
      <c r="B18" s="1065"/>
      <c r="C18" s="520">
        <f>SUM(C10:C17)</f>
        <v>0.39800000000000008</v>
      </c>
    </row>
    <row r="19" spans="1:3" ht="15.9" customHeight="1" x14ac:dyDescent="0.3">
      <c r="A19" s="1064" t="s">
        <v>435</v>
      </c>
      <c r="B19" s="1079"/>
      <c r="C19" s="1076"/>
    </row>
    <row r="20" spans="1:3" ht="15.9" customHeight="1" x14ac:dyDescent="0.3">
      <c r="A20" s="1064" t="s">
        <v>436</v>
      </c>
      <c r="B20" s="1079"/>
      <c r="C20" s="1076"/>
    </row>
    <row r="21" spans="1:3" ht="15.9" customHeight="1" x14ac:dyDescent="0.3">
      <c r="A21" s="515">
        <v>9</v>
      </c>
      <c r="B21" s="521" t="s">
        <v>437</v>
      </c>
      <c r="C21" s="522">
        <f>ROUND((100%/11),4)</f>
        <v>9.0899999999999995E-2</v>
      </c>
    </row>
    <row r="22" spans="1:3" ht="15.9" customHeight="1" x14ac:dyDescent="0.3">
      <c r="A22" s="515">
        <v>10</v>
      </c>
      <c r="B22" s="521" t="s">
        <v>438</v>
      </c>
      <c r="C22" s="522">
        <f>ROUND((C21/3),4)</f>
        <v>3.0300000000000001E-2</v>
      </c>
    </row>
    <row r="23" spans="1:3" ht="15.9" customHeight="1" x14ac:dyDescent="0.3">
      <c r="A23" s="1080" t="s">
        <v>439</v>
      </c>
      <c r="B23" s="1081"/>
      <c r="C23" s="523">
        <f>SUM(C21:C22)</f>
        <v>0.1212</v>
      </c>
    </row>
    <row r="24" spans="1:3" ht="15.9" customHeight="1" x14ac:dyDescent="0.3">
      <c r="A24" s="1082" t="s">
        <v>440</v>
      </c>
      <c r="B24" s="1083"/>
      <c r="C24" s="518">
        <f>(C18*C23)</f>
        <v>4.8237600000000012E-2</v>
      </c>
    </row>
    <row r="25" spans="1:3" ht="15.9" customHeight="1" x14ac:dyDescent="0.3">
      <c r="A25" s="1080" t="s">
        <v>441</v>
      </c>
      <c r="B25" s="1081"/>
      <c r="C25" s="523">
        <f>SUM(C23:C24)</f>
        <v>0.16943760000000002</v>
      </c>
    </row>
    <row r="26" spans="1:3" ht="15.9" customHeight="1" x14ac:dyDescent="0.3">
      <c r="A26" s="514" t="s">
        <v>442</v>
      </c>
      <c r="B26" s="1075" t="s">
        <v>443</v>
      </c>
      <c r="C26" s="1076"/>
    </row>
    <row r="27" spans="1:3" ht="15.9" customHeight="1" x14ac:dyDescent="0.3">
      <c r="A27" s="515">
        <v>11</v>
      </c>
      <c r="B27" s="516" t="s">
        <v>444</v>
      </c>
      <c r="C27" s="517">
        <f>ROUND((0.0144*0.1*0.4509*6/12),4)</f>
        <v>2.9999999999999997E-4</v>
      </c>
    </row>
    <row r="28" spans="1:3" ht="15.9" customHeight="1" x14ac:dyDescent="0.3">
      <c r="A28" s="1082" t="s">
        <v>445</v>
      </c>
      <c r="B28" s="1083"/>
      <c r="C28" s="524">
        <f>C18*C27</f>
        <v>1.1940000000000002E-4</v>
      </c>
    </row>
    <row r="29" spans="1:3" ht="15.9" customHeight="1" x14ac:dyDescent="0.3">
      <c r="A29" s="1080" t="s">
        <v>446</v>
      </c>
      <c r="B29" s="1081"/>
      <c r="C29" s="525">
        <f>SUM(C27:C28)</f>
        <v>4.194E-4</v>
      </c>
    </row>
    <row r="30" spans="1:3" ht="15.9" customHeight="1" x14ac:dyDescent="0.3">
      <c r="A30" s="514" t="s">
        <v>447</v>
      </c>
      <c r="B30" s="1075" t="s">
        <v>448</v>
      </c>
      <c r="C30" s="1076"/>
    </row>
    <row r="31" spans="1:3" ht="15.9" customHeight="1" x14ac:dyDescent="0.3">
      <c r="A31" s="515">
        <v>12</v>
      </c>
      <c r="B31" s="516" t="s">
        <v>449</v>
      </c>
      <c r="C31" s="500">
        <f>ROUND((100%/12)*5%,4)</f>
        <v>4.1999999999999997E-3</v>
      </c>
    </row>
    <row r="32" spans="1:3" ht="15.9" customHeight="1" x14ac:dyDescent="0.3">
      <c r="A32" s="1084" t="s">
        <v>450</v>
      </c>
      <c r="B32" s="1085"/>
      <c r="C32" s="518">
        <f>C15*C31</f>
        <v>3.3599999999999998E-4</v>
      </c>
    </row>
    <row r="33" spans="1:8" ht="15.9" customHeight="1" x14ac:dyDescent="0.3">
      <c r="A33" s="515">
        <v>13</v>
      </c>
      <c r="B33" s="516" t="s">
        <v>451</v>
      </c>
      <c r="C33" s="522">
        <f>ROUND((C15*0.4*0.9*(1+1/11+1/11+(1/3*1/11))),5)</f>
        <v>3.4909999999999997E-2</v>
      </c>
    </row>
    <row r="34" spans="1:8" ht="15.9" customHeight="1" x14ac:dyDescent="0.3">
      <c r="A34" s="515">
        <v>14</v>
      </c>
      <c r="B34" s="516" t="s">
        <v>452</v>
      </c>
      <c r="C34" s="500">
        <f>ROUND((100%/30)*7/12,4)</f>
        <v>1.9400000000000001E-2</v>
      </c>
    </row>
    <row r="35" spans="1:8" ht="15.9" customHeight="1" x14ac:dyDescent="0.3">
      <c r="A35" s="1084" t="s">
        <v>453</v>
      </c>
      <c r="B35" s="1085"/>
      <c r="C35" s="518">
        <f>ROUND((C34*C18),4)</f>
        <v>7.7000000000000002E-3</v>
      </c>
    </row>
    <row r="36" spans="1:8" ht="15.9" customHeight="1" x14ac:dyDescent="0.3">
      <c r="A36" s="515">
        <v>15</v>
      </c>
      <c r="B36" s="516" t="s">
        <v>454</v>
      </c>
      <c r="C36" s="518">
        <f>(0.4*C15/100)</f>
        <v>3.2000000000000003E-4</v>
      </c>
    </row>
    <row r="37" spans="1:8" ht="15.9" customHeight="1" x14ac:dyDescent="0.3">
      <c r="A37" s="1077" t="s">
        <v>455</v>
      </c>
      <c r="B37" s="1078"/>
      <c r="C37" s="523">
        <f>SUM(C31:C36)</f>
        <v>6.6865999999999995E-2</v>
      </c>
    </row>
    <row r="38" spans="1:8" ht="15.9" customHeight="1" x14ac:dyDescent="0.3">
      <c r="A38" s="514" t="s">
        <v>456</v>
      </c>
      <c r="B38" s="1075" t="s">
        <v>457</v>
      </c>
      <c r="C38" s="1076"/>
    </row>
    <row r="39" spans="1:8" ht="15.9" customHeight="1" x14ac:dyDescent="0.3">
      <c r="A39" s="515">
        <v>16</v>
      </c>
      <c r="B39" s="516" t="s">
        <v>458</v>
      </c>
      <c r="C39" s="522">
        <f>ROUND((100%/11),4)</f>
        <v>9.0899999999999995E-2</v>
      </c>
    </row>
    <row r="40" spans="1:8" ht="15.9" customHeight="1" x14ac:dyDescent="0.3">
      <c r="A40" s="515">
        <v>17</v>
      </c>
      <c r="B40" s="516" t="s">
        <v>459</v>
      </c>
      <c r="C40" s="500">
        <f>ROUND((5.96/30/12),4)</f>
        <v>1.66E-2</v>
      </c>
    </row>
    <row r="41" spans="1:8" ht="15.9" customHeight="1" x14ac:dyDescent="0.3">
      <c r="A41" s="515">
        <v>18</v>
      </c>
      <c r="B41" s="516" t="s">
        <v>460</v>
      </c>
      <c r="C41" s="500">
        <f>ROUND((5/30/12)*0.022,4)</f>
        <v>2.9999999999999997E-4</v>
      </c>
    </row>
    <row r="42" spans="1:8" ht="15.9" customHeight="1" x14ac:dyDescent="0.3">
      <c r="A42" s="515">
        <v>19</v>
      </c>
      <c r="B42" s="516" t="s">
        <v>461</v>
      </c>
      <c r="C42" s="500">
        <f>ROUND((1/30/12),4)</f>
        <v>2.8E-3</v>
      </c>
    </row>
    <row r="43" spans="1:8" ht="15.9" customHeight="1" thickBot="1" x14ac:dyDescent="0.35">
      <c r="A43" s="515">
        <v>20</v>
      </c>
      <c r="B43" s="516" t="s">
        <v>462</v>
      </c>
      <c r="C43" s="500">
        <f>ROUND((15/30/12*0.0078),4)</f>
        <v>2.9999999999999997E-4</v>
      </c>
    </row>
    <row r="44" spans="1:8" ht="15.9" customHeight="1" x14ac:dyDescent="0.3">
      <c r="A44" s="1077" t="s">
        <v>439</v>
      </c>
      <c r="B44" s="1078"/>
      <c r="C44" s="523">
        <f>SUM(C39:C43)</f>
        <v>0.11089999999999998</v>
      </c>
      <c r="E44" s="1086" t="s">
        <v>463</v>
      </c>
      <c r="F44" s="1087"/>
      <c r="G44" s="1087"/>
      <c r="H44" s="1088"/>
    </row>
    <row r="45" spans="1:8" ht="15.9" customHeight="1" x14ac:dyDescent="0.3">
      <c r="A45" s="1084" t="s">
        <v>464</v>
      </c>
      <c r="B45" s="1085"/>
      <c r="C45" s="518">
        <f>C18*C44</f>
        <v>4.4138200000000002E-2</v>
      </c>
      <c r="E45" s="1089"/>
      <c r="F45" s="1090"/>
      <c r="G45" s="1090"/>
      <c r="H45" s="1091"/>
    </row>
    <row r="46" spans="1:8" x14ac:dyDescent="0.3">
      <c r="A46" s="1077" t="s">
        <v>465</v>
      </c>
      <c r="B46" s="1078"/>
      <c r="C46" s="523">
        <f>SUM(C44:C45)</f>
        <v>0.15503819999999999</v>
      </c>
      <c r="E46" s="1092" t="s">
        <v>466</v>
      </c>
      <c r="F46" s="1093" t="s">
        <v>467</v>
      </c>
      <c r="G46" s="1093"/>
      <c r="H46" s="1094"/>
    </row>
    <row r="47" spans="1:8" ht="15.9" customHeight="1" x14ac:dyDescent="0.3">
      <c r="A47" s="526" t="s">
        <v>468</v>
      </c>
      <c r="B47" s="527" t="s">
        <v>469</v>
      </c>
      <c r="C47" s="528" t="s">
        <v>328</v>
      </c>
      <c r="E47" s="1092"/>
      <c r="F47" s="1093" t="s">
        <v>470</v>
      </c>
      <c r="G47" s="1093"/>
      <c r="H47" s="1094"/>
    </row>
    <row r="48" spans="1:8" ht="15.9" customHeight="1" x14ac:dyDescent="0.3">
      <c r="A48" s="515">
        <v>21</v>
      </c>
      <c r="B48" s="516" t="s">
        <v>471</v>
      </c>
      <c r="C48" s="500">
        <f>1*1%/12</f>
        <v>8.3333333333333339E-4</v>
      </c>
      <c r="E48" s="529" t="s">
        <v>472</v>
      </c>
      <c r="F48" s="530" t="s">
        <v>473</v>
      </c>
      <c r="G48" s="530" t="s">
        <v>474</v>
      </c>
      <c r="H48" s="599" t="s">
        <v>475</v>
      </c>
    </row>
    <row r="49" spans="1:8" ht="15.9" customHeight="1" x14ac:dyDescent="0.3">
      <c r="A49" s="1077" t="s">
        <v>476</v>
      </c>
      <c r="B49" s="1078"/>
      <c r="C49" s="523">
        <f>SUM(C47:C48)</f>
        <v>8.3333333333333339E-4</v>
      </c>
      <c r="E49" s="529" t="s">
        <v>477</v>
      </c>
      <c r="F49" s="531">
        <v>0.34300000000000003</v>
      </c>
      <c r="G49" s="531">
        <v>0.39800000000000002</v>
      </c>
      <c r="H49" s="532">
        <f>$C$18</f>
        <v>0.39800000000000008</v>
      </c>
    </row>
    <row r="50" spans="1:8" ht="15.9" customHeight="1" x14ac:dyDescent="0.3">
      <c r="A50" s="1102" t="s">
        <v>478</v>
      </c>
      <c r="B50" s="1103"/>
      <c r="C50" s="1104"/>
      <c r="E50" s="529" t="s">
        <v>479</v>
      </c>
      <c r="F50" s="531">
        <v>5.0000000000000001E-3</v>
      </c>
      <c r="G50" s="531">
        <v>0.06</v>
      </c>
      <c r="H50" s="532">
        <f>$C$16</f>
        <v>0.06</v>
      </c>
    </row>
    <row r="51" spans="1:8" ht="15.9" customHeight="1" x14ac:dyDescent="0.3">
      <c r="A51" s="1105" t="s">
        <v>425</v>
      </c>
      <c r="B51" s="1106"/>
      <c r="C51" s="533">
        <f>ROUND(C18,4)</f>
        <v>0.39800000000000002</v>
      </c>
      <c r="E51" s="534" t="s">
        <v>480</v>
      </c>
      <c r="F51" s="535">
        <f>$C$21</f>
        <v>9.0899999999999995E-2</v>
      </c>
      <c r="G51" s="535">
        <f>$F$51</f>
        <v>9.0899999999999995E-2</v>
      </c>
      <c r="H51" s="536">
        <f>$F$51</f>
        <v>9.0899999999999995E-2</v>
      </c>
    </row>
    <row r="52" spans="1:8" ht="15.9" customHeight="1" x14ac:dyDescent="0.3">
      <c r="A52" s="1095" t="s">
        <v>481</v>
      </c>
      <c r="B52" s="1096"/>
      <c r="C52" s="533">
        <f>ROUND(C25,4)</f>
        <v>0.1694</v>
      </c>
      <c r="E52" s="534" t="s">
        <v>482</v>
      </c>
      <c r="F52" s="535">
        <f>$C$39</f>
        <v>9.0899999999999995E-2</v>
      </c>
      <c r="G52" s="535">
        <f>$F$52</f>
        <v>9.0899999999999995E-2</v>
      </c>
      <c r="H52" s="536">
        <f>$F$52</f>
        <v>9.0899999999999995E-2</v>
      </c>
    </row>
    <row r="53" spans="1:8" ht="15.9" customHeight="1" x14ac:dyDescent="0.3">
      <c r="A53" s="1095" t="s">
        <v>443</v>
      </c>
      <c r="B53" s="1096"/>
      <c r="C53" s="533">
        <f>ROUND(C29,4)</f>
        <v>4.0000000000000002E-4</v>
      </c>
      <c r="E53" s="534" t="s">
        <v>483</v>
      </c>
      <c r="F53" s="535">
        <f>$C$22</f>
        <v>3.0300000000000001E-2</v>
      </c>
      <c r="G53" s="535">
        <f>$F$53</f>
        <v>3.0300000000000001E-2</v>
      </c>
      <c r="H53" s="536">
        <f>$F$53</f>
        <v>3.0300000000000001E-2</v>
      </c>
    </row>
    <row r="54" spans="1:8" ht="15.9" customHeight="1" x14ac:dyDescent="0.3">
      <c r="A54" s="1095" t="s">
        <v>484</v>
      </c>
      <c r="B54" s="1096"/>
      <c r="C54" s="533">
        <f>ROUND(C37,4)</f>
        <v>6.6900000000000001E-2</v>
      </c>
      <c r="E54" s="537" t="s">
        <v>439</v>
      </c>
      <c r="F54" s="538">
        <f>SUM(F51:F53)</f>
        <v>0.21209999999999998</v>
      </c>
      <c r="G54" s="538">
        <f t="shared" ref="G54:H54" si="0">SUM(G51:G53)</f>
        <v>0.21209999999999998</v>
      </c>
      <c r="H54" s="539">
        <f t="shared" si="0"/>
        <v>0.21209999999999998</v>
      </c>
    </row>
    <row r="55" spans="1:8" ht="15.9" customHeight="1" x14ac:dyDescent="0.3">
      <c r="A55" s="1095" t="s">
        <v>485</v>
      </c>
      <c r="B55" s="1096"/>
      <c r="C55" s="533">
        <f>ROUND(C46,4)</f>
        <v>0.155</v>
      </c>
      <c r="E55" s="534" t="s">
        <v>486</v>
      </c>
      <c r="F55" s="535">
        <f>F54*F49</f>
        <v>7.2750300000000004E-2</v>
      </c>
      <c r="G55" s="535">
        <f t="shared" ref="G55:H55" si="1">G54*G49</f>
        <v>8.4415799999999999E-2</v>
      </c>
      <c r="H55" s="536">
        <f t="shared" si="1"/>
        <v>8.4415800000000013E-2</v>
      </c>
    </row>
    <row r="56" spans="1:8" ht="15.9" customHeight="1" x14ac:dyDescent="0.3">
      <c r="A56" s="1095" t="s">
        <v>471</v>
      </c>
      <c r="B56" s="1096"/>
      <c r="C56" s="533">
        <f>ROUND(C49,4)</f>
        <v>8.0000000000000004E-4</v>
      </c>
      <c r="E56" s="534" t="s">
        <v>487</v>
      </c>
      <c r="F56" s="535">
        <v>3.4909999999999997E-2</v>
      </c>
      <c r="G56" s="535">
        <v>3.4909999999999997E-2</v>
      </c>
      <c r="H56" s="536">
        <v>3.4909999999999997E-2</v>
      </c>
    </row>
    <row r="57" spans="1:8" ht="15.9" customHeight="1" x14ac:dyDescent="0.3">
      <c r="A57" s="1097" t="s">
        <v>488</v>
      </c>
      <c r="B57" s="1098"/>
      <c r="C57" s="540">
        <f>SUM(C51:C56)</f>
        <v>0.79049999999999998</v>
      </c>
      <c r="E57" s="541" t="s">
        <v>489</v>
      </c>
      <c r="F57" s="542">
        <v>0.3197603</v>
      </c>
      <c r="G57" s="542">
        <v>0.33142579999999999</v>
      </c>
      <c r="H57" s="543">
        <v>0.33142579999999999</v>
      </c>
    </row>
    <row r="58" spans="1:8" ht="24" x14ac:dyDescent="0.3">
      <c r="A58" s="544" t="s">
        <v>41</v>
      </c>
      <c r="B58" s="545"/>
      <c r="C58" s="546"/>
      <c r="E58" s="534" t="s">
        <v>490</v>
      </c>
      <c r="F58" s="535" t="s">
        <v>328</v>
      </c>
      <c r="G58" s="535" t="s">
        <v>328</v>
      </c>
      <c r="H58" s="536" t="s">
        <v>328</v>
      </c>
    </row>
    <row r="59" spans="1:8" ht="54.75" customHeight="1" thickBot="1" x14ac:dyDescent="0.35">
      <c r="A59" s="1099" t="s">
        <v>491</v>
      </c>
      <c r="B59" s="1100"/>
      <c r="C59" s="1101"/>
      <c r="E59" s="547" t="s">
        <v>492</v>
      </c>
      <c r="F59" s="548">
        <v>0.3197603</v>
      </c>
      <c r="G59" s="548">
        <v>0.33142579999999999</v>
      </c>
      <c r="H59" s="549">
        <v>0.33142579999999999</v>
      </c>
    </row>
    <row r="61" spans="1:8" ht="12.75" customHeight="1" x14ac:dyDescent="0.3"/>
  </sheetData>
  <sheetProtection algorithmName="SHA-512" hashValue="3O+hivrhZxcZUOqSB+EUdQ+uwZR8XRNShHSnRNphlg67qxxE0pqRB3AidTnDMBG4cQidTJYmNgpV/EMha1+EgQ==" saltValue="54c1I1ef05KcEyNEbohXaQ==" spinCount="100000" sheet="1" objects="1" scenarios="1"/>
  <mergeCells count="36">
    <mergeCell ref="A55:B55"/>
    <mergeCell ref="A56:B56"/>
    <mergeCell ref="A57:B57"/>
    <mergeCell ref="A59:C59"/>
    <mergeCell ref="A49:B49"/>
    <mergeCell ref="A50:C50"/>
    <mergeCell ref="A51:B51"/>
    <mergeCell ref="A52:B52"/>
    <mergeCell ref="A53:B53"/>
    <mergeCell ref="A54:B54"/>
    <mergeCell ref="B38:C38"/>
    <mergeCell ref="A44:B44"/>
    <mergeCell ref="E44:H45"/>
    <mergeCell ref="A45:B45"/>
    <mergeCell ref="A46:B46"/>
    <mergeCell ref="E46:E47"/>
    <mergeCell ref="F46:H46"/>
    <mergeCell ref="F47:H47"/>
    <mergeCell ref="A37:B37"/>
    <mergeCell ref="A19:C19"/>
    <mergeCell ref="A20:C20"/>
    <mergeCell ref="A23:B23"/>
    <mergeCell ref="A24:B24"/>
    <mergeCell ref="A25:B25"/>
    <mergeCell ref="B26:C26"/>
    <mergeCell ref="A28:B28"/>
    <mergeCell ref="A29:B29"/>
    <mergeCell ref="B30:C30"/>
    <mergeCell ref="A32:B32"/>
    <mergeCell ref="A35:B35"/>
    <mergeCell ref="A18:B18"/>
    <mergeCell ref="A4:C4"/>
    <mergeCell ref="A5:C5"/>
    <mergeCell ref="A6:C6"/>
    <mergeCell ref="A7:C7"/>
    <mergeCell ref="B9:C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A1:L85"/>
  <sheetViews>
    <sheetView showGridLines="0" view="pageBreakPreview" topLeftCell="A67" zoomScale="90" zoomScaleNormal="100" zoomScaleSheetLayoutView="90" workbookViewId="0">
      <selection activeCell="D26" sqref="D26"/>
    </sheetView>
  </sheetViews>
  <sheetFormatPr defaultColWidth="9" defaultRowHeight="14.4" x14ac:dyDescent="0.3"/>
  <cols>
    <col min="1" max="1" width="5" style="46" customWidth="1"/>
    <col min="2" max="2" width="59.109375" style="34" bestFit="1" customWidth="1"/>
    <col min="3" max="3" width="10.44140625" style="34" bestFit="1" customWidth="1"/>
    <col min="4" max="4" width="18.44140625" style="34" bestFit="1" customWidth="1"/>
    <col min="5" max="5" width="11.5546875" style="34" bestFit="1" customWidth="1"/>
    <col min="6" max="6" width="9.44140625" style="46" bestFit="1" customWidth="1"/>
    <col min="7" max="7" width="11.44140625" style="34" bestFit="1" customWidth="1"/>
    <col min="8" max="8" width="23.6640625" style="417" customWidth="1"/>
    <col min="9" max="9" width="4.33203125" style="417" customWidth="1"/>
    <col min="10" max="10" width="11.44140625" style="417" customWidth="1"/>
    <col min="11" max="11" width="12.44140625" style="34" customWidth="1"/>
    <col min="12" max="12" width="8.5546875" style="417" bestFit="1" customWidth="1"/>
    <col min="13" max="256" width="9" style="417"/>
    <col min="257" max="257" width="8.33203125" style="417" customWidth="1"/>
    <col min="258" max="258" width="44.5546875" style="417" customWidth="1"/>
    <col min="259" max="259" width="7.44140625" style="417" customWidth="1"/>
    <col min="260" max="260" width="13" style="417" customWidth="1"/>
    <col min="261" max="261" width="11.6640625" style="417" customWidth="1"/>
    <col min="262" max="262" width="10.5546875" style="417" customWidth="1"/>
    <col min="263" max="263" width="14.44140625" style="417" customWidth="1"/>
    <col min="264" max="264" width="35.44140625" style="417" customWidth="1"/>
    <col min="265" max="265" width="14" style="417" customWidth="1"/>
    <col min="266" max="266" width="11.6640625" style="417" customWidth="1"/>
    <col min="267" max="267" width="13.5546875" style="417" bestFit="1" customWidth="1"/>
    <col min="268" max="512" width="9" style="417"/>
    <col min="513" max="513" width="8.33203125" style="417" customWidth="1"/>
    <col min="514" max="514" width="44.5546875" style="417" customWidth="1"/>
    <col min="515" max="515" width="7.44140625" style="417" customWidth="1"/>
    <col min="516" max="516" width="13" style="417" customWidth="1"/>
    <col min="517" max="517" width="11.6640625" style="417" customWidth="1"/>
    <col min="518" max="518" width="10.5546875" style="417" customWidth="1"/>
    <col min="519" max="519" width="14.44140625" style="417" customWidth="1"/>
    <col min="520" max="520" width="35.44140625" style="417" customWidth="1"/>
    <col min="521" max="521" width="14" style="417" customWidth="1"/>
    <col min="522" max="522" width="11.6640625" style="417" customWidth="1"/>
    <col min="523" max="523" width="13.5546875" style="417" bestFit="1" customWidth="1"/>
    <col min="524" max="768" width="9" style="417"/>
    <col min="769" max="769" width="8.33203125" style="417" customWidth="1"/>
    <col min="770" max="770" width="44.5546875" style="417" customWidth="1"/>
    <col min="771" max="771" width="7.44140625" style="417" customWidth="1"/>
    <col min="772" max="772" width="13" style="417" customWidth="1"/>
    <col min="773" max="773" width="11.6640625" style="417" customWidth="1"/>
    <col min="774" max="774" width="10.5546875" style="417" customWidth="1"/>
    <col min="775" max="775" width="14.44140625" style="417" customWidth="1"/>
    <col min="776" max="776" width="35.44140625" style="417" customWidth="1"/>
    <col min="777" max="777" width="14" style="417" customWidth="1"/>
    <col min="778" max="778" width="11.6640625" style="417" customWidth="1"/>
    <col min="779" max="779" width="13.5546875" style="417" bestFit="1" customWidth="1"/>
    <col min="780" max="1024" width="9" style="417"/>
    <col min="1025" max="1025" width="8.33203125" style="417" customWidth="1"/>
    <col min="1026" max="1026" width="44.5546875" style="417" customWidth="1"/>
    <col min="1027" max="1027" width="7.44140625" style="417" customWidth="1"/>
    <col min="1028" max="1028" width="13" style="417" customWidth="1"/>
    <col min="1029" max="1029" width="11.6640625" style="417" customWidth="1"/>
    <col min="1030" max="1030" width="10.5546875" style="417" customWidth="1"/>
    <col min="1031" max="1031" width="14.44140625" style="417" customWidth="1"/>
    <col min="1032" max="1032" width="35.44140625" style="417" customWidth="1"/>
    <col min="1033" max="1033" width="14" style="417" customWidth="1"/>
    <col min="1034" max="1034" width="11.6640625" style="417" customWidth="1"/>
    <col min="1035" max="1035" width="13.5546875" style="417" bestFit="1" customWidth="1"/>
    <col min="1036" max="1280" width="9" style="417"/>
    <col min="1281" max="1281" width="8.33203125" style="417" customWidth="1"/>
    <col min="1282" max="1282" width="44.5546875" style="417" customWidth="1"/>
    <col min="1283" max="1283" width="7.44140625" style="417" customWidth="1"/>
    <col min="1284" max="1284" width="13" style="417" customWidth="1"/>
    <col min="1285" max="1285" width="11.6640625" style="417" customWidth="1"/>
    <col min="1286" max="1286" width="10.5546875" style="417" customWidth="1"/>
    <col min="1287" max="1287" width="14.44140625" style="417" customWidth="1"/>
    <col min="1288" max="1288" width="35.44140625" style="417" customWidth="1"/>
    <col min="1289" max="1289" width="14" style="417" customWidth="1"/>
    <col min="1290" max="1290" width="11.6640625" style="417" customWidth="1"/>
    <col min="1291" max="1291" width="13.5546875" style="417" bestFit="1" customWidth="1"/>
    <col min="1292" max="1536" width="9" style="417"/>
    <col min="1537" max="1537" width="8.33203125" style="417" customWidth="1"/>
    <col min="1538" max="1538" width="44.5546875" style="417" customWidth="1"/>
    <col min="1539" max="1539" width="7.44140625" style="417" customWidth="1"/>
    <col min="1540" max="1540" width="13" style="417" customWidth="1"/>
    <col min="1541" max="1541" width="11.6640625" style="417" customWidth="1"/>
    <col min="1542" max="1542" width="10.5546875" style="417" customWidth="1"/>
    <col min="1543" max="1543" width="14.44140625" style="417" customWidth="1"/>
    <col min="1544" max="1544" width="35.44140625" style="417" customWidth="1"/>
    <col min="1545" max="1545" width="14" style="417" customWidth="1"/>
    <col min="1546" max="1546" width="11.6640625" style="417" customWidth="1"/>
    <col min="1547" max="1547" width="13.5546875" style="417" bestFit="1" customWidth="1"/>
    <col min="1548" max="1792" width="9" style="417"/>
    <col min="1793" max="1793" width="8.33203125" style="417" customWidth="1"/>
    <col min="1794" max="1794" width="44.5546875" style="417" customWidth="1"/>
    <col min="1795" max="1795" width="7.44140625" style="417" customWidth="1"/>
    <col min="1796" max="1796" width="13" style="417" customWidth="1"/>
    <col min="1797" max="1797" width="11.6640625" style="417" customWidth="1"/>
    <col min="1798" max="1798" width="10.5546875" style="417" customWidth="1"/>
    <col min="1799" max="1799" width="14.44140625" style="417" customWidth="1"/>
    <col min="1800" max="1800" width="35.44140625" style="417" customWidth="1"/>
    <col min="1801" max="1801" width="14" style="417" customWidth="1"/>
    <col min="1802" max="1802" width="11.6640625" style="417" customWidth="1"/>
    <col min="1803" max="1803" width="13.5546875" style="417" bestFit="1" customWidth="1"/>
    <col min="1804" max="2048" width="9" style="417"/>
    <col min="2049" max="2049" width="8.33203125" style="417" customWidth="1"/>
    <col min="2050" max="2050" width="44.5546875" style="417" customWidth="1"/>
    <col min="2051" max="2051" width="7.44140625" style="417" customWidth="1"/>
    <col min="2052" max="2052" width="13" style="417" customWidth="1"/>
    <col min="2053" max="2053" width="11.6640625" style="417" customWidth="1"/>
    <col min="2054" max="2054" width="10.5546875" style="417" customWidth="1"/>
    <col min="2055" max="2055" width="14.44140625" style="417" customWidth="1"/>
    <col min="2056" max="2056" width="35.44140625" style="417" customWidth="1"/>
    <col min="2057" max="2057" width="14" style="417" customWidth="1"/>
    <col min="2058" max="2058" width="11.6640625" style="417" customWidth="1"/>
    <col min="2059" max="2059" width="13.5546875" style="417" bestFit="1" customWidth="1"/>
    <col min="2060" max="2304" width="9" style="417"/>
    <col min="2305" max="2305" width="8.33203125" style="417" customWidth="1"/>
    <col min="2306" max="2306" width="44.5546875" style="417" customWidth="1"/>
    <col min="2307" max="2307" width="7.44140625" style="417" customWidth="1"/>
    <col min="2308" max="2308" width="13" style="417" customWidth="1"/>
    <col min="2309" max="2309" width="11.6640625" style="417" customWidth="1"/>
    <col min="2310" max="2310" width="10.5546875" style="417" customWidth="1"/>
    <col min="2311" max="2311" width="14.44140625" style="417" customWidth="1"/>
    <col min="2312" max="2312" width="35.44140625" style="417" customWidth="1"/>
    <col min="2313" max="2313" width="14" style="417" customWidth="1"/>
    <col min="2314" max="2314" width="11.6640625" style="417" customWidth="1"/>
    <col min="2315" max="2315" width="13.5546875" style="417" bestFit="1" customWidth="1"/>
    <col min="2316" max="2560" width="9" style="417"/>
    <col min="2561" max="2561" width="8.33203125" style="417" customWidth="1"/>
    <col min="2562" max="2562" width="44.5546875" style="417" customWidth="1"/>
    <col min="2563" max="2563" width="7.44140625" style="417" customWidth="1"/>
    <col min="2564" max="2564" width="13" style="417" customWidth="1"/>
    <col min="2565" max="2565" width="11.6640625" style="417" customWidth="1"/>
    <col min="2566" max="2566" width="10.5546875" style="417" customWidth="1"/>
    <col min="2567" max="2567" width="14.44140625" style="417" customWidth="1"/>
    <col min="2568" max="2568" width="35.44140625" style="417" customWidth="1"/>
    <col min="2569" max="2569" width="14" style="417" customWidth="1"/>
    <col min="2570" max="2570" width="11.6640625" style="417" customWidth="1"/>
    <col min="2571" max="2571" width="13.5546875" style="417" bestFit="1" customWidth="1"/>
    <col min="2572" max="2816" width="9" style="417"/>
    <col min="2817" max="2817" width="8.33203125" style="417" customWidth="1"/>
    <col min="2818" max="2818" width="44.5546875" style="417" customWidth="1"/>
    <col min="2819" max="2819" width="7.44140625" style="417" customWidth="1"/>
    <col min="2820" max="2820" width="13" style="417" customWidth="1"/>
    <col min="2821" max="2821" width="11.6640625" style="417" customWidth="1"/>
    <col min="2822" max="2822" width="10.5546875" style="417" customWidth="1"/>
    <col min="2823" max="2823" width="14.44140625" style="417" customWidth="1"/>
    <col min="2824" max="2824" width="35.44140625" style="417" customWidth="1"/>
    <col min="2825" max="2825" width="14" style="417" customWidth="1"/>
    <col min="2826" max="2826" width="11.6640625" style="417" customWidth="1"/>
    <col min="2827" max="2827" width="13.5546875" style="417" bestFit="1" customWidth="1"/>
    <col min="2828" max="3072" width="9" style="417"/>
    <col min="3073" max="3073" width="8.33203125" style="417" customWidth="1"/>
    <col min="3074" max="3074" width="44.5546875" style="417" customWidth="1"/>
    <col min="3075" max="3075" width="7.44140625" style="417" customWidth="1"/>
    <col min="3076" max="3076" width="13" style="417" customWidth="1"/>
    <col min="3077" max="3077" width="11.6640625" style="417" customWidth="1"/>
    <col min="3078" max="3078" width="10.5546875" style="417" customWidth="1"/>
    <col min="3079" max="3079" width="14.44140625" style="417" customWidth="1"/>
    <col min="3080" max="3080" width="35.44140625" style="417" customWidth="1"/>
    <col min="3081" max="3081" width="14" style="417" customWidth="1"/>
    <col min="3082" max="3082" width="11.6640625" style="417" customWidth="1"/>
    <col min="3083" max="3083" width="13.5546875" style="417" bestFit="1" customWidth="1"/>
    <col min="3084" max="3328" width="9" style="417"/>
    <col min="3329" max="3329" width="8.33203125" style="417" customWidth="1"/>
    <col min="3330" max="3330" width="44.5546875" style="417" customWidth="1"/>
    <col min="3331" max="3331" width="7.44140625" style="417" customWidth="1"/>
    <col min="3332" max="3332" width="13" style="417" customWidth="1"/>
    <col min="3333" max="3333" width="11.6640625" style="417" customWidth="1"/>
    <col min="3334" max="3334" width="10.5546875" style="417" customWidth="1"/>
    <col min="3335" max="3335" width="14.44140625" style="417" customWidth="1"/>
    <col min="3336" max="3336" width="35.44140625" style="417" customWidth="1"/>
    <col min="3337" max="3337" width="14" style="417" customWidth="1"/>
    <col min="3338" max="3338" width="11.6640625" style="417" customWidth="1"/>
    <col min="3339" max="3339" width="13.5546875" style="417" bestFit="1" customWidth="1"/>
    <col min="3340" max="3584" width="9" style="417"/>
    <col min="3585" max="3585" width="8.33203125" style="417" customWidth="1"/>
    <col min="3586" max="3586" width="44.5546875" style="417" customWidth="1"/>
    <col min="3587" max="3587" width="7.44140625" style="417" customWidth="1"/>
    <col min="3588" max="3588" width="13" style="417" customWidth="1"/>
    <col min="3589" max="3589" width="11.6640625" style="417" customWidth="1"/>
    <col min="3590" max="3590" width="10.5546875" style="417" customWidth="1"/>
    <col min="3591" max="3591" width="14.44140625" style="417" customWidth="1"/>
    <col min="3592" max="3592" width="35.44140625" style="417" customWidth="1"/>
    <col min="3593" max="3593" width="14" style="417" customWidth="1"/>
    <col min="3594" max="3594" width="11.6640625" style="417" customWidth="1"/>
    <col min="3595" max="3595" width="13.5546875" style="417" bestFit="1" customWidth="1"/>
    <col min="3596" max="3840" width="9" style="417"/>
    <col min="3841" max="3841" width="8.33203125" style="417" customWidth="1"/>
    <col min="3842" max="3842" width="44.5546875" style="417" customWidth="1"/>
    <col min="3843" max="3843" width="7.44140625" style="417" customWidth="1"/>
    <col min="3844" max="3844" width="13" style="417" customWidth="1"/>
    <col min="3845" max="3845" width="11.6640625" style="417" customWidth="1"/>
    <col min="3846" max="3846" width="10.5546875" style="417" customWidth="1"/>
    <col min="3847" max="3847" width="14.44140625" style="417" customWidth="1"/>
    <col min="3848" max="3848" width="35.44140625" style="417" customWidth="1"/>
    <col min="3849" max="3849" width="14" style="417" customWidth="1"/>
    <col min="3850" max="3850" width="11.6640625" style="417" customWidth="1"/>
    <col min="3851" max="3851" width="13.5546875" style="417" bestFit="1" customWidth="1"/>
    <col min="3852" max="4096" width="9" style="417"/>
    <col min="4097" max="4097" width="8.33203125" style="417" customWidth="1"/>
    <col min="4098" max="4098" width="44.5546875" style="417" customWidth="1"/>
    <col min="4099" max="4099" width="7.44140625" style="417" customWidth="1"/>
    <col min="4100" max="4100" width="13" style="417" customWidth="1"/>
    <col min="4101" max="4101" width="11.6640625" style="417" customWidth="1"/>
    <col min="4102" max="4102" width="10.5546875" style="417" customWidth="1"/>
    <col min="4103" max="4103" width="14.44140625" style="417" customWidth="1"/>
    <col min="4104" max="4104" width="35.44140625" style="417" customWidth="1"/>
    <col min="4105" max="4105" width="14" style="417" customWidth="1"/>
    <col min="4106" max="4106" width="11.6640625" style="417" customWidth="1"/>
    <col min="4107" max="4107" width="13.5546875" style="417" bestFit="1" customWidth="1"/>
    <col min="4108" max="4352" width="9" style="417"/>
    <col min="4353" max="4353" width="8.33203125" style="417" customWidth="1"/>
    <col min="4354" max="4354" width="44.5546875" style="417" customWidth="1"/>
    <col min="4355" max="4355" width="7.44140625" style="417" customWidth="1"/>
    <col min="4356" max="4356" width="13" style="417" customWidth="1"/>
    <col min="4357" max="4357" width="11.6640625" style="417" customWidth="1"/>
    <col min="4358" max="4358" width="10.5546875" style="417" customWidth="1"/>
    <col min="4359" max="4359" width="14.44140625" style="417" customWidth="1"/>
    <col min="4360" max="4360" width="35.44140625" style="417" customWidth="1"/>
    <col min="4361" max="4361" width="14" style="417" customWidth="1"/>
    <col min="4362" max="4362" width="11.6640625" style="417" customWidth="1"/>
    <col min="4363" max="4363" width="13.5546875" style="417" bestFit="1" customWidth="1"/>
    <col min="4364" max="4608" width="9" style="417"/>
    <col min="4609" max="4609" width="8.33203125" style="417" customWidth="1"/>
    <col min="4610" max="4610" width="44.5546875" style="417" customWidth="1"/>
    <col min="4611" max="4611" width="7.44140625" style="417" customWidth="1"/>
    <col min="4612" max="4612" width="13" style="417" customWidth="1"/>
    <col min="4613" max="4613" width="11.6640625" style="417" customWidth="1"/>
    <col min="4614" max="4614" width="10.5546875" style="417" customWidth="1"/>
    <col min="4615" max="4615" width="14.44140625" style="417" customWidth="1"/>
    <col min="4616" max="4616" width="35.44140625" style="417" customWidth="1"/>
    <col min="4617" max="4617" width="14" style="417" customWidth="1"/>
    <col min="4618" max="4618" width="11.6640625" style="417" customWidth="1"/>
    <col min="4619" max="4619" width="13.5546875" style="417" bestFit="1" customWidth="1"/>
    <col min="4620" max="4864" width="9" style="417"/>
    <col min="4865" max="4865" width="8.33203125" style="417" customWidth="1"/>
    <col min="4866" max="4866" width="44.5546875" style="417" customWidth="1"/>
    <col min="4867" max="4867" width="7.44140625" style="417" customWidth="1"/>
    <col min="4868" max="4868" width="13" style="417" customWidth="1"/>
    <col min="4869" max="4869" width="11.6640625" style="417" customWidth="1"/>
    <col min="4870" max="4870" width="10.5546875" style="417" customWidth="1"/>
    <col min="4871" max="4871" width="14.44140625" style="417" customWidth="1"/>
    <col min="4872" max="4872" width="35.44140625" style="417" customWidth="1"/>
    <col min="4873" max="4873" width="14" style="417" customWidth="1"/>
    <col min="4874" max="4874" width="11.6640625" style="417" customWidth="1"/>
    <col min="4875" max="4875" width="13.5546875" style="417" bestFit="1" customWidth="1"/>
    <col min="4876" max="5120" width="9" style="417"/>
    <col min="5121" max="5121" width="8.33203125" style="417" customWidth="1"/>
    <col min="5122" max="5122" width="44.5546875" style="417" customWidth="1"/>
    <col min="5123" max="5123" width="7.44140625" style="417" customWidth="1"/>
    <col min="5124" max="5124" width="13" style="417" customWidth="1"/>
    <col min="5125" max="5125" width="11.6640625" style="417" customWidth="1"/>
    <col min="5126" max="5126" width="10.5546875" style="417" customWidth="1"/>
    <col min="5127" max="5127" width="14.44140625" style="417" customWidth="1"/>
    <col min="5128" max="5128" width="35.44140625" style="417" customWidth="1"/>
    <col min="5129" max="5129" width="14" style="417" customWidth="1"/>
    <col min="5130" max="5130" width="11.6640625" style="417" customWidth="1"/>
    <col min="5131" max="5131" width="13.5546875" style="417" bestFit="1" customWidth="1"/>
    <col min="5132" max="5376" width="9" style="417"/>
    <col min="5377" max="5377" width="8.33203125" style="417" customWidth="1"/>
    <col min="5378" max="5378" width="44.5546875" style="417" customWidth="1"/>
    <col min="5379" max="5379" width="7.44140625" style="417" customWidth="1"/>
    <col min="5380" max="5380" width="13" style="417" customWidth="1"/>
    <col min="5381" max="5381" width="11.6640625" style="417" customWidth="1"/>
    <col min="5382" max="5382" width="10.5546875" style="417" customWidth="1"/>
    <col min="5383" max="5383" width="14.44140625" style="417" customWidth="1"/>
    <col min="5384" max="5384" width="35.44140625" style="417" customWidth="1"/>
    <col min="5385" max="5385" width="14" style="417" customWidth="1"/>
    <col min="5386" max="5386" width="11.6640625" style="417" customWidth="1"/>
    <col min="5387" max="5387" width="13.5546875" style="417" bestFit="1" customWidth="1"/>
    <col min="5388" max="5632" width="9" style="417"/>
    <col min="5633" max="5633" width="8.33203125" style="417" customWidth="1"/>
    <col min="5634" max="5634" width="44.5546875" style="417" customWidth="1"/>
    <col min="5635" max="5635" width="7.44140625" style="417" customWidth="1"/>
    <col min="5636" max="5636" width="13" style="417" customWidth="1"/>
    <col min="5637" max="5637" width="11.6640625" style="417" customWidth="1"/>
    <col min="5638" max="5638" width="10.5546875" style="417" customWidth="1"/>
    <col min="5639" max="5639" width="14.44140625" style="417" customWidth="1"/>
    <col min="5640" max="5640" width="35.44140625" style="417" customWidth="1"/>
    <col min="5641" max="5641" width="14" style="417" customWidth="1"/>
    <col min="5642" max="5642" width="11.6640625" style="417" customWidth="1"/>
    <col min="5643" max="5643" width="13.5546875" style="417" bestFit="1" customWidth="1"/>
    <col min="5644" max="5888" width="9" style="417"/>
    <col min="5889" max="5889" width="8.33203125" style="417" customWidth="1"/>
    <col min="5890" max="5890" width="44.5546875" style="417" customWidth="1"/>
    <col min="5891" max="5891" width="7.44140625" style="417" customWidth="1"/>
    <col min="5892" max="5892" width="13" style="417" customWidth="1"/>
    <col min="5893" max="5893" width="11.6640625" style="417" customWidth="1"/>
    <col min="5894" max="5894" width="10.5546875" style="417" customWidth="1"/>
    <col min="5895" max="5895" width="14.44140625" style="417" customWidth="1"/>
    <col min="5896" max="5896" width="35.44140625" style="417" customWidth="1"/>
    <col min="5897" max="5897" width="14" style="417" customWidth="1"/>
    <col min="5898" max="5898" width="11.6640625" style="417" customWidth="1"/>
    <col min="5899" max="5899" width="13.5546875" style="417" bestFit="1" customWidth="1"/>
    <col min="5900" max="6144" width="9" style="417"/>
    <col min="6145" max="6145" width="8.33203125" style="417" customWidth="1"/>
    <col min="6146" max="6146" width="44.5546875" style="417" customWidth="1"/>
    <col min="6147" max="6147" width="7.44140625" style="417" customWidth="1"/>
    <col min="6148" max="6148" width="13" style="417" customWidth="1"/>
    <col min="6149" max="6149" width="11.6640625" style="417" customWidth="1"/>
    <col min="6150" max="6150" width="10.5546875" style="417" customWidth="1"/>
    <col min="6151" max="6151" width="14.44140625" style="417" customWidth="1"/>
    <col min="6152" max="6152" width="35.44140625" style="417" customWidth="1"/>
    <col min="6153" max="6153" width="14" style="417" customWidth="1"/>
    <col min="6154" max="6154" width="11.6640625" style="417" customWidth="1"/>
    <col min="6155" max="6155" width="13.5546875" style="417" bestFit="1" customWidth="1"/>
    <col min="6156" max="6400" width="9" style="417"/>
    <col min="6401" max="6401" width="8.33203125" style="417" customWidth="1"/>
    <col min="6402" max="6402" width="44.5546875" style="417" customWidth="1"/>
    <col min="6403" max="6403" width="7.44140625" style="417" customWidth="1"/>
    <col min="6404" max="6404" width="13" style="417" customWidth="1"/>
    <col min="6405" max="6405" width="11.6640625" style="417" customWidth="1"/>
    <col min="6406" max="6406" width="10.5546875" style="417" customWidth="1"/>
    <col min="6407" max="6407" width="14.44140625" style="417" customWidth="1"/>
    <col min="6408" max="6408" width="35.44140625" style="417" customWidth="1"/>
    <col min="6409" max="6409" width="14" style="417" customWidth="1"/>
    <col min="6410" max="6410" width="11.6640625" style="417" customWidth="1"/>
    <col min="6411" max="6411" width="13.5546875" style="417" bestFit="1" customWidth="1"/>
    <col min="6412" max="6656" width="9" style="417"/>
    <col min="6657" max="6657" width="8.33203125" style="417" customWidth="1"/>
    <col min="6658" max="6658" width="44.5546875" style="417" customWidth="1"/>
    <col min="6659" max="6659" width="7.44140625" style="417" customWidth="1"/>
    <col min="6660" max="6660" width="13" style="417" customWidth="1"/>
    <col min="6661" max="6661" width="11.6640625" style="417" customWidth="1"/>
    <col min="6662" max="6662" width="10.5546875" style="417" customWidth="1"/>
    <col min="6663" max="6663" width="14.44140625" style="417" customWidth="1"/>
    <col min="6664" max="6664" width="35.44140625" style="417" customWidth="1"/>
    <col min="6665" max="6665" width="14" style="417" customWidth="1"/>
    <col min="6666" max="6666" width="11.6640625" style="417" customWidth="1"/>
    <col min="6667" max="6667" width="13.5546875" style="417" bestFit="1" customWidth="1"/>
    <col min="6668" max="6912" width="9" style="417"/>
    <col min="6913" max="6913" width="8.33203125" style="417" customWidth="1"/>
    <col min="6914" max="6914" width="44.5546875" style="417" customWidth="1"/>
    <col min="6915" max="6915" width="7.44140625" style="417" customWidth="1"/>
    <col min="6916" max="6916" width="13" style="417" customWidth="1"/>
    <col min="6917" max="6917" width="11.6640625" style="417" customWidth="1"/>
    <col min="6918" max="6918" width="10.5546875" style="417" customWidth="1"/>
    <col min="6919" max="6919" width="14.44140625" style="417" customWidth="1"/>
    <col min="6920" max="6920" width="35.44140625" style="417" customWidth="1"/>
    <col min="6921" max="6921" width="14" style="417" customWidth="1"/>
    <col min="6922" max="6922" width="11.6640625" style="417" customWidth="1"/>
    <col min="6923" max="6923" width="13.5546875" style="417" bestFit="1" customWidth="1"/>
    <col min="6924" max="7168" width="9" style="417"/>
    <col min="7169" max="7169" width="8.33203125" style="417" customWidth="1"/>
    <col min="7170" max="7170" width="44.5546875" style="417" customWidth="1"/>
    <col min="7171" max="7171" width="7.44140625" style="417" customWidth="1"/>
    <col min="7172" max="7172" width="13" style="417" customWidth="1"/>
    <col min="7173" max="7173" width="11.6640625" style="417" customWidth="1"/>
    <col min="7174" max="7174" width="10.5546875" style="417" customWidth="1"/>
    <col min="7175" max="7175" width="14.44140625" style="417" customWidth="1"/>
    <col min="7176" max="7176" width="35.44140625" style="417" customWidth="1"/>
    <col min="7177" max="7177" width="14" style="417" customWidth="1"/>
    <col min="7178" max="7178" width="11.6640625" style="417" customWidth="1"/>
    <col min="7179" max="7179" width="13.5546875" style="417" bestFit="1" customWidth="1"/>
    <col min="7180" max="7424" width="9" style="417"/>
    <col min="7425" max="7425" width="8.33203125" style="417" customWidth="1"/>
    <col min="7426" max="7426" width="44.5546875" style="417" customWidth="1"/>
    <col min="7427" max="7427" width="7.44140625" style="417" customWidth="1"/>
    <col min="7428" max="7428" width="13" style="417" customWidth="1"/>
    <col min="7429" max="7429" width="11.6640625" style="417" customWidth="1"/>
    <col min="7430" max="7430" width="10.5546875" style="417" customWidth="1"/>
    <col min="7431" max="7431" width="14.44140625" style="417" customWidth="1"/>
    <col min="7432" max="7432" width="35.44140625" style="417" customWidth="1"/>
    <col min="7433" max="7433" width="14" style="417" customWidth="1"/>
    <col min="7434" max="7434" width="11.6640625" style="417" customWidth="1"/>
    <col min="7435" max="7435" width="13.5546875" style="417" bestFit="1" customWidth="1"/>
    <col min="7436" max="7680" width="9" style="417"/>
    <col min="7681" max="7681" width="8.33203125" style="417" customWidth="1"/>
    <col min="7682" max="7682" width="44.5546875" style="417" customWidth="1"/>
    <col min="7683" max="7683" width="7.44140625" style="417" customWidth="1"/>
    <col min="7684" max="7684" width="13" style="417" customWidth="1"/>
    <col min="7685" max="7685" width="11.6640625" style="417" customWidth="1"/>
    <col min="7686" max="7686" width="10.5546875" style="417" customWidth="1"/>
    <col min="7687" max="7687" width="14.44140625" style="417" customWidth="1"/>
    <col min="7688" max="7688" width="35.44140625" style="417" customWidth="1"/>
    <col min="7689" max="7689" width="14" style="417" customWidth="1"/>
    <col min="7690" max="7690" width="11.6640625" style="417" customWidth="1"/>
    <col min="7691" max="7691" width="13.5546875" style="417" bestFit="1" customWidth="1"/>
    <col min="7692" max="7936" width="9" style="417"/>
    <col min="7937" max="7937" width="8.33203125" style="417" customWidth="1"/>
    <col min="7938" max="7938" width="44.5546875" style="417" customWidth="1"/>
    <col min="7939" max="7939" width="7.44140625" style="417" customWidth="1"/>
    <col min="7940" max="7940" width="13" style="417" customWidth="1"/>
    <col min="7941" max="7941" width="11.6640625" style="417" customWidth="1"/>
    <col min="7942" max="7942" width="10.5546875" style="417" customWidth="1"/>
    <col min="7943" max="7943" width="14.44140625" style="417" customWidth="1"/>
    <col min="7944" max="7944" width="35.44140625" style="417" customWidth="1"/>
    <col min="7945" max="7945" width="14" style="417" customWidth="1"/>
    <col min="7946" max="7946" width="11.6640625" style="417" customWidth="1"/>
    <col min="7947" max="7947" width="13.5546875" style="417" bestFit="1" customWidth="1"/>
    <col min="7948" max="8192" width="9" style="417"/>
    <col min="8193" max="8193" width="8.33203125" style="417" customWidth="1"/>
    <col min="8194" max="8194" width="44.5546875" style="417" customWidth="1"/>
    <col min="8195" max="8195" width="7.44140625" style="417" customWidth="1"/>
    <col min="8196" max="8196" width="13" style="417" customWidth="1"/>
    <col min="8197" max="8197" width="11.6640625" style="417" customWidth="1"/>
    <col min="8198" max="8198" width="10.5546875" style="417" customWidth="1"/>
    <col min="8199" max="8199" width="14.44140625" style="417" customWidth="1"/>
    <col min="8200" max="8200" width="35.44140625" style="417" customWidth="1"/>
    <col min="8201" max="8201" width="14" style="417" customWidth="1"/>
    <col min="8202" max="8202" width="11.6640625" style="417" customWidth="1"/>
    <col min="8203" max="8203" width="13.5546875" style="417" bestFit="1" customWidth="1"/>
    <col min="8204" max="8448" width="9" style="417"/>
    <col min="8449" max="8449" width="8.33203125" style="417" customWidth="1"/>
    <col min="8450" max="8450" width="44.5546875" style="417" customWidth="1"/>
    <col min="8451" max="8451" width="7.44140625" style="417" customWidth="1"/>
    <col min="8452" max="8452" width="13" style="417" customWidth="1"/>
    <col min="8453" max="8453" width="11.6640625" style="417" customWidth="1"/>
    <col min="8454" max="8454" width="10.5546875" style="417" customWidth="1"/>
    <col min="8455" max="8455" width="14.44140625" style="417" customWidth="1"/>
    <col min="8456" max="8456" width="35.44140625" style="417" customWidth="1"/>
    <col min="8457" max="8457" width="14" style="417" customWidth="1"/>
    <col min="8458" max="8458" width="11.6640625" style="417" customWidth="1"/>
    <col min="8459" max="8459" width="13.5546875" style="417" bestFit="1" customWidth="1"/>
    <col min="8460" max="8704" width="9" style="417"/>
    <col min="8705" max="8705" width="8.33203125" style="417" customWidth="1"/>
    <col min="8706" max="8706" width="44.5546875" style="417" customWidth="1"/>
    <col min="8707" max="8707" width="7.44140625" style="417" customWidth="1"/>
    <col min="8708" max="8708" width="13" style="417" customWidth="1"/>
    <col min="8709" max="8709" width="11.6640625" style="417" customWidth="1"/>
    <col min="8710" max="8710" width="10.5546875" style="417" customWidth="1"/>
    <col min="8711" max="8711" width="14.44140625" style="417" customWidth="1"/>
    <col min="8712" max="8712" width="35.44140625" style="417" customWidth="1"/>
    <col min="8713" max="8713" width="14" style="417" customWidth="1"/>
    <col min="8714" max="8714" width="11.6640625" style="417" customWidth="1"/>
    <col min="8715" max="8715" width="13.5546875" style="417" bestFit="1" customWidth="1"/>
    <col min="8716" max="8960" width="9" style="417"/>
    <col min="8961" max="8961" width="8.33203125" style="417" customWidth="1"/>
    <col min="8962" max="8962" width="44.5546875" style="417" customWidth="1"/>
    <col min="8963" max="8963" width="7.44140625" style="417" customWidth="1"/>
    <col min="8964" max="8964" width="13" style="417" customWidth="1"/>
    <col min="8965" max="8965" width="11.6640625" style="417" customWidth="1"/>
    <col min="8966" max="8966" width="10.5546875" style="417" customWidth="1"/>
    <col min="8967" max="8967" width="14.44140625" style="417" customWidth="1"/>
    <col min="8968" max="8968" width="35.44140625" style="417" customWidth="1"/>
    <col min="8969" max="8969" width="14" style="417" customWidth="1"/>
    <col min="8970" max="8970" width="11.6640625" style="417" customWidth="1"/>
    <col min="8971" max="8971" width="13.5546875" style="417" bestFit="1" customWidth="1"/>
    <col min="8972" max="9216" width="9" style="417"/>
    <col min="9217" max="9217" width="8.33203125" style="417" customWidth="1"/>
    <col min="9218" max="9218" width="44.5546875" style="417" customWidth="1"/>
    <col min="9219" max="9219" width="7.44140625" style="417" customWidth="1"/>
    <col min="9220" max="9220" width="13" style="417" customWidth="1"/>
    <col min="9221" max="9221" width="11.6640625" style="417" customWidth="1"/>
    <col min="9222" max="9222" width="10.5546875" style="417" customWidth="1"/>
    <col min="9223" max="9223" width="14.44140625" style="417" customWidth="1"/>
    <col min="9224" max="9224" width="35.44140625" style="417" customWidth="1"/>
    <col min="9225" max="9225" width="14" style="417" customWidth="1"/>
    <col min="9226" max="9226" width="11.6640625" style="417" customWidth="1"/>
    <col min="9227" max="9227" width="13.5546875" style="417" bestFit="1" customWidth="1"/>
    <col min="9228" max="9472" width="9" style="417"/>
    <col min="9473" max="9473" width="8.33203125" style="417" customWidth="1"/>
    <col min="9474" max="9474" width="44.5546875" style="417" customWidth="1"/>
    <col min="9475" max="9475" width="7.44140625" style="417" customWidth="1"/>
    <col min="9476" max="9476" width="13" style="417" customWidth="1"/>
    <col min="9477" max="9477" width="11.6640625" style="417" customWidth="1"/>
    <col min="9478" max="9478" width="10.5546875" style="417" customWidth="1"/>
    <col min="9479" max="9479" width="14.44140625" style="417" customWidth="1"/>
    <col min="9480" max="9480" width="35.44140625" style="417" customWidth="1"/>
    <col min="9481" max="9481" width="14" style="417" customWidth="1"/>
    <col min="9482" max="9482" width="11.6640625" style="417" customWidth="1"/>
    <col min="9483" max="9483" width="13.5546875" style="417" bestFit="1" customWidth="1"/>
    <col min="9484" max="9728" width="9" style="417"/>
    <col min="9729" max="9729" width="8.33203125" style="417" customWidth="1"/>
    <col min="9730" max="9730" width="44.5546875" style="417" customWidth="1"/>
    <col min="9731" max="9731" width="7.44140625" style="417" customWidth="1"/>
    <col min="9732" max="9732" width="13" style="417" customWidth="1"/>
    <col min="9733" max="9733" width="11.6640625" style="417" customWidth="1"/>
    <col min="9734" max="9734" width="10.5546875" style="417" customWidth="1"/>
    <col min="9735" max="9735" width="14.44140625" style="417" customWidth="1"/>
    <col min="9736" max="9736" width="35.44140625" style="417" customWidth="1"/>
    <col min="9737" max="9737" width="14" style="417" customWidth="1"/>
    <col min="9738" max="9738" width="11.6640625" style="417" customWidth="1"/>
    <col min="9739" max="9739" width="13.5546875" style="417" bestFit="1" customWidth="1"/>
    <col min="9740" max="9984" width="9" style="417"/>
    <col min="9985" max="9985" width="8.33203125" style="417" customWidth="1"/>
    <col min="9986" max="9986" width="44.5546875" style="417" customWidth="1"/>
    <col min="9987" max="9987" width="7.44140625" style="417" customWidth="1"/>
    <col min="9988" max="9988" width="13" style="417" customWidth="1"/>
    <col min="9989" max="9989" width="11.6640625" style="417" customWidth="1"/>
    <col min="9990" max="9990" width="10.5546875" style="417" customWidth="1"/>
    <col min="9991" max="9991" width="14.44140625" style="417" customWidth="1"/>
    <col min="9992" max="9992" width="35.44140625" style="417" customWidth="1"/>
    <col min="9993" max="9993" width="14" style="417" customWidth="1"/>
    <col min="9994" max="9994" width="11.6640625" style="417" customWidth="1"/>
    <col min="9995" max="9995" width="13.5546875" style="417" bestFit="1" customWidth="1"/>
    <col min="9996" max="10240" width="9" style="417"/>
    <col min="10241" max="10241" width="8.33203125" style="417" customWidth="1"/>
    <col min="10242" max="10242" width="44.5546875" style="417" customWidth="1"/>
    <col min="10243" max="10243" width="7.44140625" style="417" customWidth="1"/>
    <col min="10244" max="10244" width="13" style="417" customWidth="1"/>
    <col min="10245" max="10245" width="11.6640625" style="417" customWidth="1"/>
    <col min="10246" max="10246" width="10.5546875" style="417" customWidth="1"/>
    <col min="10247" max="10247" width="14.44140625" style="417" customWidth="1"/>
    <col min="10248" max="10248" width="35.44140625" style="417" customWidth="1"/>
    <col min="10249" max="10249" width="14" style="417" customWidth="1"/>
    <col min="10250" max="10250" width="11.6640625" style="417" customWidth="1"/>
    <col min="10251" max="10251" width="13.5546875" style="417" bestFit="1" customWidth="1"/>
    <col min="10252" max="10496" width="9" style="417"/>
    <col min="10497" max="10497" width="8.33203125" style="417" customWidth="1"/>
    <col min="10498" max="10498" width="44.5546875" style="417" customWidth="1"/>
    <col min="10499" max="10499" width="7.44140625" style="417" customWidth="1"/>
    <col min="10500" max="10500" width="13" style="417" customWidth="1"/>
    <col min="10501" max="10501" width="11.6640625" style="417" customWidth="1"/>
    <col min="10502" max="10502" width="10.5546875" style="417" customWidth="1"/>
    <col min="10503" max="10503" width="14.44140625" style="417" customWidth="1"/>
    <col min="10504" max="10504" width="35.44140625" style="417" customWidth="1"/>
    <col min="10505" max="10505" width="14" style="417" customWidth="1"/>
    <col min="10506" max="10506" width="11.6640625" style="417" customWidth="1"/>
    <col min="10507" max="10507" width="13.5546875" style="417" bestFit="1" customWidth="1"/>
    <col min="10508" max="10752" width="9" style="417"/>
    <col min="10753" max="10753" width="8.33203125" style="417" customWidth="1"/>
    <col min="10754" max="10754" width="44.5546875" style="417" customWidth="1"/>
    <col min="10755" max="10755" width="7.44140625" style="417" customWidth="1"/>
    <col min="10756" max="10756" width="13" style="417" customWidth="1"/>
    <col min="10757" max="10757" width="11.6640625" style="417" customWidth="1"/>
    <col min="10758" max="10758" width="10.5546875" style="417" customWidth="1"/>
    <col min="10759" max="10759" width="14.44140625" style="417" customWidth="1"/>
    <col min="10760" max="10760" width="35.44140625" style="417" customWidth="1"/>
    <col min="10761" max="10761" width="14" style="417" customWidth="1"/>
    <col min="10762" max="10762" width="11.6640625" style="417" customWidth="1"/>
    <col min="10763" max="10763" width="13.5546875" style="417" bestFit="1" customWidth="1"/>
    <col min="10764" max="11008" width="9" style="417"/>
    <col min="11009" max="11009" width="8.33203125" style="417" customWidth="1"/>
    <col min="11010" max="11010" width="44.5546875" style="417" customWidth="1"/>
    <col min="11011" max="11011" width="7.44140625" style="417" customWidth="1"/>
    <col min="11012" max="11012" width="13" style="417" customWidth="1"/>
    <col min="11013" max="11013" width="11.6640625" style="417" customWidth="1"/>
    <col min="11014" max="11014" width="10.5546875" style="417" customWidth="1"/>
    <col min="11015" max="11015" width="14.44140625" style="417" customWidth="1"/>
    <col min="11016" max="11016" width="35.44140625" style="417" customWidth="1"/>
    <col min="11017" max="11017" width="14" style="417" customWidth="1"/>
    <col min="11018" max="11018" width="11.6640625" style="417" customWidth="1"/>
    <col min="11019" max="11019" width="13.5546875" style="417" bestFit="1" customWidth="1"/>
    <col min="11020" max="11264" width="9" style="417"/>
    <col min="11265" max="11265" width="8.33203125" style="417" customWidth="1"/>
    <col min="11266" max="11266" width="44.5546875" style="417" customWidth="1"/>
    <col min="11267" max="11267" width="7.44140625" style="417" customWidth="1"/>
    <col min="11268" max="11268" width="13" style="417" customWidth="1"/>
    <col min="11269" max="11269" width="11.6640625" style="417" customWidth="1"/>
    <col min="11270" max="11270" width="10.5546875" style="417" customWidth="1"/>
    <col min="11271" max="11271" width="14.44140625" style="417" customWidth="1"/>
    <col min="11272" max="11272" width="35.44140625" style="417" customWidth="1"/>
    <col min="11273" max="11273" width="14" style="417" customWidth="1"/>
    <col min="11274" max="11274" width="11.6640625" style="417" customWidth="1"/>
    <col min="11275" max="11275" width="13.5546875" style="417" bestFit="1" customWidth="1"/>
    <col min="11276" max="11520" width="9" style="417"/>
    <col min="11521" max="11521" width="8.33203125" style="417" customWidth="1"/>
    <col min="11522" max="11522" width="44.5546875" style="417" customWidth="1"/>
    <col min="11523" max="11523" width="7.44140625" style="417" customWidth="1"/>
    <col min="11524" max="11524" width="13" style="417" customWidth="1"/>
    <col min="11525" max="11525" width="11.6640625" style="417" customWidth="1"/>
    <col min="11526" max="11526" width="10.5546875" style="417" customWidth="1"/>
    <col min="11527" max="11527" width="14.44140625" style="417" customWidth="1"/>
    <col min="11528" max="11528" width="35.44140625" style="417" customWidth="1"/>
    <col min="11529" max="11529" width="14" style="417" customWidth="1"/>
    <col min="11530" max="11530" width="11.6640625" style="417" customWidth="1"/>
    <col min="11531" max="11531" width="13.5546875" style="417" bestFit="1" customWidth="1"/>
    <col min="11532" max="11776" width="9" style="417"/>
    <col min="11777" max="11777" width="8.33203125" style="417" customWidth="1"/>
    <col min="11778" max="11778" width="44.5546875" style="417" customWidth="1"/>
    <col min="11779" max="11779" width="7.44140625" style="417" customWidth="1"/>
    <col min="11780" max="11780" width="13" style="417" customWidth="1"/>
    <col min="11781" max="11781" width="11.6640625" style="417" customWidth="1"/>
    <col min="11782" max="11782" width="10.5546875" style="417" customWidth="1"/>
    <col min="11783" max="11783" width="14.44140625" style="417" customWidth="1"/>
    <col min="11784" max="11784" width="35.44140625" style="417" customWidth="1"/>
    <col min="11785" max="11785" width="14" style="417" customWidth="1"/>
    <col min="11786" max="11786" width="11.6640625" style="417" customWidth="1"/>
    <col min="11787" max="11787" width="13.5546875" style="417" bestFit="1" customWidth="1"/>
    <col min="11788" max="12032" width="9" style="417"/>
    <col min="12033" max="12033" width="8.33203125" style="417" customWidth="1"/>
    <col min="12034" max="12034" width="44.5546875" style="417" customWidth="1"/>
    <col min="12035" max="12035" width="7.44140625" style="417" customWidth="1"/>
    <col min="12036" max="12036" width="13" style="417" customWidth="1"/>
    <col min="12037" max="12037" width="11.6640625" style="417" customWidth="1"/>
    <col min="12038" max="12038" width="10.5546875" style="417" customWidth="1"/>
    <col min="12039" max="12039" width="14.44140625" style="417" customWidth="1"/>
    <col min="12040" max="12040" width="35.44140625" style="417" customWidth="1"/>
    <col min="12041" max="12041" width="14" style="417" customWidth="1"/>
    <col min="12042" max="12042" width="11.6640625" style="417" customWidth="1"/>
    <col min="12043" max="12043" width="13.5546875" style="417" bestFit="1" customWidth="1"/>
    <col min="12044" max="12288" width="9" style="417"/>
    <col min="12289" max="12289" width="8.33203125" style="417" customWidth="1"/>
    <col min="12290" max="12290" width="44.5546875" style="417" customWidth="1"/>
    <col min="12291" max="12291" width="7.44140625" style="417" customWidth="1"/>
    <col min="12292" max="12292" width="13" style="417" customWidth="1"/>
    <col min="12293" max="12293" width="11.6640625" style="417" customWidth="1"/>
    <col min="12294" max="12294" width="10.5546875" style="417" customWidth="1"/>
    <col min="12295" max="12295" width="14.44140625" style="417" customWidth="1"/>
    <col min="12296" max="12296" width="35.44140625" style="417" customWidth="1"/>
    <col min="12297" max="12297" width="14" style="417" customWidth="1"/>
    <col min="12298" max="12298" width="11.6640625" style="417" customWidth="1"/>
    <col min="12299" max="12299" width="13.5546875" style="417" bestFit="1" customWidth="1"/>
    <col min="12300" max="12544" width="9" style="417"/>
    <col min="12545" max="12545" width="8.33203125" style="417" customWidth="1"/>
    <col min="12546" max="12546" width="44.5546875" style="417" customWidth="1"/>
    <col min="12547" max="12547" width="7.44140625" style="417" customWidth="1"/>
    <col min="12548" max="12548" width="13" style="417" customWidth="1"/>
    <col min="12549" max="12549" width="11.6640625" style="417" customWidth="1"/>
    <col min="12550" max="12550" width="10.5546875" style="417" customWidth="1"/>
    <col min="12551" max="12551" width="14.44140625" style="417" customWidth="1"/>
    <col min="12552" max="12552" width="35.44140625" style="417" customWidth="1"/>
    <col min="12553" max="12553" width="14" style="417" customWidth="1"/>
    <col min="12554" max="12554" width="11.6640625" style="417" customWidth="1"/>
    <col min="12555" max="12555" width="13.5546875" style="417" bestFit="1" customWidth="1"/>
    <col min="12556" max="12800" width="9" style="417"/>
    <col min="12801" max="12801" width="8.33203125" style="417" customWidth="1"/>
    <col min="12802" max="12802" width="44.5546875" style="417" customWidth="1"/>
    <col min="12803" max="12803" width="7.44140625" style="417" customWidth="1"/>
    <col min="12804" max="12804" width="13" style="417" customWidth="1"/>
    <col min="12805" max="12805" width="11.6640625" style="417" customWidth="1"/>
    <col min="12806" max="12806" width="10.5546875" style="417" customWidth="1"/>
    <col min="12807" max="12807" width="14.44140625" style="417" customWidth="1"/>
    <col min="12808" max="12808" width="35.44140625" style="417" customWidth="1"/>
    <col min="12809" max="12809" width="14" style="417" customWidth="1"/>
    <col min="12810" max="12810" width="11.6640625" style="417" customWidth="1"/>
    <col min="12811" max="12811" width="13.5546875" style="417" bestFit="1" customWidth="1"/>
    <col min="12812" max="13056" width="9" style="417"/>
    <col min="13057" max="13057" width="8.33203125" style="417" customWidth="1"/>
    <col min="13058" max="13058" width="44.5546875" style="417" customWidth="1"/>
    <col min="13059" max="13059" width="7.44140625" style="417" customWidth="1"/>
    <col min="13060" max="13060" width="13" style="417" customWidth="1"/>
    <col min="13061" max="13061" width="11.6640625" style="417" customWidth="1"/>
    <col min="13062" max="13062" width="10.5546875" style="417" customWidth="1"/>
    <col min="13063" max="13063" width="14.44140625" style="417" customWidth="1"/>
    <col min="13064" max="13064" width="35.44140625" style="417" customWidth="1"/>
    <col min="13065" max="13065" width="14" style="417" customWidth="1"/>
    <col min="13066" max="13066" width="11.6640625" style="417" customWidth="1"/>
    <col min="13067" max="13067" width="13.5546875" style="417" bestFit="1" customWidth="1"/>
    <col min="13068" max="13312" width="9" style="417"/>
    <col min="13313" max="13313" width="8.33203125" style="417" customWidth="1"/>
    <col min="13314" max="13314" width="44.5546875" style="417" customWidth="1"/>
    <col min="13315" max="13315" width="7.44140625" style="417" customWidth="1"/>
    <col min="13316" max="13316" width="13" style="417" customWidth="1"/>
    <col min="13317" max="13317" width="11.6640625" style="417" customWidth="1"/>
    <col min="13318" max="13318" width="10.5546875" style="417" customWidth="1"/>
    <col min="13319" max="13319" width="14.44140625" style="417" customWidth="1"/>
    <col min="13320" max="13320" width="35.44140625" style="417" customWidth="1"/>
    <col min="13321" max="13321" width="14" style="417" customWidth="1"/>
    <col min="13322" max="13322" width="11.6640625" style="417" customWidth="1"/>
    <col min="13323" max="13323" width="13.5546875" style="417" bestFit="1" customWidth="1"/>
    <col min="13324" max="13568" width="9" style="417"/>
    <col min="13569" max="13569" width="8.33203125" style="417" customWidth="1"/>
    <col min="13570" max="13570" width="44.5546875" style="417" customWidth="1"/>
    <col min="13571" max="13571" width="7.44140625" style="417" customWidth="1"/>
    <col min="13572" max="13572" width="13" style="417" customWidth="1"/>
    <col min="13573" max="13573" width="11.6640625" style="417" customWidth="1"/>
    <col min="13574" max="13574" width="10.5546875" style="417" customWidth="1"/>
    <col min="13575" max="13575" width="14.44140625" style="417" customWidth="1"/>
    <col min="13576" max="13576" width="35.44140625" style="417" customWidth="1"/>
    <col min="13577" max="13577" width="14" style="417" customWidth="1"/>
    <col min="13578" max="13578" width="11.6640625" style="417" customWidth="1"/>
    <col min="13579" max="13579" width="13.5546875" style="417" bestFit="1" customWidth="1"/>
    <col min="13580" max="13824" width="9" style="417"/>
    <col min="13825" max="13825" width="8.33203125" style="417" customWidth="1"/>
    <col min="13826" max="13826" width="44.5546875" style="417" customWidth="1"/>
    <col min="13827" max="13827" width="7.44140625" style="417" customWidth="1"/>
    <col min="13828" max="13828" width="13" style="417" customWidth="1"/>
    <col min="13829" max="13829" width="11.6640625" style="417" customWidth="1"/>
    <col min="13830" max="13830" width="10.5546875" style="417" customWidth="1"/>
    <col min="13831" max="13831" width="14.44140625" style="417" customWidth="1"/>
    <col min="13832" max="13832" width="35.44140625" style="417" customWidth="1"/>
    <col min="13833" max="13833" width="14" style="417" customWidth="1"/>
    <col min="13834" max="13834" width="11.6640625" style="417" customWidth="1"/>
    <col min="13835" max="13835" width="13.5546875" style="417" bestFit="1" customWidth="1"/>
    <col min="13836" max="14080" width="9" style="417"/>
    <col min="14081" max="14081" width="8.33203125" style="417" customWidth="1"/>
    <col min="14082" max="14082" width="44.5546875" style="417" customWidth="1"/>
    <col min="14083" max="14083" width="7.44140625" style="417" customWidth="1"/>
    <col min="14084" max="14084" width="13" style="417" customWidth="1"/>
    <col min="14085" max="14085" width="11.6640625" style="417" customWidth="1"/>
    <col min="14086" max="14086" width="10.5546875" style="417" customWidth="1"/>
    <col min="14087" max="14087" width="14.44140625" style="417" customWidth="1"/>
    <col min="14088" max="14088" width="35.44140625" style="417" customWidth="1"/>
    <col min="14089" max="14089" width="14" style="417" customWidth="1"/>
    <col min="14090" max="14090" width="11.6640625" style="417" customWidth="1"/>
    <col min="14091" max="14091" width="13.5546875" style="417" bestFit="1" customWidth="1"/>
    <col min="14092" max="14336" width="9" style="417"/>
    <col min="14337" max="14337" width="8.33203125" style="417" customWidth="1"/>
    <col min="14338" max="14338" width="44.5546875" style="417" customWidth="1"/>
    <col min="14339" max="14339" width="7.44140625" style="417" customWidth="1"/>
    <col min="14340" max="14340" width="13" style="417" customWidth="1"/>
    <col min="14341" max="14341" width="11.6640625" style="417" customWidth="1"/>
    <col min="14342" max="14342" width="10.5546875" style="417" customWidth="1"/>
    <col min="14343" max="14343" width="14.44140625" style="417" customWidth="1"/>
    <col min="14344" max="14344" width="35.44140625" style="417" customWidth="1"/>
    <col min="14345" max="14345" width="14" style="417" customWidth="1"/>
    <col min="14346" max="14346" width="11.6640625" style="417" customWidth="1"/>
    <col min="14347" max="14347" width="13.5546875" style="417" bestFit="1" customWidth="1"/>
    <col min="14348" max="14592" width="9" style="417"/>
    <col min="14593" max="14593" width="8.33203125" style="417" customWidth="1"/>
    <col min="14594" max="14594" width="44.5546875" style="417" customWidth="1"/>
    <col min="14595" max="14595" width="7.44140625" style="417" customWidth="1"/>
    <col min="14596" max="14596" width="13" style="417" customWidth="1"/>
    <col min="14597" max="14597" width="11.6640625" style="417" customWidth="1"/>
    <col min="14598" max="14598" width="10.5546875" style="417" customWidth="1"/>
    <col min="14599" max="14599" width="14.44140625" style="417" customWidth="1"/>
    <col min="14600" max="14600" width="35.44140625" style="417" customWidth="1"/>
    <col min="14601" max="14601" width="14" style="417" customWidth="1"/>
    <col min="14602" max="14602" width="11.6640625" style="417" customWidth="1"/>
    <col min="14603" max="14603" width="13.5546875" style="417" bestFit="1" customWidth="1"/>
    <col min="14604" max="14848" width="9" style="417"/>
    <col min="14849" max="14849" width="8.33203125" style="417" customWidth="1"/>
    <col min="14850" max="14850" width="44.5546875" style="417" customWidth="1"/>
    <col min="14851" max="14851" width="7.44140625" style="417" customWidth="1"/>
    <col min="14852" max="14852" width="13" style="417" customWidth="1"/>
    <col min="14853" max="14853" width="11.6640625" style="417" customWidth="1"/>
    <col min="14854" max="14854" width="10.5546875" style="417" customWidth="1"/>
    <col min="14855" max="14855" width="14.44140625" style="417" customWidth="1"/>
    <col min="14856" max="14856" width="35.44140625" style="417" customWidth="1"/>
    <col min="14857" max="14857" width="14" style="417" customWidth="1"/>
    <col min="14858" max="14858" width="11.6640625" style="417" customWidth="1"/>
    <col min="14859" max="14859" width="13.5546875" style="417" bestFit="1" customWidth="1"/>
    <col min="14860" max="15104" width="9" style="417"/>
    <col min="15105" max="15105" width="8.33203125" style="417" customWidth="1"/>
    <col min="15106" max="15106" width="44.5546875" style="417" customWidth="1"/>
    <col min="15107" max="15107" width="7.44140625" style="417" customWidth="1"/>
    <col min="15108" max="15108" width="13" style="417" customWidth="1"/>
    <col min="15109" max="15109" width="11.6640625" style="417" customWidth="1"/>
    <col min="15110" max="15110" width="10.5546875" style="417" customWidth="1"/>
    <col min="15111" max="15111" width="14.44140625" style="417" customWidth="1"/>
    <col min="15112" max="15112" width="35.44140625" style="417" customWidth="1"/>
    <col min="15113" max="15113" width="14" style="417" customWidth="1"/>
    <col min="15114" max="15114" width="11.6640625" style="417" customWidth="1"/>
    <col min="15115" max="15115" width="13.5546875" style="417" bestFit="1" customWidth="1"/>
    <col min="15116" max="15360" width="9" style="417"/>
    <col min="15361" max="15361" width="8.33203125" style="417" customWidth="1"/>
    <col min="15362" max="15362" width="44.5546875" style="417" customWidth="1"/>
    <col min="15363" max="15363" width="7.44140625" style="417" customWidth="1"/>
    <col min="15364" max="15364" width="13" style="417" customWidth="1"/>
    <col min="15365" max="15365" width="11.6640625" style="417" customWidth="1"/>
    <col min="15366" max="15366" width="10.5546875" style="417" customWidth="1"/>
    <col min="15367" max="15367" width="14.44140625" style="417" customWidth="1"/>
    <col min="15368" max="15368" width="35.44140625" style="417" customWidth="1"/>
    <col min="15369" max="15369" width="14" style="417" customWidth="1"/>
    <col min="15370" max="15370" width="11.6640625" style="417" customWidth="1"/>
    <col min="15371" max="15371" width="13.5546875" style="417" bestFit="1" customWidth="1"/>
    <col min="15372" max="15616" width="9" style="417"/>
    <col min="15617" max="15617" width="8.33203125" style="417" customWidth="1"/>
    <col min="15618" max="15618" width="44.5546875" style="417" customWidth="1"/>
    <col min="15619" max="15619" width="7.44140625" style="417" customWidth="1"/>
    <col min="15620" max="15620" width="13" style="417" customWidth="1"/>
    <col min="15621" max="15621" width="11.6640625" style="417" customWidth="1"/>
    <col min="15622" max="15622" width="10.5546875" style="417" customWidth="1"/>
    <col min="15623" max="15623" width="14.44140625" style="417" customWidth="1"/>
    <col min="15624" max="15624" width="35.44140625" style="417" customWidth="1"/>
    <col min="15625" max="15625" width="14" style="417" customWidth="1"/>
    <col min="15626" max="15626" width="11.6640625" style="417" customWidth="1"/>
    <col min="15627" max="15627" width="13.5546875" style="417" bestFit="1" customWidth="1"/>
    <col min="15628" max="15872" width="9" style="417"/>
    <col min="15873" max="15873" width="8.33203125" style="417" customWidth="1"/>
    <col min="15874" max="15874" width="44.5546875" style="417" customWidth="1"/>
    <col min="15875" max="15875" width="7.44140625" style="417" customWidth="1"/>
    <col min="15876" max="15876" width="13" style="417" customWidth="1"/>
    <col min="15877" max="15877" width="11.6640625" style="417" customWidth="1"/>
    <col min="15878" max="15878" width="10.5546875" style="417" customWidth="1"/>
    <col min="15879" max="15879" width="14.44140625" style="417" customWidth="1"/>
    <col min="15880" max="15880" width="35.44140625" style="417" customWidth="1"/>
    <col min="15881" max="15881" width="14" style="417" customWidth="1"/>
    <col min="15882" max="15882" width="11.6640625" style="417" customWidth="1"/>
    <col min="15883" max="15883" width="13.5546875" style="417" bestFit="1" customWidth="1"/>
    <col min="15884" max="16128" width="9" style="417"/>
    <col min="16129" max="16129" width="8.33203125" style="417" customWidth="1"/>
    <col min="16130" max="16130" width="44.5546875" style="417" customWidth="1"/>
    <col min="16131" max="16131" width="7.44140625" style="417" customWidth="1"/>
    <col min="16132" max="16132" width="13" style="417" customWidth="1"/>
    <col min="16133" max="16133" width="11.6640625" style="417" customWidth="1"/>
    <col min="16134" max="16134" width="10.5546875" style="417" customWidth="1"/>
    <col min="16135" max="16135" width="14.44140625" style="417" customWidth="1"/>
    <col min="16136" max="16136" width="35.44140625" style="417" customWidth="1"/>
    <col min="16137" max="16137" width="14" style="417" customWidth="1"/>
    <col min="16138" max="16138" width="11.6640625" style="417" customWidth="1"/>
    <col min="16139" max="16139" width="13.5546875" style="417" bestFit="1" customWidth="1"/>
    <col min="16140" max="16384" width="9" style="417"/>
  </cols>
  <sheetData>
    <row r="1" spans="1:12" s="34" customFormat="1" ht="15" customHeight="1" x14ac:dyDescent="0.3">
      <c r="A1" s="463"/>
      <c r="B1" s="427" t="str">
        <f>INSTRUÇÕES!B1</f>
        <v>Tribunal Regional Federal da 6ª Região</v>
      </c>
      <c r="C1" s="464"/>
      <c r="D1" s="464"/>
      <c r="E1" s="464"/>
      <c r="F1" s="465"/>
      <c r="G1" s="464"/>
      <c r="H1" s="466"/>
    </row>
    <row r="2" spans="1:12" s="34" customFormat="1" ht="17.25" customHeight="1" x14ac:dyDescent="0.3">
      <c r="A2" s="467"/>
      <c r="B2" s="265" t="str">
        <f>INSTRUÇÕES!B2</f>
        <v>Seção Judiciária de Minas Gerais</v>
      </c>
      <c r="F2" s="46"/>
      <c r="H2" s="468"/>
    </row>
    <row r="3" spans="1:12" s="34" customFormat="1" ht="16.5" customHeight="1" x14ac:dyDescent="0.3">
      <c r="A3" s="467"/>
      <c r="B3" s="265" t="str">
        <f>INSTRUÇÕES!B3</f>
        <v>Subseção Judiciária de Sete Lagoas</v>
      </c>
      <c r="F3" s="46"/>
      <c r="H3" s="468"/>
    </row>
    <row r="4" spans="1:12" s="34" customFormat="1" ht="27.75" customHeight="1" x14ac:dyDescent="0.3">
      <c r="A4" s="1107" t="s">
        <v>728</v>
      </c>
      <c r="B4" s="1108"/>
      <c r="C4" s="1108"/>
      <c r="D4" s="1108"/>
      <c r="E4" s="1108"/>
      <c r="F4" s="1108"/>
      <c r="G4" s="1108"/>
      <c r="H4" s="1109"/>
      <c r="I4" s="469"/>
      <c r="J4" s="469"/>
    </row>
    <row r="5" spans="1:12" s="580" customFormat="1" ht="24" customHeight="1" x14ac:dyDescent="0.3">
      <c r="A5" s="1110" t="s">
        <v>493</v>
      </c>
      <c r="B5" s="1111"/>
      <c r="C5" s="1111"/>
      <c r="D5" s="1111"/>
      <c r="E5" s="1111"/>
      <c r="F5" s="1111"/>
      <c r="G5" s="1111"/>
      <c r="H5" s="1112"/>
      <c r="K5" s="581"/>
    </row>
    <row r="6" spans="1:12" s="34" customFormat="1" ht="13.8" x14ac:dyDescent="0.3">
      <c r="A6" s="1113" t="s">
        <v>65</v>
      </c>
      <c r="B6" s="1114" t="s">
        <v>494</v>
      </c>
      <c r="C6" s="1114"/>
      <c r="D6" s="1114"/>
      <c r="E6" s="1115" t="s">
        <v>67</v>
      </c>
      <c r="F6" s="1115"/>
      <c r="G6" s="1115"/>
      <c r="H6" s="1116" t="s">
        <v>495</v>
      </c>
      <c r="I6" s="33"/>
      <c r="J6" s="33"/>
    </row>
    <row r="7" spans="1:12" s="34" customFormat="1" ht="13.8" x14ac:dyDescent="0.3">
      <c r="A7" s="1113"/>
      <c r="B7" s="1114"/>
      <c r="C7" s="1114"/>
      <c r="D7" s="1114"/>
      <c r="E7" s="1115"/>
      <c r="F7" s="1115"/>
      <c r="G7" s="1115"/>
      <c r="H7" s="1116"/>
      <c r="I7" s="33"/>
      <c r="J7" s="1117" t="s">
        <v>496</v>
      </c>
      <c r="K7" s="1117"/>
      <c r="L7" s="1117"/>
    </row>
    <row r="8" spans="1:12" s="34" customFormat="1" ht="24" x14ac:dyDescent="0.3">
      <c r="A8" s="1113"/>
      <c r="B8" s="471" t="s">
        <v>70</v>
      </c>
      <c r="C8" s="472" t="s">
        <v>71</v>
      </c>
      <c r="D8" s="472" t="s">
        <v>72</v>
      </c>
      <c r="E8" s="472" t="s">
        <v>75</v>
      </c>
      <c r="F8" s="472" t="s">
        <v>497</v>
      </c>
      <c r="G8" s="472" t="s">
        <v>74</v>
      </c>
      <c r="H8" s="1116"/>
      <c r="I8" s="33"/>
      <c r="J8" s="473" t="s">
        <v>498</v>
      </c>
      <c r="K8" s="474" t="s">
        <v>77</v>
      </c>
      <c r="L8" s="475" t="s">
        <v>499</v>
      </c>
    </row>
    <row r="9" spans="1:12" s="34" customFormat="1" ht="13.8" x14ac:dyDescent="0.3">
      <c r="A9" s="476">
        <v>1</v>
      </c>
      <c r="B9" s="477" t="s">
        <v>86</v>
      </c>
      <c r="C9" s="478" t="s">
        <v>71</v>
      </c>
      <c r="D9" s="478" t="s">
        <v>87</v>
      </c>
      <c r="E9" s="478">
        <f>'Ocorrências Mensais - FAT'!G27</f>
        <v>3</v>
      </c>
      <c r="F9" s="462">
        <v>9.5</v>
      </c>
      <c r="G9" s="495">
        <f>E9*F9</f>
        <v>28.5</v>
      </c>
      <c r="H9" s="497"/>
      <c r="I9" s="33"/>
      <c r="J9" s="479">
        <v>6</v>
      </c>
      <c r="K9" s="66" t="s">
        <v>88</v>
      </c>
      <c r="L9" s="452">
        <f>IF(K9="MENSAL",1,IF(K9="BIMESTRAL",2,IF(K9="TRIMESTRAL",3,IF(K9="QUADRIMESTRAL",4,IF(K9="SEMESTRAL",6,IF(K9="ANUAL",12,IF(K9="BIENAL",24,"")))))))</f>
        <v>2</v>
      </c>
    </row>
    <row r="10" spans="1:12" s="34" customFormat="1" ht="13.8" x14ac:dyDescent="0.3">
      <c r="A10" s="480">
        <v>2</v>
      </c>
      <c r="B10" s="481" t="s">
        <v>89</v>
      </c>
      <c r="C10" s="482" t="s">
        <v>90</v>
      </c>
      <c r="D10" s="94" t="s">
        <v>91</v>
      </c>
      <c r="E10" s="478">
        <f>'Ocorrências Mensais - FAT'!G28</f>
        <v>4</v>
      </c>
      <c r="F10" s="462">
        <v>12.96</v>
      </c>
      <c r="G10" s="495">
        <f t="shared" ref="G10:G47" si="0">E10*F10</f>
        <v>51.84</v>
      </c>
      <c r="H10" s="498"/>
      <c r="I10" s="33"/>
      <c r="J10" s="483">
        <v>8</v>
      </c>
      <c r="K10" s="76" t="s">
        <v>88</v>
      </c>
      <c r="L10" s="452">
        <f t="shared" ref="L10:L47" si="1">IF(K10="MENSAL",1,IF(K10="BIMESTRAL",2,IF(K10="TRIMESTRAL",3,IF(K10="QUADRIMESTRAL",4,IF(K10="SEMESTRAL",6,IF(K10="ANUAL",12,IF(K10="BIENAL",24,"")))))))</f>
        <v>2</v>
      </c>
    </row>
    <row r="11" spans="1:12" s="34" customFormat="1" ht="13.8" x14ac:dyDescent="0.3">
      <c r="A11" s="480">
        <v>3</v>
      </c>
      <c r="B11" s="481" t="s">
        <v>92</v>
      </c>
      <c r="C11" s="482" t="s">
        <v>90</v>
      </c>
      <c r="D11" s="94" t="s">
        <v>93</v>
      </c>
      <c r="E11" s="478">
        <f>'Ocorrências Mensais - FAT'!G29</f>
        <v>6</v>
      </c>
      <c r="F11" s="462">
        <v>46.11</v>
      </c>
      <c r="G11" s="495">
        <f t="shared" si="0"/>
        <v>276.65999999999997</v>
      </c>
      <c r="H11" s="498"/>
      <c r="I11" s="33"/>
      <c r="J11" s="483">
        <v>6</v>
      </c>
      <c r="K11" s="76" t="s">
        <v>94</v>
      </c>
      <c r="L11" s="452">
        <f t="shared" si="1"/>
        <v>1</v>
      </c>
    </row>
    <row r="12" spans="1:12" s="34" customFormat="1" ht="13.8" x14ac:dyDescent="0.3">
      <c r="A12" s="480">
        <v>4</v>
      </c>
      <c r="B12" s="481" t="s">
        <v>95</v>
      </c>
      <c r="C12" s="482" t="s">
        <v>71</v>
      </c>
      <c r="D12" s="94" t="s">
        <v>87</v>
      </c>
      <c r="E12" s="478">
        <f>'Ocorrências Mensais - FAT'!G30</f>
        <v>10</v>
      </c>
      <c r="F12" s="462">
        <v>8.0500000000000007</v>
      </c>
      <c r="G12" s="495">
        <f t="shared" si="0"/>
        <v>80.5</v>
      </c>
      <c r="H12" s="498"/>
      <c r="I12" s="33"/>
      <c r="J12" s="483">
        <v>10</v>
      </c>
      <c r="K12" s="76" t="s">
        <v>94</v>
      </c>
      <c r="L12" s="452">
        <f t="shared" si="1"/>
        <v>1</v>
      </c>
    </row>
    <row r="13" spans="1:12" s="34" customFormat="1" ht="13.8" x14ac:dyDescent="0.3">
      <c r="A13" s="480">
        <v>5</v>
      </c>
      <c r="B13" s="481" t="s">
        <v>96</v>
      </c>
      <c r="C13" s="482" t="s">
        <v>71</v>
      </c>
      <c r="D13" s="94" t="s">
        <v>97</v>
      </c>
      <c r="E13" s="478">
        <f>'Ocorrências Mensais - FAT'!G31</f>
        <v>0.5</v>
      </c>
      <c r="F13" s="462">
        <v>16.63</v>
      </c>
      <c r="G13" s="495">
        <f t="shared" si="0"/>
        <v>8.3149999999999995</v>
      </c>
      <c r="H13" s="498"/>
      <c r="I13" s="33"/>
      <c r="J13" s="483">
        <v>3</v>
      </c>
      <c r="K13" s="76" t="s">
        <v>98</v>
      </c>
      <c r="L13" s="452">
        <f t="shared" si="1"/>
        <v>6</v>
      </c>
    </row>
    <row r="14" spans="1:12" s="34" customFormat="1" ht="13.8" x14ac:dyDescent="0.3">
      <c r="A14" s="480">
        <v>6</v>
      </c>
      <c r="B14" s="481" t="s">
        <v>99</v>
      </c>
      <c r="C14" s="482" t="s">
        <v>71</v>
      </c>
      <c r="D14" s="94" t="s">
        <v>100</v>
      </c>
      <c r="E14" s="478">
        <f>'Ocorrências Mensais - FAT'!G32</f>
        <v>0.5</v>
      </c>
      <c r="F14" s="462">
        <v>10.55</v>
      </c>
      <c r="G14" s="495">
        <f t="shared" si="0"/>
        <v>5.2750000000000004</v>
      </c>
      <c r="H14" s="498"/>
      <c r="I14" s="33"/>
      <c r="J14" s="483">
        <v>3</v>
      </c>
      <c r="K14" s="76" t="s">
        <v>98</v>
      </c>
      <c r="L14" s="452">
        <f t="shared" si="1"/>
        <v>6</v>
      </c>
    </row>
    <row r="15" spans="1:12" s="34" customFormat="1" ht="13.8" x14ac:dyDescent="0.3">
      <c r="A15" s="480">
        <v>7</v>
      </c>
      <c r="B15" s="481" t="s">
        <v>101</v>
      </c>
      <c r="C15" s="482" t="s">
        <v>71</v>
      </c>
      <c r="D15" s="94" t="s">
        <v>102</v>
      </c>
      <c r="E15" s="478">
        <f>'Ocorrências Mensais - FAT'!G33</f>
        <v>10</v>
      </c>
      <c r="F15" s="462">
        <v>11.92</v>
      </c>
      <c r="G15" s="495">
        <f t="shared" si="0"/>
        <v>119.2</v>
      </c>
      <c r="H15" s="498"/>
      <c r="I15" s="33"/>
      <c r="J15" s="483">
        <v>10</v>
      </c>
      <c r="K15" s="76" t="s">
        <v>94</v>
      </c>
      <c r="L15" s="452">
        <f t="shared" si="1"/>
        <v>1</v>
      </c>
    </row>
    <row r="16" spans="1:12" s="34" customFormat="1" ht="13.8" x14ac:dyDescent="0.3">
      <c r="A16" s="480">
        <v>8</v>
      </c>
      <c r="B16" s="481" t="s">
        <v>103</v>
      </c>
      <c r="C16" s="482" t="s">
        <v>71</v>
      </c>
      <c r="D16" s="94" t="s">
        <v>104</v>
      </c>
      <c r="E16" s="478">
        <f>'Ocorrências Mensais - FAT'!G34</f>
        <v>0.33333333333333331</v>
      </c>
      <c r="F16" s="462">
        <v>4.4800000000000004</v>
      </c>
      <c r="G16" s="495">
        <f t="shared" si="0"/>
        <v>1.4933333333333334</v>
      </c>
      <c r="H16" s="498"/>
      <c r="I16" s="33"/>
      <c r="J16" s="483">
        <v>2</v>
      </c>
      <c r="K16" s="76" t="s">
        <v>98</v>
      </c>
      <c r="L16" s="452">
        <f t="shared" si="1"/>
        <v>6</v>
      </c>
    </row>
    <row r="17" spans="1:12" s="34" customFormat="1" ht="13.8" x14ac:dyDescent="0.3">
      <c r="A17" s="480">
        <v>9</v>
      </c>
      <c r="B17" s="481" t="s">
        <v>105</v>
      </c>
      <c r="C17" s="482" t="s">
        <v>71</v>
      </c>
      <c r="D17" s="94" t="s">
        <v>106</v>
      </c>
      <c r="E17" s="478">
        <f>'Ocorrências Mensais - FAT'!G35</f>
        <v>0.33333333333333331</v>
      </c>
      <c r="F17" s="462">
        <v>10.08</v>
      </c>
      <c r="G17" s="495">
        <f t="shared" si="0"/>
        <v>3.36</v>
      </c>
      <c r="H17" s="499"/>
      <c r="I17" s="33"/>
      <c r="J17" s="483">
        <v>2</v>
      </c>
      <c r="K17" s="76" t="s">
        <v>98</v>
      </c>
      <c r="L17" s="452">
        <f t="shared" si="1"/>
        <v>6</v>
      </c>
    </row>
    <row r="18" spans="1:12" s="34" customFormat="1" ht="13.8" x14ac:dyDescent="0.3">
      <c r="A18" s="484">
        <v>10</v>
      </c>
      <c r="B18" s="481" t="s">
        <v>107</v>
      </c>
      <c r="C18" s="482" t="s">
        <v>90</v>
      </c>
      <c r="D18" s="94" t="s">
        <v>108</v>
      </c>
      <c r="E18" s="478">
        <f>'Ocorrências Mensais - FAT'!G36</f>
        <v>4</v>
      </c>
      <c r="F18" s="462">
        <v>31.92</v>
      </c>
      <c r="G18" s="495">
        <f t="shared" si="0"/>
        <v>127.68</v>
      </c>
      <c r="H18" s="499"/>
      <c r="I18" s="33"/>
      <c r="J18" s="483">
        <v>4</v>
      </c>
      <c r="K18" s="76" t="s">
        <v>94</v>
      </c>
      <c r="L18" s="452">
        <f t="shared" si="1"/>
        <v>1</v>
      </c>
    </row>
    <row r="19" spans="1:12" s="34" customFormat="1" ht="13.8" x14ac:dyDescent="0.3">
      <c r="A19" s="480">
        <v>11</v>
      </c>
      <c r="B19" s="481" t="s">
        <v>109</v>
      </c>
      <c r="C19" s="482" t="s">
        <v>71</v>
      </c>
      <c r="D19" s="94" t="s">
        <v>110</v>
      </c>
      <c r="E19" s="478">
        <f>'Ocorrências Mensais - FAT'!G37</f>
        <v>8</v>
      </c>
      <c r="F19" s="462">
        <v>1.82</v>
      </c>
      <c r="G19" s="495">
        <f t="shared" si="0"/>
        <v>14.56</v>
      </c>
      <c r="H19" s="498"/>
      <c r="I19" s="33"/>
      <c r="J19" s="483">
        <v>8</v>
      </c>
      <c r="K19" s="76" t="s">
        <v>94</v>
      </c>
      <c r="L19" s="452">
        <f t="shared" si="1"/>
        <v>1</v>
      </c>
    </row>
    <row r="20" spans="1:12" s="34" customFormat="1" ht="13.8" x14ac:dyDescent="0.3">
      <c r="A20" s="480">
        <v>12</v>
      </c>
      <c r="B20" s="481" t="s">
        <v>111</v>
      </c>
      <c r="C20" s="482" t="s">
        <v>71</v>
      </c>
      <c r="D20" s="94" t="s">
        <v>112</v>
      </c>
      <c r="E20" s="478">
        <f>'Ocorrências Mensais - FAT'!G38</f>
        <v>0.5</v>
      </c>
      <c r="F20" s="462">
        <v>4.63</v>
      </c>
      <c r="G20" s="495">
        <f t="shared" si="0"/>
        <v>2.3149999999999999</v>
      </c>
      <c r="H20" s="498"/>
      <c r="I20" s="33"/>
      <c r="J20" s="483">
        <v>3</v>
      </c>
      <c r="K20" s="76" t="s">
        <v>98</v>
      </c>
      <c r="L20" s="452">
        <f t="shared" si="1"/>
        <v>6</v>
      </c>
    </row>
    <row r="21" spans="1:12" s="34" customFormat="1" ht="13.8" x14ac:dyDescent="0.3">
      <c r="A21" s="484">
        <v>13</v>
      </c>
      <c r="B21" s="481" t="s">
        <v>113</v>
      </c>
      <c r="C21" s="482" t="s">
        <v>71</v>
      </c>
      <c r="D21" s="94" t="s">
        <v>114</v>
      </c>
      <c r="E21" s="478">
        <f>'Ocorrências Mensais - FAT'!G39</f>
        <v>3</v>
      </c>
      <c r="F21" s="462">
        <v>11.65</v>
      </c>
      <c r="G21" s="495">
        <f t="shared" si="0"/>
        <v>34.950000000000003</v>
      </c>
      <c r="H21" s="498"/>
      <c r="I21" s="33"/>
      <c r="J21" s="483">
        <v>6</v>
      </c>
      <c r="K21" s="76" t="s">
        <v>88</v>
      </c>
      <c r="L21" s="452">
        <f t="shared" si="1"/>
        <v>2</v>
      </c>
    </row>
    <row r="22" spans="1:12" s="34" customFormat="1" ht="13.8" x14ac:dyDescent="0.3">
      <c r="A22" s="480">
        <v>14</v>
      </c>
      <c r="B22" s="481" t="s">
        <v>115</v>
      </c>
      <c r="C22" s="482" t="s">
        <v>71</v>
      </c>
      <c r="D22" s="94" t="s">
        <v>116</v>
      </c>
      <c r="E22" s="478">
        <f>'Ocorrências Mensais - FAT'!G40</f>
        <v>20</v>
      </c>
      <c r="F22" s="462">
        <v>2.4300000000000002</v>
      </c>
      <c r="G22" s="495">
        <f t="shared" si="0"/>
        <v>48.6</v>
      </c>
      <c r="H22" s="498"/>
      <c r="I22" s="33"/>
      <c r="J22" s="483">
        <v>20</v>
      </c>
      <c r="K22" s="76" t="s">
        <v>94</v>
      </c>
      <c r="L22" s="452">
        <f t="shared" si="1"/>
        <v>1</v>
      </c>
    </row>
    <row r="23" spans="1:12" s="34" customFormat="1" ht="13.8" x14ac:dyDescent="0.3">
      <c r="A23" s="480">
        <v>15</v>
      </c>
      <c r="B23" s="481" t="s">
        <v>117</v>
      </c>
      <c r="C23" s="482" t="s">
        <v>71</v>
      </c>
      <c r="D23" s="94" t="s">
        <v>118</v>
      </c>
      <c r="E23" s="478">
        <f>'Ocorrências Mensais - FAT'!G41</f>
        <v>4</v>
      </c>
      <c r="F23" s="462">
        <v>2.2799999999999998</v>
      </c>
      <c r="G23" s="495">
        <f t="shared" si="0"/>
        <v>9.1199999999999992</v>
      </c>
      <c r="H23" s="498"/>
      <c r="I23" s="33"/>
      <c r="J23" s="483">
        <v>4</v>
      </c>
      <c r="K23" s="76" t="s">
        <v>94</v>
      </c>
      <c r="L23" s="452">
        <f t="shared" si="1"/>
        <v>1</v>
      </c>
    </row>
    <row r="24" spans="1:12" s="34" customFormat="1" ht="13.8" x14ac:dyDescent="0.3">
      <c r="A24" s="480">
        <v>16</v>
      </c>
      <c r="B24" s="481" t="s">
        <v>500</v>
      </c>
      <c r="C24" s="482" t="s">
        <v>71</v>
      </c>
      <c r="D24" s="94" t="s">
        <v>120</v>
      </c>
      <c r="E24" s="478">
        <f>'Ocorrências Mensais - FAT'!G42</f>
        <v>8.3333333333333329E-2</v>
      </c>
      <c r="F24" s="462">
        <v>168.22</v>
      </c>
      <c r="G24" s="495">
        <f t="shared" si="0"/>
        <v>14.018333333333333</v>
      </c>
      <c r="H24" s="498"/>
      <c r="I24" s="33"/>
      <c r="J24" s="483">
        <v>1</v>
      </c>
      <c r="K24" s="76" t="s">
        <v>121</v>
      </c>
      <c r="L24" s="452">
        <f t="shared" si="1"/>
        <v>12</v>
      </c>
    </row>
    <row r="25" spans="1:12" s="34" customFormat="1" ht="13.8" x14ac:dyDescent="0.3">
      <c r="A25" s="480">
        <v>17</v>
      </c>
      <c r="B25" s="481" t="s">
        <v>122</v>
      </c>
      <c r="C25" s="482" t="s">
        <v>71</v>
      </c>
      <c r="D25" s="94" t="s">
        <v>123</v>
      </c>
      <c r="E25" s="478">
        <f>'Ocorrências Mensais - FAT'!G43</f>
        <v>20</v>
      </c>
      <c r="F25" s="462">
        <v>2.95</v>
      </c>
      <c r="G25" s="495">
        <f t="shared" si="0"/>
        <v>59</v>
      </c>
      <c r="H25" s="498"/>
      <c r="I25" s="33"/>
      <c r="J25" s="483">
        <v>20</v>
      </c>
      <c r="K25" s="76" t="s">
        <v>94</v>
      </c>
      <c r="L25" s="452">
        <f t="shared" si="1"/>
        <v>1</v>
      </c>
    </row>
    <row r="26" spans="1:12" s="34" customFormat="1" ht="13.8" x14ac:dyDescent="0.3">
      <c r="A26" s="480">
        <v>18</v>
      </c>
      <c r="B26" s="481" t="s">
        <v>124</v>
      </c>
      <c r="C26" s="482" t="s">
        <v>71</v>
      </c>
      <c r="D26" s="94" t="s">
        <v>125</v>
      </c>
      <c r="E26" s="478">
        <f>'Ocorrências Mensais - FAT'!G44</f>
        <v>0.16666666666666666</v>
      </c>
      <c r="F26" s="462">
        <v>5.7</v>
      </c>
      <c r="G26" s="495">
        <f t="shared" si="0"/>
        <v>0.95</v>
      </c>
      <c r="H26" s="498"/>
      <c r="I26" s="33"/>
      <c r="J26" s="483">
        <v>1</v>
      </c>
      <c r="K26" s="76" t="s">
        <v>98</v>
      </c>
      <c r="L26" s="452">
        <f t="shared" si="1"/>
        <v>6</v>
      </c>
    </row>
    <row r="27" spans="1:12" s="34" customFormat="1" ht="13.8" x14ac:dyDescent="0.3">
      <c r="A27" s="480">
        <v>19</v>
      </c>
      <c r="B27" s="481" t="s">
        <v>501</v>
      </c>
      <c r="C27" s="482" t="s">
        <v>71</v>
      </c>
      <c r="D27" s="94" t="s">
        <v>127</v>
      </c>
      <c r="E27" s="478">
        <f>'Ocorrências Mensais - FAT'!G45</f>
        <v>8.3333333333333329E-2</v>
      </c>
      <c r="F27" s="462">
        <v>232.83</v>
      </c>
      <c r="G27" s="495">
        <f t="shared" si="0"/>
        <v>19.4025</v>
      </c>
      <c r="H27" s="499"/>
      <c r="I27" s="33"/>
      <c r="J27" s="483">
        <v>1</v>
      </c>
      <c r="K27" s="76" t="s">
        <v>121</v>
      </c>
      <c r="L27" s="452">
        <f t="shared" si="1"/>
        <v>12</v>
      </c>
    </row>
    <row r="28" spans="1:12" s="34" customFormat="1" ht="13.8" x14ac:dyDescent="0.3">
      <c r="A28" s="480">
        <v>20</v>
      </c>
      <c r="B28" s="481" t="s">
        <v>128</v>
      </c>
      <c r="C28" s="482" t="s">
        <v>71</v>
      </c>
      <c r="D28" s="94" t="s">
        <v>129</v>
      </c>
      <c r="E28" s="478">
        <f>'Ocorrências Mensais - FAT'!G46</f>
        <v>2</v>
      </c>
      <c r="F28" s="462">
        <v>7.5</v>
      </c>
      <c r="G28" s="495">
        <f t="shared" si="0"/>
        <v>15</v>
      </c>
      <c r="H28" s="499"/>
      <c r="I28" s="33"/>
      <c r="J28" s="483">
        <v>2</v>
      </c>
      <c r="K28" s="76" t="s">
        <v>94</v>
      </c>
      <c r="L28" s="452">
        <f t="shared" si="1"/>
        <v>1</v>
      </c>
    </row>
    <row r="29" spans="1:12" s="34" customFormat="1" ht="13.8" x14ac:dyDescent="0.3">
      <c r="A29" s="480">
        <v>21</v>
      </c>
      <c r="B29" s="481" t="s">
        <v>130</v>
      </c>
      <c r="C29" s="482" t="s">
        <v>71</v>
      </c>
      <c r="D29" s="94" t="s">
        <v>129</v>
      </c>
      <c r="E29" s="478">
        <f>'Ocorrências Mensais - FAT'!G47</f>
        <v>12</v>
      </c>
      <c r="F29" s="462">
        <v>3.27</v>
      </c>
      <c r="G29" s="495">
        <f t="shared" si="0"/>
        <v>39.24</v>
      </c>
      <c r="H29" s="499"/>
      <c r="I29" s="33"/>
      <c r="J29" s="483">
        <v>12</v>
      </c>
      <c r="K29" s="76" t="s">
        <v>94</v>
      </c>
      <c r="L29" s="452">
        <f t="shared" si="1"/>
        <v>1</v>
      </c>
    </row>
    <row r="30" spans="1:12" s="34" customFormat="1" ht="13.8" x14ac:dyDescent="0.3">
      <c r="A30" s="480">
        <v>22</v>
      </c>
      <c r="B30" s="481" t="s">
        <v>131</v>
      </c>
      <c r="C30" s="482" t="s">
        <v>132</v>
      </c>
      <c r="D30" s="94" t="s">
        <v>133</v>
      </c>
      <c r="E30" s="478">
        <f>'Ocorrências Mensais - FAT'!G48</f>
        <v>2</v>
      </c>
      <c r="F30" s="462">
        <v>7.55</v>
      </c>
      <c r="G30" s="495">
        <f t="shared" si="0"/>
        <v>15.1</v>
      </c>
      <c r="H30" s="498"/>
      <c r="I30" s="33"/>
      <c r="J30" s="483">
        <v>2</v>
      </c>
      <c r="K30" s="76" t="s">
        <v>94</v>
      </c>
      <c r="L30" s="452">
        <f t="shared" si="1"/>
        <v>1</v>
      </c>
    </row>
    <row r="31" spans="1:12" s="34" customFormat="1" ht="13.8" x14ac:dyDescent="0.3">
      <c r="A31" s="480">
        <v>23</v>
      </c>
      <c r="B31" s="481" t="s">
        <v>134</v>
      </c>
      <c r="C31" s="482" t="s">
        <v>71</v>
      </c>
      <c r="D31" s="94" t="s">
        <v>135</v>
      </c>
      <c r="E31" s="478">
        <f>'Ocorrências Mensais - FAT'!G49</f>
        <v>8.3333333333333329E-2</v>
      </c>
      <c r="F31" s="462">
        <v>235.32</v>
      </c>
      <c r="G31" s="495">
        <f t="shared" si="0"/>
        <v>19.61</v>
      </c>
      <c r="H31" s="498"/>
      <c r="I31" s="33"/>
      <c r="J31" s="483">
        <v>1</v>
      </c>
      <c r="K31" s="76" t="s">
        <v>121</v>
      </c>
      <c r="L31" s="452">
        <f t="shared" si="1"/>
        <v>12</v>
      </c>
    </row>
    <row r="32" spans="1:12" s="34" customFormat="1" ht="13.8" x14ac:dyDescent="0.3">
      <c r="A32" s="480">
        <v>24</v>
      </c>
      <c r="B32" s="481" t="s">
        <v>136</v>
      </c>
      <c r="C32" s="482" t="s">
        <v>71</v>
      </c>
      <c r="D32" s="94" t="s">
        <v>133</v>
      </c>
      <c r="E32" s="478">
        <f>'Ocorrências Mensais - FAT'!G50</f>
        <v>0.33333333333333331</v>
      </c>
      <c r="F32" s="462">
        <v>9.11</v>
      </c>
      <c r="G32" s="495">
        <f t="shared" si="0"/>
        <v>3.0366666666666662</v>
      </c>
      <c r="H32" s="499"/>
      <c r="I32" s="33"/>
      <c r="J32" s="483">
        <v>2</v>
      </c>
      <c r="K32" s="76" t="s">
        <v>98</v>
      </c>
      <c r="L32" s="452">
        <f t="shared" si="1"/>
        <v>6</v>
      </c>
    </row>
    <row r="33" spans="1:12" s="34" customFormat="1" ht="27.6" x14ac:dyDescent="0.3">
      <c r="A33" s="480">
        <v>25</v>
      </c>
      <c r="B33" s="481" t="s">
        <v>506</v>
      </c>
      <c r="C33" s="482" t="s">
        <v>502</v>
      </c>
      <c r="D33" s="94" t="s">
        <v>139</v>
      </c>
      <c r="E33" s="478">
        <f>'Ocorrências Mensais - FAT'!G51</f>
        <v>3</v>
      </c>
      <c r="F33" s="462">
        <v>89.98</v>
      </c>
      <c r="G33" s="495">
        <f t="shared" si="0"/>
        <v>269.94</v>
      </c>
      <c r="H33" s="499"/>
      <c r="I33" s="33"/>
      <c r="J33" s="483">
        <v>3</v>
      </c>
      <c r="K33" s="76" t="s">
        <v>94</v>
      </c>
      <c r="L33" s="452">
        <f t="shared" si="1"/>
        <v>1</v>
      </c>
    </row>
    <row r="34" spans="1:12" s="34" customFormat="1" ht="13.8" x14ac:dyDescent="0.3">
      <c r="A34" s="480">
        <v>26</v>
      </c>
      <c r="B34" s="481" t="s">
        <v>140</v>
      </c>
      <c r="C34" s="482" t="s">
        <v>141</v>
      </c>
      <c r="D34" s="94" t="s">
        <v>142</v>
      </c>
      <c r="E34" s="478">
        <f>'Ocorrências Mensais - FAT'!G52</f>
        <v>25</v>
      </c>
      <c r="F34" s="462">
        <v>17.02</v>
      </c>
      <c r="G34" s="495">
        <f t="shared" si="0"/>
        <v>425.5</v>
      </c>
      <c r="H34" s="498"/>
      <c r="I34" s="33"/>
      <c r="J34" s="483">
        <v>25</v>
      </c>
      <c r="K34" s="76" t="s">
        <v>94</v>
      </c>
      <c r="L34" s="452">
        <f t="shared" si="1"/>
        <v>1</v>
      </c>
    </row>
    <row r="35" spans="1:12" s="34" customFormat="1" ht="13.8" x14ac:dyDescent="0.3">
      <c r="A35" s="480">
        <v>27</v>
      </c>
      <c r="B35" s="481" t="s">
        <v>143</v>
      </c>
      <c r="C35" s="482" t="s">
        <v>71</v>
      </c>
      <c r="D35" s="94" t="s">
        <v>144</v>
      </c>
      <c r="E35" s="478">
        <f>'Ocorrências Mensais - FAT'!G53</f>
        <v>25</v>
      </c>
      <c r="F35" s="462">
        <v>2.46</v>
      </c>
      <c r="G35" s="495">
        <f t="shared" si="0"/>
        <v>61.5</v>
      </c>
      <c r="H35" s="498"/>
      <c r="I35" s="33"/>
      <c r="J35" s="483">
        <v>25</v>
      </c>
      <c r="K35" s="76" t="s">
        <v>94</v>
      </c>
      <c r="L35" s="452">
        <f t="shared" si="1"/>
        <v>1</v>
      </c>
    </row>
    <row r="36" spans="1:12" s="34" customFormat="1" ht="13.8" x14ac:dyDescent="0.3">
      <c r="A36" s="480">
        <v>28</v>
      </c>
      <c r="B36" s="481" t="s">
        <v>145</v>
      </c>
      <c r="C36" s="482" t="s">
        <v>71</v>
      </c>
      <c r="D36" s="94" t="s">
        <v>146</v>
      </c>
      <c r="E36" s="478">
        <f>'Ocorrências Mensais - FAT'!G54</f>
        <v>0.33333333333333331</v>
      </c>
      <c r="F36" s="462">
        <v>8.8699999999999992</v>
      </c>
      <c r="G36" s="495">
        <f t="shared" si="0"/>
        <v>2.9566666666666661</v>
      </c>
      <c r="H36" s="498"/>
      <c r="I36" s="33"/>
      <c r="J36" s="483">
        <v>2</v>
      </c>
      <c r="K36" s="76" t="s">
        <v>98</v>
      </c>
      <c r="L36" s="452">
        <f t="shared" si="1"/>
        <v>6</v>
      </c>
    </row>
    <row r="37" spans="1:12" s="34" customFormat="1" ht="13.8" x14ac:dyDescent="0.3">
      <c r="A37" s="480">
        <v>29</v>
      </c>
      <c r="B37" s="481" t="s">
        <v>147</v>
      </c>
      <c r="C37" s="482" t="s">
        <v>71</v>
      </c>
      <c r="D37" s="94" t="s">
        <v>146</v>
      </c>
      <c r="E37" s="478">
        <f>'Ocorrências Mensais - FAT'!G55</f>
        <v>0.33333333333333331</v>
      </c>
      <c r="F37" s="462">
        <v>17.47</v>
      </c>
      <c r="G37" s="495">
        <f t="shared" si="0"/>
        <v>5.8233333333333324</v>
      </c>
      <c r="H37" s="499"/>
      <c r="I37" s="33"/>
      <c r="J37" s="483">
        <v>2</v>
      </c>
      <c r="K37" s="76" t="s">
        <v>98</v>
      </c>
      <c r="L37" s="452">
        <f t="shared" si="1"/>
        <v>6</v>
      </c>
    </row>
    <row r="38" spans="1:12" s="34" customFormat="1" ht="13.8" x14ac:dyDescent="0.3">
      <c r="A38" s="480">
        <v>30</v>
      </c>
      <c r="B38" s="481" t="s">
        <v>148</v>
      </c>
      <c r="C38" s="482" t="s">
        <v>71</v>
      </c>
      <c r="D38" s="94" t="s">
        <v>149</v>
      </c>
      <c r="E38" s="478">
        <f>'Ocorrências Mensais - FAT'!G56</f>
        <v>2</v>
      </c>
      <c r="F38" s="462">
        <v>2.78</v>
      </c>
      <c r="G38" s="495">
        <f t="shared" si="0"/>
        <v>5.56</v>
      </c>
      <c r="H38" s="499"/>
      <c r="I38" s="33"/>
      <c r="J38" s="483">
        <v>2</v>
      </c>
      <c r="K38" s="76" t="s">
        <v>94</v>
      </c>
      <c r="L38" s="452">
        <f t="shared" si="1"/>
        <v>1</v>
      </c>
    </row>
    <row r="39" spans="1:12" s="34" customFormat="1" ht="13.8" x14ac:dyDescent="0.3">
      <c r="A39" s="480">
        <v>31</v>
      </c>
      <c r="B39" s="481" t="s">
        <v>150</v>
      </c>
      <c r="C39" s="482" t="s">
        <v>71</v>
      </c>
      <c r="D39" s="94" t="s">
        <v>151</v>
      </c>
      <c r="E39" s="478">
        <f>'Ocorrências Mensais - FAT'!G57</f>
        <v>4</v>
      </c>
      <c r="F39" s="462">
        <v>14.85</v>
      </c>
      <c r="G39" s="495">
        <f t="shared" si="0"/>
        <v>59.4</v>
      </c>
      <c r="H39" s="499"/>
      <c r="I39" s="33"/>
      <c r="J39" s="483">
        <v>4</v>
      </c>
      <c r="K39" s="76" t="s">
        <v>94</v>
      </c>
      <c r="L39" s="452">
        <f t="shared" si="1"/>
        <v>1</v>
      </c>
    </row>
    <row r="40" spans="1:12" s="34" customFormat="1" ht="13.8" x14ac:dyDescent="0.3">
      <c r="A40" s="480">
        <v>32</v>
      </c>
      <c r="B40" s="481" t="s">
        <v>152</v>
      </c>
      <c r="C40" s="482" t="s">
        <v>90</v>
      </c>
      <c r="D40" s="94" t="s">
        <v>153</v>
      </c>
      <c r="E40" s="478">
        <f>'Ocorrências Mensais - FAT'!G58</f>
        <v>1.5</v>
      </c>
      <c r="F40" s="462">
        <v>21.28</v>
      </c>
      <c r="G40" s="495">
        <f t="shared" si="0"/>
        <v>31.92</v>
      </c>
      <c r="H40" s="499"/>
      <c r="I40" s="33"/>
      <c r="J40" s="483">
        <v>3</v>
      </c>
      <c r="K40" s="76" t="s">
        <v>88</v>
      </c>
      <c r="L40" s="452">
        <f t="shared" si="1"/>
        <v>2</v>
      </c>
    </row>
    <row r="41" spans="1:12" s="34" customFormat="1" ht="13.8" x14ac:dyDescent="0.3">
      <c r="A41" s="480">
        <v>33</v>
      </c>
      <c r="B41" s="481" t="s">
        <v>154</v>
      </c>
      <c r="C41" s="482" t="s">
        <v>71</v>
      </c>
      <c r="D41" s="94" t="s">
        <v>155</v>
      </c>
      <c r="E41" s="478">
        <f>'Ocorrências Mensais - FAT'!G59</f>
        <v>15</v>
      </c>
      <c r="F41" s="462">
        <v>7.67</v>
      </c>
      <c r="G41" s="495">
        <f t="shared" si="0"/>
        <v>115.05</v>
      </c>
      <c r="H41" s="499"/>
      <c r="I41" s="33"/>
      <c r="J41" s="483">
        <v>15</v>
      </c>
      <c r="K41" s="76" t="s">
        <v>94</v>
      </c>
      <c r="L41" s="452">
        <f t="shared" si="1"/>
        <v>1</v>
      </c>
    </row>
    <row r="42" spans="1:12" s="34" customFormat="1" ht="13.8" x14ac:dyDescent="0.3">
      <c r="A42" s="480">
        <v>34</v>
      </c>
      <c r="B42" s="481" t="s">
        <v>156</v>
      </c>
      <c r="C42" s="482" t="s">
        <v>157</v>
      </c>
      <c r="D42" s="94" t="s">
        <v>158</v>
      </c>
      <c r="E42" s="478">
        <f>'Ocorrências Mensais - FAT'!G60</f>
        <v>3</v>
      </c>
      <c r="F42" s="462">
        <v>66.3</v>
      </c>
      <c r="G42" s="495">
        <f t="shared" si="0"/>
        <v>198.89999999999998</v>
      </c>
      <c r="H42" s="499"/>
      <c r="I42" s="33"/>
      <c r="J42" s="483">
        <v>3</v>
      </c>
      <c r="K42" s="76" t="s">
        <v>94</v>
      </c>
      <c r="L42" s="452">
        <f t="shared" si="1"/>
        <v>1</v>
      </c>
    </row>
    <row r="43" spans="1:12" s="34" customFormat="1" ht="13.8" x14ac:dyDescent="0.3">
      <c r="A43" s="480">
        <v>35</v>
      </c>
      <c r="B43" s="481" t="s">
        <v>159</v>
      </c>
      <c r="C43" s="482" t="s">
        <v>157</v>
      </c>
      <c r="D43" s="94" t="s">
        <v>160</v>
      </c>
      <c r="E43" s="478">
        <f>'Ocorrências Mensais - FAT'!G61</f>
        <v>3</v>
      </c>
      <c r="F43" s="462">
        <v>14.05</v>
      </c>
      <c r="G43" s="495">
        <f t="shared" si="0"/>
        <v>42.150000000000006</v>
      </c>
      <c r="H43" s="499"/>
      <c r="I43" s="33"/>
      <c r="J43" s="483">
        <v>3</v>
      </c>
      <c r="K43" s="76" t="s">
        <v>94</v>
      </c>
      <c r="L43" s="452">
        <f t="shared" si="1"/>
        <v>1</v>
      </c>
    </row>
    <row r="44" spans="1:12" s="34" customFormat="1" ht="13.8" x14ac:dyDescent="0.3">
      <c r="A44" s="480">
        <v>36</v>
      </c>
      <c r="B44" s="481" t="s">
        <v>161</v>
      </c>
      <c r="C44" s="482" t="s">
        <v>71</v>
      </c>
      <c r="D44" s="94" t="s">
        <v>162</v>
      </c>
      <c r="E44" s="478">
        <f>'Ocorrências Mensais - FAT'!G62</f>
        <v>0.16666666666666666</v>
      </c>
      <c r="F44" s="462">
        <v>19.100000000000001</v>
      </c>
      <c r="G44" s="495">
        <f t="shared" si="0"/>
        <v>3.1833333333333336</v>
      </c>
      <c r="H44" s="499"/>
      <c r="I44" s="33"/>
      <c r="J44" s="483">
        <v>1</v>
      </c>
      <c r="K44" s="76" t="s">
        <v>98</v>
      </c>
      <c r="L44" s="452">
        <f t="shared" si="1"/>
        <v>6</v>
      </c>
    </row>
    <row r="45" spans="1:12" s="34" customFormat="1" ht="13.8" x14ac:dyDescent="0.3">
      <c r="A45" s="480">
        <v>37</v>
      </c>
      <c r="B45" s="481" t="s">
        <v>163</v>
      </c>
      <c r="C45" s="482" t="s">
        <v>71</v>
      </c>
      <c r="D45" s="94" t="s">
        <v>146</v>
      </c>
      <c r="E45" s="478">
        <f>'Ocorrências Mensais - FAT'!G63</f>
        <v>0.33333333333333331</v>
      </c>
      <c r="F45" s="462">
        <v>11.9</v>
      </c>
      <c r="G45" s="495">
        <f t="shared" si="0"/>
        <v>3.9666666666666668</v>
      </c>
      <c r="H45" s="499"/>
      <c r="I45" s="33"/>
      <c r="J45" s="483">
        <v>2</v>
      </c>
      <c r="K45" s="76" t="s">
        <v>98</v>
      </c>
      <c r="L45" s="452">
        <f t="shared" si="1"/>
        <v>6</v>
      </c>
    </row>
    <row r="46" spans="1:12" s="34" customFormat="1" ht="13.8" x14ac:dyDescent="0.3">
      <c r="A46" s="480">
        <v>38</v>
      </c>
      <c r="B46" s="481" t="s">
        <v>164</v>
      </c>
      <c r="C46" s="482" t="s">
        <v>71</v>
      </c>
      <c r="D46" s="94" t="s">
        <v>165</v>
      </c>
      <c r="E46" s="478">
        <f>'Ocorrências Mensais - FAT'!G64</f>
        <v>0.33333333333333331</v>
      </c>
      <c r="F46" s="462">
        <v>6.83</v>
      </c>
      <c r="G46" s="495">
        <f t="shared" si="0"/>
        <v>2.2766666666666664</v>
      </c>
      <c r="H46" s="499"/>
      <c r="I46" s="33"/>
      <c r="J46" s="483">
        <v>2</v>
      </c>
      <c r="K46" s="76" t="s">
        <v>98</v>
      </c>
      <c r="L46" s="452">
        <f t="shared" si="1"/>
        <v>6</v>
      </c>
    </row>
    <row r="47" spans="1:12" s="34" customFormat="1" ht="13.8" x14ac:dyDescent="0.3">
      <c r="A47" s="480">
        <v>39</v>
      </c>
      <c r="B47" s="481" t="s">
        <v>166</v>
      </c>
      <c r="C47" s="482" t="s">
        <v>71</v>
      </c>
      <c r="D47" s="94" t="s">
        <v>167</v>
      </c>
      <c r="E47" s="478">
        <f>'Ocorrências Mensais - FAT'!G65</f>
        <v>0.33333333333333331</v>
      </c>
      <c r="F47" s="462">
        <v>17.309999999999999</v>
      </c>
      <c r="G47" s="495">
        <f t="shared" si="0"/>
        <v>5.77</v>
      </c>
      <c r="H47" s="499"/>
      <c r="I47" s="33"/>
      <c r="J47" s="483">
        <v>2</v>
      </c>
      <c r="K47" s="76" t="s">
        <v>98</v>
      </c>
      <c r="L47" s="452">
        <f t="shared" si="1"/>
        <v>6</v>
      </c>
    </row>
    <row r="48" spans="1:12" ht="16.2" thickBot="1" x14ac:dyDescent="0.35">
      <c r="A48" s="1118" t="s">
        <v>168</v>
      </c>
      <c r="B48" s="1119"/>
      <c r="C48" s="1119"/>
      <c r="D48" s="1119"/>
      <c r="E48" s="1119"/>
      <c r="F48" s="1120"/>
      <c r="G48" s="496">
        <f>SUM(G9:G47)</f>
        <v>2231.6225000000004</v>
      </c>
      <c r="H48" s="493"/>
      <c r="I48" s="44"/>
      <c r="J48" s="44"/>
      <c r="K48" s="485"/>
    </row>
    <row r="49" spans="1:12" x14ac:dyDescent="0.3">
      <c r="A49" s="486"/>
      <c r="H49" s="487"/>
    </row>
    <row r="50" spans="1:12" ht="18" x14ac:dyDescent="0.3">
      <c r="A50" s="1107" t="s">
        <v>779</v>
      </c>
      <c r="B50" s="1108"/>
      <c r="C50" s="1108"/>
      <c r="D50" s="1108"/>
      <c r="E50" s="1108"/>
      <c r="F50" s="1108"/>
      <c r="G50" s="1108"/>
      <c r="H50" s="1109"/>
      <c r="I50" s="34"/>
      <c r="J50" s="34"/>
      <c r="L50" s="34"/>
    </row>
    <row r="51" spans="1:12" x14ac:dyDescent="0.3">
      <c r="A51" s="488"/>
      <c r="B51" s="470"/>
      <c r="C51" s="470"/>
      <c r="D51" s="470"/>
      <c r="E51" s="470"/>
      <c r="F51" s="470"/>
      <c r="G51" s="470"/>
      <c r="H51" s="489"/>
      <c r="I51" s="34"/>
      <c r="J51" s="34"/>
      <c r="L51" s="34"/>
    </row>
    <row r="52" spans="1:12" x14ac:dyDescent="0.3">
      <c r="A52" s="1113" t="s">
        <v>65</v>
      </c>
      <c r="B52" s="1114" t="s">
        <v>494</v>
      </c>
      <c r="C52" s="1114"/>
      <c r="D52" s="1114"/>
      <c r="E52" s="1114" t="s">
        <v>67</v>
      </c>
      <c r="F52" s="1114"/>
      <c r="G52" s="1114"/>
      <c r="H52" s="1116" t="s">
        <v>495</v>
      </c>
      <c r="I52" s="34"/>
      <c r="J52" s="1117" t="s">
        <v>496</v>
      </c>
      <c r="K52" s="1117"/>
      <c r="L52" s="1117"/>
    </row>
    <row r="53" spans="1:12" ht="36" x14ac:dyDescent="0.3">
      <c r="A53" s="1113"/>
      <c r="B53" s="471" t="s">
        <v>70</v>
      </c>
      <c r="C53" s="472" t="s">
        <v>71</v>
      </c>
      <c r="D53" s="472" t="s">
        <v>503</v>
      </c>
      <c r="E53" s="472" t="s">
        <v>75</v>
      </c>
      <c r="F53" s="472" t="s">
        <v>504</v>
      </c>
      <c r="G53" s="472" t="s">
        <v>505</v>
      </c>
      <c r="H53" s="1116"/>
      <c r="I53" s="34"/>
      <c r="J53" s="490" t="s">
        <v>498</v>
      </c>
      <c r="K53" s="491" t="s">
        <v>77</v>
      </c>
      <c r="L53" s="475" t="s">
        <v>499</v>
      </c>
    </row>
    <row r="54" spans="1:12" x14ac:dyDescent="0.3">
      <c r="A54" s="95">
        <v>1</v>
      </c>
      <c r="B54" s="96" t="s">
        <v>174</v>
      </c>
      <c r="C54" s="77" t="s">
        <v>175</v>
      </c>
      <c r="D54" s="77" t="s">
        <v>100</v>
      </c>
      <c r="E54" s="478">
        <f>'Ocorrências Mensais - FAT'!G74</f>
        <v>0.16666666666666666</v>
      </c>
      <c r="F54" s="462">
        <v>10.55</v>
      </c>
      <c r="G54" s="495">
        <f t="shared" ref="G54:G71" si="2">E54*F54</f>
        <v>1.7583333333333333</v>
      </c>
      <c r="H54" s="497"/>
      <c r="I54" s="34"/>
      <c r="J54" s="492">
        <v>1</v>
      </c>
      <c r="K54" s="77" t="s">
        <v>98</v>
      </c>
      <c r="L54" s="452">
        <f>IF(K54="MENSAL",1,IF(K54="BIMESTRAL",2,IF(K54="TRIMESTRAL",3,IF(K54="QUADRIMESTRAL",4,IF(K54="SEMESTRAL",6,IF(K54="ANUAL",12,IF(K54="BIENAL",24,"")))))))</f>
        <v>6</v>
      </c>
    </row>
    <row r="55" spans="1:12" x14ac:dyDescent="0.3">
      <c r="A55" s="95">
        <v>2</v>
      </c>
      <c r="B55" s="96" t="s">
        <v>176</v>
      </c>
      <c r="C55" s="77" t="s">
        <v>175</v>
      </c>
      <c r="D55" s="77" t="s">
        <v>177</v>
      </c>
      <c r="E55" s="478">
        <f>'Ocorrências Mensais - FAT'!G75</f>
        <v>0.66666666666666663</v>
      </c>
      <c r="F55" s="462">
        <v>11.32</v>
      </c>
      <c r="G55" s="495">
        <f t="shared" si="2"/>
        <v>7.5466666666666669</v>
      </c>
      <c r="H55" s="497"/>
      <c r="I55" s="34"/>
      <c r="J55" s="492">
        <v>2</v>
      </c>
      <c r="K55" s="77" t="s">
        <v>178</v>
      </c>
      <c r="L55" s="452">
        <f t="shared" ref="L55:L71" si="3">IF(K55="MENSAL",1,IF(K55="BIMESTRAL",2,IF(K55="TRIMESTRAL",3,IF(K55="QUADRIMESTRAL",4,IF(K55="SEMESTRAL",6,IF(K55="ANUAL",12,IF(K55="BIENAL",24,"")))))))</f>
        <v>3</v>
      </c>
    </row>
    <row r="56" spans="1:12" x14ac:dyDescent="0.3">
      <c r="A56" s="95">
        <v>3</v>
      </c>
      <c r="B56" s="96" t="s">
        <v>179</v>
      </c>
      <c r="C56" s="77" t="s">
        <v>175</v>
      </c>
      <c r="D56" s="77" t="s">
        <v>104</v>
      </c>
      <c r="E56" s="478">
        <f>'Ocorrências Mensais - FAT'!G76</f>
        <v>8.3333333333333329E-2</v>
      </c>
      <c r="F56" s="462">
        <v>4.4800000000000004</v>
      </c>
      <c r="G56" s="495">
        <f t="shared" si="2"/>
        <v>0.37333333333333335</v>
      </c>
      <c r="H56" s="497"/>
      <c r="I56" s="34"/>
      <c r="J56" s="492">
        <v>1</v>
      </c>
      <c r="K56" s="77" t="s">
        <v>121</v>
      </c>
      <c r="L56" s="452">
        <f t="shared" si="3"/>
        <v>12</v>
      </c>
    </row>
    <row r="57" spans="1:12" x14ac:dyDescent="0.3">
      <c r="A57" s="95">
        <v>4</v>
      </c>
      <c r="B57" s="96" t="s">
        <v>180</v>
      </c>
      <c r="C57" s="77" t="s">
        <v>175</v>
      </c>
      <c r="D57" s="77" t="s">
        <v>181</v>
      </c>
      <c r="E57" s="478">
        <f>'Ocorrências Mensais - FAT'!G77</f>
        <v>6</v>
      </c>
      <c r="F57" s="462">
        <v>1.82</v>
      </c>
      <c r="G57" s="495">
        <f t="shared" si="2"/>
        <v>10.92</v>
      </c>
      <c r="H57" s="497"/>
      <c r="I57" s="34"/>
      <c r="J57" s="492">
        <v>6</v>
      </c>
      <c r="K57" s="77" t="s">
        <v>94</v>
      </c>
      <c r="L57" s="452">
        <f t="shared" si="3"/>
        <v>1</v>
      </c>
    </row>
    <row r="58" spans="1:12" x14ac:dyDescent="0.3">
      <c r="A58" s="95">
        <v>5</v>
      </c>
      <c r="B58" s="96" t="s">
        <v>182</v>
      </c>
      <c r="C58" s="77" t="s">
        <v>175</v>
      </c>
      <c r="D58" s="77" t="s">
        <v>183</v>
      </c>
      <c r="E58" s="478">
        <f>'Ocorrências Mensais - FAT'!G78</f>
        <v>0.16666666666666666</v>
      </c>
      <c r="F58" s="462">
        <v>6.91</v>
      </c>
      <c r="G58" s="495">
        <f t="shared" si="2"/>
        <v>1.1516666666666666</v>
      </c>
      <c r="H58" s="497"/>
      <c r="I58" s="34"/>
      <c r="J58" s="492">
        <v>1</v>
      </c>
      <c r="K58" s="77" t="s">
        <v>98</v>
      </c>
      <c r="L58" s="452">
        <f t="shared" si="3"/>
        <v>6</v>
      </c>
    </row>
    <row r="59" spans="1:12" x14ac:dyDescent="0.3">
      <c r="A59" s="95">
        <v>6</v>
      </c>
      <c r="B59" s="96" t="s">
        <v>184</v>
      </c>
      <c r="C59" s="77" t="s">
        <v>185</v>
      </c>
      <c r="D59" s="77" t="s">
        <v>112</v>
      </c>
      <c r="E59" s="478">
        <f>'Ocorrências Mensais - FAT'!G79</f>
        <v>0.16666666666666666</v>
      </c>
      <c r="F59" s="462">
        <v>4.63</v>
      </c>
      <c r="G59" s="495">
        <f t="shared" si="2"/>
        <v>0.77166666666666661</v>
      </c>
      <c r="H59" s="497"/>
      <c r="I59" s="34"/>
      <c r="J59" s="492">
        <v>1</v>
      </c>
      <c r="K59" s="77" t="s">
        <v>98</v>
      </c>
      <c r="L59" s="452">
        <f t="shared" si="3"/>
        <v>6</v>
      </c>
    </row>
    <row r="60" spans="1:12" x14ac:dyDescent="0.3">
      <c r="A60" s="95">
        <v>7</v>
      </c>
      <c r="B60" s="96" t="s">
        <v>186</v>
      </c>
      <c r="C60" s="77" t="s">
        <v>175</v>
      </c>
      <c r="D60" s="77" t="s">
        <v>116</v>
      </c>
      <c r="E60" s="478">
        <f>'Ocorrências Mensais - FAT'!G80</f>
        <v>5</v>
      </c>
      <c r="F60" s="462">
        <v>2.4300000000000002</v>
      </c>
      <c r="G60" s="495">
        <f t="shared" si="2"/>
        <v>12.15</v>
      </c>
      <c r="H60" s="497"/>
      <c r="I60" s="34"/>
      <c r="J60" s="492">
        <v>5</v>
      </c>
      <c r="K60" s="77" t="s">
        <v>94</v>
      </c>
      <c r="L60" s="452">
        <f t="shared" si="3"/>
        <v>1</v>
      </c>
    </row>
    <row r="61" spans="1:12" x14ac:dyDescent="0.3">
      <c r="A61" s="95">
        <v>8</v>
      </c>
      <c r="B61" s="96" t="s">
        <v>187</v>
      </c>
      <c r="C61" s="77" t="s">
        <v>188</v>
      </c>
      <c r="D61" s="77" t="s">
        <v>118</v>
      </c>
      <c r="E61" s="478">
        <f>'Ocorrências Mensais - FAT'!G81</f>
        <v>1</v>
      </c>
      <c r="F61" s="462">
        <v>2.2799999999999998</v>
      </c>
      <c r="G61" s="495">
        <f t="shared" si="2"/>
        <v>2.2799999999999998</v>
      </c>
      <c r="H61" s="497"/>
      <c r="I61" s="34"/>
      <c r="J61" s="492">
        <v>1</v>
      </c>
      <c r="K61" s="77" t="s">
        <v>94</v>
      </c>
      <c r="L61" s="452">
        <f t="shared" si="3"/>
        <v>1</v>
      </c>
    </row>
    <row r="62" spans="1:12" x14ac:dyDescent="0.3">
      <c r="A62" s="95">
        <v>9</v>
      </c>
      <c r="B62" s="96" t="s">
        <v>189</v>
      </c>
      <c r="C62" s="77" t="s">
        <v>175</v>
      </c>
      <c r="D62" s="77" t="s">
        <v>155</v>
      </c>
      <c r="E62" s="478">
        <f>'Ocorrências Mensais - FAT'!G82</f>
        <v>5</v>
      </c>
      <c r="F62" s="462">
        <v>2.95</v>
      </c>
      <c r="G62" s="495">
        <f t="shared" si="2"/>
        <v>14.75</v>
      </c>
      <c r="H62" s="497"/>
      <c r="I62" s="34"/>
      <c r="J62" s="492">
        <v>5</v>
      </c>
      <c r="K62" s="77" t="s">
        <v>94</v>
      </c>
      <c r="L62" s="452">
        <f t="shared" si="3"/>
        <v>1</v>
      </c>
    </row>
    <row r="63" spans="1:12" x14ac:dyDescent="0.3">
      <c r="A63" s="46">
        <v>10</v>
      </c>
      <c r="B63" s="481" t="s">
        <v>190</v>
      </c>
      <c r="C63" s="77" t="s">
        <v>188</v>
      </c>
      <c r="D63" s="77" t="s">
        <v>191</v>
      </c>
      <c r="E63" s="478">
        <f>'Ocorrências Mensais - FAT'!G83</f>
        <v>4</v>
      </c>
      <c r="F63" s="462">
        <v>2.15</v>
      </c>
      <c r="G63" s="495">
        <f t="shared" si="2"/>
        <v>8.6</v>
      </c>
      <c r="H63" s="497"/>
      <c r="I63" s="34"/>
      <c r="J63" s="492">
        <v>8</v>
      </c>
      <c r="K63" s="77" t="s">
        <v>88</v>
      </c>
      <c r="L63" s="452">
        <f t="shared" si="3"/>
        <v>2</v>
      </c>
    </row>
    <row r="64" spans="1:12" x14ac:dyDescent="0.3">
      <c r="A64" s="95">
        <v>11</v>
      </c>
      <c r="B64" s="96" t="s">
        <v>192</v>
      </c>
      <c r="C64" s="77" t="s">
        <v>185</v>
      </c>
      <c r="D64" s="77" t="s">
        <v>87</v>
      </c>
      <c r="E64" s="478">
        <f>'Ocorrências Mensais - FAT'!G84</f>
        <v>3</v>
      </c>
      <c r="F64" s="462">
        <v>2.59</v>
      </c>
      <c r="G64" s="495">
        <f t="shared" si="2"/>
        <v>7.77</v>
      </c>
      <c r="H64" s="497"/>
      <c r="I64" s="34"/>
      <c r="J64" s="492">
        <v>3</v>
      </c>
      <c r="K64" s="77" t="s">
        <v>94</v>
      </c>
      <c r="L64" s="452">
        <f t="shared" si="3"/>
        <v>1</v>
      </c>
    </row>
    <row r="65" spans="1:12" x14ac:dyDescent="0.3">
      <c r="A65" s="95">
        <v>12</v>
      </c>
      <c r="B65" s="96" t="s">
        <v>131</v>
      </c>
      <c r="C65" s="77" t="s">
        <v>193</v>
      </c>
      <c r="D65" s="77" t="s">
        <v>133</v>
      </c>
      <c r="E65" s="478">
        <f>'Ocorrências Mensais - FAT'!G85</f>
        <v>0.16666666666666666</v>
      </c>
      <c r="F65" s="462">
        <v>7.55</v>
      </c>
      <c r="G65" s="495">
        <f t="shared" si="2"/>
        <v>1.2583333333333333</v>
      </c>
      <c r="H65" s="497"/>
      <c r="I65" s="34"/>
      <c r="J65" s="492">
        <v>1</v>
      </c>
      <c r="K65" s="77" t="s">
        <v>98</v>
      </c>
      <c r="L65" s="452">
        <f t="shared" si="3"/>
        <v>6</v>
      </c>
    </row>
    <row r="66" spans="1:12" x14ac:dyDescent="0.3">
      <c r="A66" s="95">
        <v>13</v>
      </c>
      <c r="B66" s="481" t="s">
        <v>194</v>
      </c>
      <c r="C66" s="77" t="s">
        <v>175</v>
      </c>
      <c r="D66" s="77" t="s">
        <v>195</v>
      </c>
      <c r="E66" s="478">
        <f>'Ocorrências Mensais - FAT'!G86</f>
        <v>3</v>
      </c>
      <c r="F66" s="462">
        <v>2.98</v>
      </c>
      <c r="G66" s="495">
        <f t="shared" si="2"/>
        <v>8.94</v>
      </c>
      <c r="H66" s="497"/>
      <c r="I66" s="34"/>
      <c r="J66" s="492">
        <v>3</v>
      </c>
      <c r="K66" s="77" t="s">
        <v>94</v>
      </c>
      <c r="L66" s="452">
        <f t="shared" si="3"/>
        <v>1</v>
      </c>
    </row>
    <row r="67" spans="1:12" x14ac:dyDescent="0.3">
      <c r="A67" s="95">
        <v>14</v>
      </c>
      <c r="B67" s="481" t="s">
        <v>136</v>
      </c>
      <c r="C67" s="77" t="s">
        <v>175</v>
      </c>
      <c r="D67" s="77" t="s">
        <v>133</v>
      </c>
      <c r="E67" s="478">
        <f>'Ocorrências Mensais - FAT'!G87</f>
        <v>8.3333333333333329E-2</v>
      </c>
      <c r="F67" s="462">
        <v>9.11</v>
      </c>
      <c r="G67" s="495">
        <f t="shared" si="2"/>
        <v>0.75916666666666655</v>
      </c>
      <c r="H67" s="497"/>
      <c r="I67" s="34"/>
      <c r="J67" s="492">
        <v>1</v>
      </c>
      <c r="K67" s="77" t="s">
        <v>121</v>
      </c>
      <c r="L67" s="452">
        <f t="shared" si="3"/>
        <v>12</v>
      </c>
    </row>
    <row r="68" spans="1:12" x14ac:dyDescent="0.3">
      <c r="A68" s="95">
        <v>15</v>
      </c>
      <c r="B68" s="96" t="s">
        <v>196</v>
      </c>
      <c r="C68" s="77" t="s">
        <v>175</v>
      </c>
      <c r="D68" s="77" t="s">
        <v>197</v>
      </c>
      <c r="E68" s="478">
        <f>'Ocorrências Mensais - FAT'!G88</f>
        <v>0.66666666666666663</v>
      </c>
      <c r="F68" s="462">
        <v>4.8899999999999997</v>
      </c>
      <c r="G68" s="495">
        <f t="shared" si="2"/>
        <v>3.26</v>
      </c>
      <c r="H68" s="497"/>
      <c r="I68" s="34"/>
      <c r="J68" s="492">
        <v>2</v>
      </c>
      <c r="K68" s="77" t="s">
        <v>178</v>
      </c>
      <c r="L68" s="452">
        <f t="shared" si="3"/>
        <v>3</v>
      </c>
    </row>
    <row r="69" spans="1:12" x14ac:dyDescent="0.3">
      <c r="A69" s="95">
        <v>16</v>
      </c>
      <c r="B69" s="481" t="s">
        <v>147</v>
      </c>
      <c r="C69" s="77" t="s">
        <v>175</v>
      </c>
      <c r="D69" s="94" t="s">
        <v>146</v>
      </c>
      <c r="E69" s="478">
        <f>'Ocorrências Mensais - FAT'!G89</f>
        <v>0.16666666666666666</v>
      </c>
      <c r="F69" s="462">
        <v>17.47</v>
      </c>
      <c r="G69" s="495">
        <f t="shared" si="2"/>
        <v>2.9116666666666662</v>
      </c>
      <c r="H69" s="497"/>
      <c r="I69" s="34"/>
      <c r="J69" s="492">
        <v>1</v>
      </c>
      <c r="K69" s="77" t="s">
        <v>98</v>
      </c>
      <c r="L69" s="452">
        <f t="shared" si="3"/>
        <v>6</v>
      </c>
    </row>
    <row r="70" spans="1:12" x14ac:dyDescent="0.3">
      <c r="A70" s="95">
        <v>17</v>
      </c>
      <c r="B70" s="481" t="s">
        <v>148</v>
      </c>
      <c r="C70" s="77" t="s">
        <v>175</v>
      </c>
      <c r="D70" s="94" t="s">
        <v>181</v>
      </c>
      <c r="E70" s="478">
        <f>'Ocorrências Mensais - FAT'!G90</f>
        <v>1</v>
      </c>
      <c r="F70" s="462">
        <v>2.78</v>
      </c>
      <c r="G70" s="495">
        <f t="shared" si="2"/>
        <v>2.78</v>
      </c>
      <c r="H70" s="497"/>
      <c r="I70" s="34"/>
      <c r="J70" s="492">
        <v>1</v>
      </c>
      <c r="K70" s="77" t="s">
        <v>94</v>
      </c>
      <c r="L70" s="452">
        <f t="shared" si="3"/>
        <v>1</v>
      </c>
    </row>
    <row r="71" spans="1:12" x14ac:dyDescent="0.3">
      <c r="A71" s="95">
        <v>19</v>
      </c>
      <c r="B71" s="481" t="s">
        <v>198</v>
      </c>
      <c r="C71" s="77" t="s">
        <v>175</v>
      </c>
      <c r="D71" s="77" t="s">
        <v>199</v>
      </c>
      <c r="E71" s="478">
        <f>'Ocorrências Mensais - FAT'!G91</f>
        <v>1</v>
      </c>
      <c r="F71" s="462">
        <v>7.67</v>
      </c>
      <c r="G71" s="495">
        <f t="shared" si="2"/>
        <v>7.67</v>
      </c>
      <c r="H71" s="497"/>
      <c r="I71" s="34"/>
      <c r="J71" s="492">
        <v>1</v>
      </c>
      <c r="K71" s="77" t="s">
        <v>94</v>
      </c>
      <c r="L71" s="452">
        <f t="shared" si="3"/>
        <v>1</v>
      </c>
    </row>
    <row r="72" spans="1:12" ht="16.2" thickBot="1" x14ac:dyDescent="0.35">
      <c r="A72" s="1118" t="s">
        <v>168</v>
      </c>
      <c r="B72" s="1119"/>
      <c r="C72" s="1119"/>
      <c r="D72" s="1119"/>
      <c r="E72" s="1119"/>
      <c r="F72" s="1120"/>
      <c r="G72" s="496">
        <f>SUM(G54:G71)</f>
        <v>95.650833333333352</v>
      </c>
      <c r="H72" s="493"/>
      <c r="I72" s="34"/>
      <c r="J72" s="34"/>
      <c r="L72" s="34"/>
    </row>
    <row r="73" spans="1:12" x14ac:dyDescent="0.3">
      <c r="A73" s="486"/>
      <c r="H73" s="487"/>
    </row>
    <row r="74" spans="1:12" ht="18" x14ac:dyDescent="0.3">
      <c r="A74" s="1107" t="s">
        <v>780</v>
      </c>
      <c r="B74" s="1108"/>
      <c r="C74" s="1108"/>
      <c r="D74" s="1108"/>
      <c r="E74" s="1108"/>
      <c r="F74" s="1108"/>
      <c r="G74" s="1108"/>
      <c r="H74" s="1109"/>
      <c r="K74" s="417"/>
    </row>
    <row r="75" spans="1:12" x14ac:dyDescent="0.3">
      <c r="A75" s="488"/>
      <c r="B75" s="470"/>
      <c r="C75" s="470"/>
      <c r="D75" s="470"/>
      <c r="E75" s="470"/>
      <c r="F75" s="470"/>
      <c r="G75" s="470"/>
      <c r="H75" s="489"/>
      <c r="K75" s="417"/>
    </row>
    <row r="76" spans="1:12" x14ac:dyDescent="0.3">
      <c r="A76" s="1113" t="s">
        <v>65</v>
      </c>
      <c r="B76" s="1114" t="s">
        <v>494</v>
      </c>
      <c r="C76" s="1114"/>
      <c r="D76" s="1114"/>
      <c r="E76" s="1114" t="s">
        <v>67</v>
      </c>
      <c r="F76" s="1114"/>
      <c r="G76" s="1114"/>
      <c r="H76" s="1116" t="s">
        <v>495</v>
      </c>
      <c r="J76" s="1117" t="s">
        <v>496</v>
      </c>
      <c r="K76" s="1117"/>
      <c r="L76" s="1117"/>
    </row>
    <row r="77" spans="1:12" ht="36" x14ac:dyDescent="0.3">
      <c r="A77" s="1113"/>
      <c r="B77" s="471" t="s">
        <v>70</v>
      </c>
      <c r="C77" s="472" t="s">
        <v>71</v>
      </c>
      <c r="D77" s="472" t="s">
        <v>503</v>
      </c>
      <c r="E77" s="472" t="s">
        <v>75</v>
      </c>
      <c r="F77" s="472" t="s">
        <v>504</v>
      </c>
      <c r="G77" s="472" t="s">
        <v>505</v>
      </c>
      <c r="H77" s="1116"/>
      <c r="J77" s="494" t="s">
        <v>498</v>
      </c>
      <c r="K77" s="494" t="s">
        <v>77</v>
      </c>
      <c r="L77" s="475" t="s">
        <v>499</v>
      </c>
    </row>
    <row r="78" spans="1:12" x14ac:dyDescent="0.3">
      <c r="A78" s="95">
        <v>1</v>
      </c>
      <c r="B78" s="96" t="s">
        <v>202</v>
      </c>
      <c r="C78" s="77" t="s">
        <v>188</v>
      </c>
      <c r="D78" s="77" t="s">
        <v>203</v>
      </c>
      <c r="E78" s="478">
        <f>'Ocorrências Mensais - FAT'!G100</f>
        <v>2</v>
      </c>
      <c r="F78" s="462">
        <v>8.4700000000000006</v>
      </c>
      <c r="G78" s="495">
        <f t="shared" ref="G78:G84" si="4">E78*F78</f>
        <v>16.940000000000001</v>
      </c>
      <c r="H78" s="497"/>
      <c r="J78" s="492">
        <v>2</v>
      </c>
      <c r="K78" s="77" t="s">
        <v>94</v>
      </c>
      <c r="L78" s="452">
        <f>IF(K78="MENSAL",1,IF(K78="BIMESTRAL",2,IF(K78="TRIMESTRAL",3,IF(K78="QUADRIMESTRAL",4,IF(K78="SEMESTRAL",6,IF(K78="ANUAL",12,IF(K78="BIENAL",24,"")))))))</f>
        <v>1</v>
      </c>
    </row>
    <row r="79" spans="1:12" x14ac:dyDescent="0.3">
      <c r="A79" s="95">
        <v>2</v>
      </c>
      <c r="B79" s="96" t="s">
        <v>204</v>
      </c>
      <c r="C79" s="77" t="s">
        <v>175</v>
      </c>
      <c r="D79" s="77" t="s">
        <v>203</v>
      </c>
      <c r="E79" s="478">
        <f>'Ocorrências Mensais - FAT'!G101</f>
        <v>1</v>
      </c>
      <c r="F79" s="462">
        <v>21.09</v>
      </c>
      <c r="G79" s="495">
        <f t="shared" si="4"/>
        <v>21.09</v>
      </c>
      <c r="H79" s="497"/>
      <c r="J79" s="492">
        <v>2</v>
      </c>
      <c r="K79" s="77" t="s">
        <v>88</v>
      </c>
      <c r="L79" s="452">
        <f t="shared" ref="L79:L84" si="5">IF(K79="MENSAL",1,IF(K79="BIMESTRAL",2,IF(K79="TRIMESTRAL",3,IF(K79="QUADRIMESTRAL",4,IF(K79="SEMESTRAL",6,IF(K79="ANUAL",12,IF(K79="BIENAL",24,"")))))))</f>
        <v>2</v>
      </c>
    </row>
    <row r="80" spans="1:12" x14ac:dyDescent="0.3">
      <c r="A80" s="95">
        <v>3</v>
      </c>
      <c r="B80" s="96" t="s">
        <v>205</v>
      </c>
      <c r="C80" s="77" t="s">
        <v>175</v>
      </c>
      <c r="D80" s="77" t="s">
        <v>206</v>
      </c>
      <c r="E80" s="478">
        <f>'Ocorrências Mensais - FAT'!G102</f>
        <v>1</v>
      </c>
      <c r="F80" s="462">
        <v>13.98</v>
      </c>
      <c r="G80" s="495">
        <f t="shared" si="4"/>
        <v>13.98</v>
      </c>
      <c r="H80" s="497"/>
      <c r="J80" s="492">
        <v>1</v>
      </c>
      <c r="K80" s="77" t="s">
        <v>94</v>
      </c>
      <c r="L80" s="452">
        <f t="shared" si="5"/>
        <v>1</v>
      </c>
    </row>
    <row r="81" spans="1:12" x14ac:dyDescent="0.3">
      <c r="A81" s="95">
        <v>4</v>
      </c>
      <c r="B81" s="96" t="s">
        <v>207</v>
      </c>
      <c r="C81" s="77" t="s">
        <v>175</v>
      </c>
      <c r="D81" s="77" t="s">
        <v>208</v>
      </c>
      <c r="E81" s="478">
        <f>'Ocorrências Mensais - FAT'!G103</f>
        <v>1</v>
      </c>
      <c r="F81" s="462">
        <v>2.2200000000000002</v>
      </c>
      <c r="G81" s="495">
        <f t="shared" si="4"/>
        <v>2.2200000000000002</v>
      </c>
      <c r="H81" s="497"/>
      <c r="J81" s="492">
        <v>1</v>
      </c>
      <c r="K81" s="77" t="s">
        <v>94</v>
      </c>
      <c r="L81" s="452">
        <f t="shared" si="5"/>
        <v>1</v>
      </c>
    </row>
    <row r="82" spans="1:12" x14ac:dyDescent="0.3">
      <c r="A82" s="95">
        <v>5</v>
      </c>
      <c r="B82" s="96" t="s">
        <v>209</v>
      </c>
      <c r="C82" s="77" t="s">
        <v>175</v>
      </c>
      <c r="D82" s="77" t="s">
        <v>208</v>
      </c>
      <c r="E82" s="478">
        <f>'Ocorrências Mensais - FAT'!G104</f>
        <v>1</v>
      </c>
      <c r="F82" s="462">
        <v>17.07</v>
      </c>
      <c r="G82" s="495">
        <f t="shared" si="4"/>
        <v>17.07</v>
      </c>
      <c r="H82" s="497"/>
      <c r="J82" s="492">
        <v>2</v>
      </c>
      <c r="K82" s="77" t="s">
        <v>88</v>
      </c>
      <c r="L82" s="452">
        <f t="shared" si="5"/>
        <v>2</v>
      </c>
    </row>
    <row r="83" spans="1:12" x14ac:dyDescent="0.3">
      <c r="A83" s="95">
        <v>6</v>
      </c>
      <c r="B83" s="96" t="s">
        <v>210</v>
      </c>
      <c r="C83" s="77" t="s">
        <v>175</v>
      </c>
      <c r="D83" s="77" t="s">
        <v>211</v>
      </c>
      <c r="E83" s="478">
        <f>'Ocorrências Mensais - FAT'!G105</f>
        <v>2</v>
      </c>
      <c r="F83" s="462">
        <v>18.23</v>
      </c>
      <c r="G83" s="495">
        <f t="shared" si="4"/>
        <v>36.46</v>
      </c>
      <c r="H83" s="497"/>
      <c r="J83" s="492">
        <v>2</v>
      </c>
      <c r="K83" s="77" t="s">
        <v>94</v>
      </c>
      <c r="L83" s="452">
        <f t="shared" si="5"/>
        <v>1</v>
      </c>
    </row>
    <row r="84" spans="1:12" x14ac:dyDescent="0.3">
      <c r="A84" s="95">
        <v>7</v>
      </c>
      <c r="B84" s="96" t="s">
        <v>212</v>
      </c>
      <c r="C84" s="77" t="s">
        <v>175</v>
      </c>
      <c r="D84" s="77" t="s">
        <v>213</v>
      </c>
      <c r="E84" s="478">
        <f>'Ocorrências Mensais - FAT'!G106</f>
        <v>1</v>
      </c>
      <c r="F84" s="462">
        <v>17.68</v>
      </c>
      <c r="G84" s="495">
        <f t="shared" si="4"/>
        <v>17.68</v>
      </c>
      <c r="H84" s="497"/>
      <c r="J84" s="492">
        <v>2</v>
      </c>
      <c r="K84" s="77" t="s">
        <v>88</v>
      </c>
      <c r="L84" s="452">
        <f t="shared" si="5"/>
        <v>2</v>
      </c>
    </row>
    <row r="85" spans="1:12" ht="15" thickBot="1" x14ac:dyDescent="0.35">
      <c r="A85" s="1121" t="s">
        <v>168</v>
      </c>
      <c r="B85" s="1122"/>
      <c r="C85" s="1122"/>
      <c r="D85" s="1122"/>
      <c r="E85" s="1122"/>
      <c r="F85" s="1123"/>
      <c r="G85" s="496">
        <f>SUM(G78:G84)</f>
        <v>125.44000000000003</v>
      </c>
      <c r="H85" s="493"/>
      <c r="K85" s="417"/>
    </row>
  </sheetData>
  <sheetProtection algorithmName="SHA-512" hashValue="rS1dZZ67z6qYsP75owUrJP92JozgBAVL6kyWOfGobCx0x5YWe1kF459TIXyDXuRqQJwOD7Od7Eaczp9PhXXiUA==" saltValue="LfBXZz9H8zEil4fQxTU9nQ==" spinCount="100000" sheet="1" objects="1" scenarios="1"/>
  <mergeCells count="22">
    <mergeCell ref="J76:L76"/>
    <mergeCell ref="A85:F85"/>
    <mergeCell ref="A72:F72"/>
    <mergeCell ref="A74:H74"/>
    <mergeCell ref="A76:A77"/>
    <mergeCell ref="B76:D76"/>
    <mergeCell ref="E76:G76"/>
    <mergeCell ref="H76:H77"/>
    <mergeCell ref="J7:L7"/>
    <mergeCell ref="A48:F48"/>
    <mergeCell ref="A50:H50"/>
    <mergeCell ref="A52:A53"/>
    <mergeCell ref="B52:D52"/>
    <mergeCell ref="E52:G52"/>
    <mergeCell ref="H52:H53"/>
    <mergeCell ref="J52:L52"/>
    <mergeCell ref="A4:H4"/>
    <mergeCell ref="A5:H5"/>
    <mergeCell ref="A6:A8"/>
    <mergeCell ref="B6:D7"/>
    <mergeCell ref="E6:G7"/>
    <mergeCell ref="H6:H8"/>
  </mergeCells>
  <dataValidations count="1">
    <dataValidation type="list" allowBlank="1" showInputMessage="1" showErrorMessage="1" sqref="K54:K71 K78:K84 K9:K47" xr:uid="{00000000-0002-0000-0400-000000000000}">
      <formula1>"Mensal,Bimestral,Trimestral,Quadrimestral,Semestral,Anual,Bienal"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  <pageSetUpPr fitToPage="1"/>
  </sheetPr>
  <dimension ref="A1:P20"/>
  <sheetViews>
    <sheetView showGridLines="0" view="pageBreakPreview" topLeftCell="B1" zoomScale="90" zoomScaleNormal="115" zoomScaleSheetLayoutView="90" workbookViewId="0">
      <selection activeCell="D26" sqref="D26"/>
    </sheetView>
  </sheetViews>
  <sheetFormatPr defaultColWidth="9" defaultRowHeight="14.4" x14ac:dyDescent="0.3"/>
  <cols>
    <col min="3" max="3" width="59.5546875" customWidth="1"/>
    <col min="5" max="5" width="11.6640625" customWidth="1"/>
    <col min="6" max="6" width="13.109375" customWidth="1"/>
    <col min="7" max="7" width="13.33203125" customWidth="1"/>
    <col min="8" max="8" width="16.109375" customWidth="1"/>
    <col min="9" max="9" width="10.44140625" customWidth="1"/>
    <col min="10" max="10" width="13.109375" customWidth="1"/>
    <col min="11" max="11" width="13" customWidth="1"/>
    <col min="12" max="12" width="10" customWidth="1"/>
    <col min="14" max="14" width="14.33203125" customWidth="1"/>
    <col min="15" max="15" width="12.5546875" bestFit="1" customWidth="1"/>
    <col min="259" max="259" width="59.5546875" customWidth="1"/>
    <col min="262" max="262" width="13.109375" customWidth="1"/>
    <col min="263" max="263" width="13.33203125" customWidth="1"/>
    <col min="264" max="264" width="16.109375" customWidth="1"/>
    <col min="266" max="266" width="13.109375" customWidth="1"/>
    <col min="267" max="267" width="13" customWidth="1"/>
    <col min="270" max="270" width="14.33203125" customWidth="1"/>
    <col min="271" max="271" width="10" bestFit="1" customWidth="1"/>
    <col min="515" max="515" width="59.5546875" customWidth="1"/>
    <col min="518" max="518" width="13.109375" customWidth="1"/>
    <col min="519" max="519" width="13.33203125" customWidth="1"/>
    <col min="520" max="520" width="16.109375" customWidth="1"/>
    <col min="522" max="522" width="13.109375" customWidth="1"/>
    <col min="523" max="523" width="13" customWidth="1"/>
    <col min="526" max="526" width="14.33203125" customWidth="1"/>
    <col min="527" max="527" width="10" bestFit="1" customWidth="1"/>
    <col min="771" max="771" width="59.5546875" customWidth="1"/>
    <col min="774" max="774" width="13.109375" customWidth="1"/>
    <col min="775" max="775" width="13.33203125" customWidth="1"/>
    <col min="776" max="776" width="16.109375" customWidth="1"/>
    <col min="778" max="778" width="13.109375" customWidth="1"/>
    <col min="779" max="779" width="13" customWidth="1"/>
    <col min="782" max="782" width="14.33203125" customWidth="1"/>
    <col min="783" max="783" width="10" bestFit="1" customWidth="1"/>
    <col min="1027" max="1027" width="59.5546875" customWidth="1"/>
    <col min="1030" max="1030" width="13.109375" customWidth="1"/>
    <col min="1031" max="1031" width="13.33203125" customWidth="1"/>
    <col min="1032" max="1032" width="16.109375" customWidth="1"/>
    <col min="1034" max="1034" width="13.109375" customWidth="1"/>
    <col min="1035" max="1035" width="13" customWidth="1"/>
    <col min="1038" max="1038" width="14.33203125" customWidth="1"/>
    <col min="1039" max="1039" width="10" bestFit="1" customWidth="1"/>
    <col min="1283" max="1283" width="59.5546875" customWidth="1"/>
    <col min="1286" max="1286" width="13.109375" customWidth="1"/>
    <col min="1287" max="1287" width="13.33203125" customWidth="1"/>
    <col min="1288" max="1288" width="16.109375" customWidth="1"/>
    <col min="1290" max="1290" width="13.109375" customWidth="1"/>
    <col min="1291" max="1291" width="13" customWidth="1"/>
    <col min="1294" max="1294" width="14.33203125" customWidth="1"/>
    <col min="1295" max="1295" width="10" bestFit="1" customWidth="1"/>
    <col min="1539" max="1539" width="59.5546875" customWidth="1"/>
    <col min="1542" max="1542" width="13.109375" customWidth="1"/>
    <col min="1543" max="1543" width="13.33203125" customWidth="1"/>
    <col min="1544" max="1544" width="16.109375" customWidth="1"/>
    <col min="1546" max="1546" width="13.109375" customWidth="1"/>
    <col min="1547" max="1547" width="13" customWidth="1"/>
    <col min="1550" max="1550" width="14.33203125" customWidth="1"/>
    <col min="1551" max="1551" width="10" bestFit="1" customWidth="1"/>
    <col min="1795" max="1795" width="59.5546875" customWidth="1"/>
    <col min="1798" max="1798" width="13.109375" customWidth="1"/>
    <col min="1799" max="1799" width="13.33203125" customWidth="1"/>
    <col min="1800" max="1800" width="16.109375" customWidth="1"/>
    <col min="1802" max="1802" width="13.109375" customWidth="1"/>
    <col min="1803" max="1803" width="13" customWidth="1"/>
    <col min="1806" max="1806" width="14.33203125" customWidth="1"/>
    <col min="1807" max="1807" width="10" bestFit="1" customWidth="1"/>
    <col min="2051" max="2051" width="59.5546875" customWidth="1"/>
    <col min="2054" max="2054" width="13.109375" customWidth="1"/>
    <col min="2055" max="2055" width="13.33203125" customWidth="1"/>
    <col min="2056" max="2056" width="16.109375" customWidth="1"/>
    <col min="2058" max="2058" width="13.109375" customWidth="1"/>
    <col min="2059" max="2059" width="13" customWidth="1"/>
    <col min="2062" max="2062" width="14.33203125" customWidth="1"/>
    <col min="2063" max="2063" width="10" bestFit="1" customWidth="1"/>
    <col min="2307" max="2307" width="59.5546875" customWidth="1"/>
    <col min="2310" max="2310" width="13.109375" customWidth="1"/>
    <col min="2311" max="2311" width="13.33203125" customWidth="1"/>
    <col min="2312" max="2312" width="16.109375" customWidth="1"/>
    <col min="2314" max="2314" width="13.109375" customWidth="1"/>
    <col min="2315" max="2315" width="13" customWidth="1"/>
    <col min="2318" max="2318" width="14.33203125" customWidth="1"/>
    <col min="2319" max="2319" width="10" bestFit="1" customWidth="1"/>
    <col min="2563" max="2563" width="59.5546875" customWidth="1"/>
    <col min="2566" max="2566" width="13.109375" customWidth="1"/>
    <col min="2567" max="2567" width="13.33203125" customWidth="1"/>
    <col min="2568" max="2568" width="16.109375" customWidth="1"/>
    <col min="2570" max="2570" width="13.109375" customWidth="1"/>
    <col min="2571" max="2571" width="13" customWidth="1"/>
    <col min="2574" max="2574" width="14.33203125" customWidth="1"/>
    <col min="2575" max="2575" width="10" bestFit="1" customWidth="1"/>
    <col min="2819" max="2819" width="59.5546875" customWidth="1"/>
    <col min="2822" max="2822" width="13.109375" customWidth="1"/>
    <col min="2823" max="2823" width="13.33203125" customWidth="1"/>
    <col min="2824" max="2824" width="16.109375" customWidth="1"/>
    <col min="2826" max="2826" width="13.109375" customWidth="1"/>
    <col min="2827" max="2827" width="13" customWidth="1"/>
    <col min="2830" max="2830" width="14.33203125" customWidth="1"/>
    <col min="2831" max="2831" width="10" bestFit="1" customWidth="1"/>
    <col min="3075" max="3075" width="59.5546875" customWidth="1"/>
    <col min="3078" max="3078" width="13.109375" customWidth="1"/>
    <col min="3079" max="3079" width="13.33203125" customWidth="1"/>
    <col min="3080" max="3080" width="16.109375" customWidth="1"/>
    <col min="3082" max="3082" width="13.109375" customWidth="1"/>
    <col min="3083" max="3083" width="13" customWidth="1"/>
    <col min="3086" max="3086" width="14.33203125" customWidth="1"/>
    <col min="3087" max="3087" width="10" bestFit="1" customWidth="1"/>
    <col min="3331" max="3331" width="59.5546875" customWidth="1"/>
    <col min="3334" max="3334" width="13.109375" customWidth="1"/>
    <col min="3335" max="3335" width="13.33203125" customWidth="1"/>
    <col min="3336" max="3336" width="16.109375" customWidth="1"/>
    <col min="3338" max="3338" width="13.109375" customWidth="1"/>
    <col min="3339" max="3339" width="13" customWidth="1"/>
    <col min="3342" max="3342" width="14.33203125" customWidth="1"/>
    <col min="3343" max="3343" width="10" bestFit="1" customWidth="1"/>
    <col min="3587" max="3587" width="59.5546875" customWidth="1"/>
    <col min="3590" max="3590" width="13.109375" customWidth="1"/>
    <col min="3591" max="3591" width="13.33203125" customWidth="1"/>
    <col min="3592" max="3592" width="16.109375" customWidth="1"/>
    <col min="3594" max="3594" width="13.109375" customWidth="1"/>
    <col min="3595" max="3595" width="13" customWidth="1"/>
    <col min="3598" max="3598" width="14.33203125" customWidth="1"/>
    <col min="3599" max="3599" width="10" bestFit="1" customWidth="1"/>
    <col min="3843" max="3843" width="59.5546875" customWidth="1"/>
    <col min="3846" max="3846" width="13.109375" customWidth="1"/>
    <col min="3847" max="3847" width="13.33203125" customWidth="1"/>
    <col min="3848" max="3848" width="16.109375" customWidth="1"/>
    <col min="3850" max="3850" width="13.109375" customWidth="1"/>
    <col min="3851" max="3851" width="13" customWidth="1"/>
    <col min="3854" max="3854" width="14.33203125" customWidth="1"/>
    <col min="3855" max="3855" width="10" bestFit="1" customWidth="1"/>
    <col min="4099" max="4099" width="59.5546875" customWidth="1"/>
    <col min="4102" max="4102" width="13.109375" customWidth="1"/>
    <col min="4103" max="4103" width="13.33203125" customWidth="1"/>
    <col min="4104" max="4104" width="16.109375" customWidth="1"/>
    <col min="4106" max="4106" width="13.109375" customWidth="1"/>
    <col min="4107" max="4107" width="13" customWidth="1"/>
    <col min="4110" max="4110" width="14.33203125" customWidth="1"/>
    <col min="4111" max="4111" width="10" bestFit="1" customWidth="1"/>
    <col min="4355" max="4355" width="59.5546875" customWidth="1"/>
    <col min="4358" max="4358" width="13.109375" customWidth="1"/>
    <col min="4359" max="4359" width="13.33203125" customWidth="1"/>
    <col min="4360" max="4360" width="16.109375" customWidth="1"/>
    <col min="4362" max="4362" width="13.109375" customWidth="1"/>
    <col min="4363" max="4363" width="13" customWidth="1"/>
    <col min="4366" max="4366" width="14.33203125" customWidth="1"/>
    <col min="4367" max="4367" width="10" bestFit="1" customWidth="1"/>
    <col min="4611" max="4611" width="59.5546875" customWidth="1"/>
    <col min="4614" max="4614" width="13.109375" customWidth="1"/>
    <col min="4615" max="4615" width="13.33203125" customWidth="1"/>
    <col min="4616" max="4616" width="16.109375" customWidth="1"/>
    <col min="4618" max="4618" width="13.109375" customWidth="1"/>
    <col min="4619" max="4619" width="13" customWidth="1"/>
    <col min="4622" max="4622" width="14.33203125" customWidth="1"/>
    <col min="4623" max="4623" width="10" bestFit="1" customWidth="1"/>
    <col min="4867" max="4867" width="59.5546875" customWidth="1"/>
    <col min="4870" max="4870" width="13.109375" customWidth="1"/>
    <col min="4871" max="4871" width="13.33203125" customWidth="1"/>
    <col min="4872" max="4872" width="16.109375" customWidth="1"/>
    <col min="4874" max="4874" width="13.109375" customWidth="1"/>
    <col min="4875" max="4875" width="13" customWidth="1"/>
    <col min="4878" max="4878" width="14.33203125" customWidth="1"/>
    <col min="4879" max="4879" width="10" bestFit="1" customWidth="1"/>
    <col min="5123" max="5123" width="59.5546875" customWidth="1"/>
    <col min="5126" max="5126" width="13.109375" customWidth="1"/>
    <col min="5127" max="5127" width="13.33203125" customWidth="1"/>
    <col min="5128" max="5128" width="16.109375" customWidth="1"/>
    <col min="5130" max="5130" width="13.109375" customWidth="1"/>
    <col min="5131" max="5131" width="13" customWidth="1"/>
    <col min="5134" max="5134" width="14.33203125" customWidth="1"/>
    <col min="5135" max="5135" width="10" bestFit="1" customWidth="1"/>
    <col min="5379" max="5379" width="59.5546875" customWidth="1"/>
    <col min="5382" max="5382" width="13.109375" customWidth="1"/>
    <col min="5383" max="5383" width="13.33203125" customWidth="1"/>
    <col min="5384" max="5384" width="16.109375" customWidth="1"/>
    <col min="5386" max="5386" width="13.109375" customWidth="1"/>
    <col min="5387" max="5387" width="13" customWidth="1"/>
    <col min="5390" max="5390" width="14.33203125" customWidth="1"/>
    <col min="5391" max="5391" width="10" bestFit="1" customWidth="1"/>
    <col min="5635" max="5635" width="59.5546875" customWidth="1"/>
    <col min="5638" max="5638" width="13.109375" customWidth="1"/>
    <col min="5639" max="5639" width="13.33203125" customWidth="1"/>
    <col min="5640" max="5640" width="16.109375" customWidth="1"/>
    <col min="5642" max="5642" width="13.109375" customWidth="1"/>
    <col min="5643" max="5643" width="13" customWidth="1"/>
    <col min="5646" max="5646" width="14.33203125" customWidth="1"/>
    <col min="5647" max="5647" width="10" bestFit="1" customWidth="1"/>
    <col min="5891" max="5891" width="59.5546875" customWidth="1"/>
    <col min="5894" max="5894" width="13.109375" customWidth="1"/>
    <col min="5895" max="5895" width="13.33203125" customWidth="1"/>
    <col min="5896" max="5896" width="16.109375" customWidth="1"/>
    <col min="5898" max="5898" width="13.109375" customWidth="1"/>
    <col min="5899" max="5899" width="13" customWidth="1"/>
    <col min="5902" max="5902" width="14.33203125" customWidth="1"/>
    <col min="5903" max="5903" width="10" bestFit="1" customWidth="1"/>
    <col min="6147" max="6147" width="59.5546875" customWidth="1"/>
    <col min="6150" max="6150" width="13.109375" customWidth="1"/>
    <col min="6151" max="6151" width="13.33203125" customWidth="1"/>
    <col min="6152" max="6152" width="16.109375" customWidth="1"/>
    <col min="6154" max="6154" width="13.109375" customWidth="1"/>
    <col min="6155" max="6155" width="13" customWidth="1"/>
    <col min="6158" max="6158" width="14.33203125" customWidth="1"/>
    <col min="6159" max="6159" width="10" bestFit="1" customWidth="1"/>
    <col min="6403" max="6403" width="59.5546875" customWidth="1"/>
    <col min="6406" max="6406" width="13.109375" customWidth="1"/>
    <col min="6407" max="6407" width="13.33203125" customWidth="1"/>
    <col min="6408" max="6408" width="16.109375" customWidth="1"/>
    <col min="6410" max="6410" width="13.109375" customWidth="1"/>
    <col min="6411" max="6411" width="13" customWidth="1"/>
    <col min="6414" max="6414" width="14.33203125" customWidth="1"/>
    <col min="6415" max="6415" width="10" bestFit="1" customWidth="1"/>
    <col min="6659" max="6659" width="59.5546875" customWidth="1"/>
    <col min="6662" max="6662" width="13.109375" customWidth="1"/>
    <col min="6663" max="6663" width="13.33203125" customWidth="1"/>
    <col min="6664" max="6664" width="16.109375" customWidth="1"/>
    <col min="6666" max="6666" width="13.109375" customWidth="1"/>
    <col min="6667" max="6667" width="13" customWidth="1"/>
    <col min="6670" max="6670" width="14.33203125" customWidth="1"/>
    <col min="6671" max="6671" width="10" bestFit="1" customWidth="1"/>
    <col min="6915" max="6915" width="59.5546875" customWidth="1"/>
    <col min="6918" max="6918" width="13.109375" customWidth="1"/>
    <col min="6919" max="6919" width="13.33203125" customWidth="1"/>
    <col min="6920" max="6920" width="16.109375" customWidth="1"/>
    <col min="6922" max="6922" width="13.109375" customWidth="1"/>
    <col min="6923" max="6923" width="13" customWidth="1"/>
    <col min="6926" max="6926" width="14.33203125" customWidth="1"/>
    <col min="6927" max="6927" width="10" bestFit="1" customWidth="1"/>
    <col min="7171" max="7171" width="59.5546875" customWidth="1"/>
    <col min="7174" max="7174" width="13.109375" customWidth="1"/>
    <col min="7175" max="7175" width="13.33203125" customWidth="1"/>
    <col min="7176" max="7176" width="16.109375" customWidth="1"/>
    <col min="7178" max="7178" width="13.109375" customWidth="1"/>
    <col min="7179" max="7179" width="13" customWidth="1"/>
    <col min="7182" max="7182" width="14.33203125" customWidth="1"/>
    <col min="7183" max="7183" width="10" bestFit="1" customWidth="1"/>
    <col min="7427" max="7427" width="59.5546875" customWidth="1"/>
    <col min="7430" max="7430" width="13.109375" customWidth="1"/>
    <col min="7431" max="7431" width="13.33203125" customWidth="1"/>
    <col min="7432" max="7432" width="16.109375" customWidth="1"/>
    <col min="7434" max="7434" width="13.109375" customWidth="1"/>
    <col min="7435" max="7435" width="13" customWidth="1"/>
    <col min="7438" max="7438" width="14.33203125" customWidth="1"/>
    <col min="7439" max="7439" width="10" bestFit="1" customWidth="1"/>
    <col min="7683" max="7683" width="59.5546875" customWidth="1"/>
    <col min="7686" max="7686" width="13.109375" customWidth="1"/>
    <col min="7687" max="7687" width="13.33203125" customWidth="1"/>
    <col min="7688" max="7688" width="16.109375" customWidth="1"/>
    <col min="7690" max="7690" width="13.109375" customWidth="1"/>
    <col min="7691" max="7691" width="13" customWidth="1"/>
    <col min="7694" max="7694" width="14.33203125" customWidth="1"/>
    <col min="7695" max="7695" width="10" bestFit="1" customWidth="1"/>
    <col min="7939" max="7939" width="59.5546875" customWidth="1"/>
    <col min="7942" max="7942" width="13.109375" customWidth="1"/>
    <col min="7943" max="7943" width="13.33203125" customWidth="1"/>
    <col min="7944" max="7944" width="16.109375" customWidth="1"/>
    <col min="7946" max="7946" width="13.109375" customWidth="1"/>
    <col min="7947" max="7947" width="13" customWidth="1"/>
    <col min="7950" max="7950" width="14.33203125" customWidth="1"/>
    <col min="7951" max="7951" width="10" bestFit="1" customWidth="1"/>
    <col min="8195" max="8195" width="59.5546875" customWidth="1"/>
    <col min="8198" max="8198" width="13.109375" customWidth="1"/>
    <col min="8199" max="8199" width="13.33203125" customWidth="1"/>
    <col min="8200" max="8200" width="16.109375" customWidth="1"/>
    <col min="8202" max="8202" width="13.109375" customWidth="1"/>
    <col min="8203" max="8203" width="13" customWidth="1"/>
    <col min="8206" max="8206" width="14.33203125" customWidth="1"/>
    <col min="8207" max="8207" width="10" bestFit="1" customWidth="1"/>
    <col min="8451" max="8451" width="59.5546875" customWidth="1"/>
    <col min="8454" max="8454" width="13.109375" customWidth="1"/>
    <col min="8455" max="8455" width="13.33203125" customWidth="1"/>
    <col min="8456" max="8456" width="16.109375" customWidth="1"/>
    <col min="8458" max="8458" width="13.109375" customWidth="1"/>
    <col min="8459" max="8459" width="13" customWidth="1"/>
    <col min="8462" max="8462" width="14.33203125" customWidth="1"/>
    <col min="8463" max="8463" width="10" bestFit="1" customWidth="1"/>
    <col min="8707" max="8707" width="59.5546875" customWidth="1"/>
    <col min="8710" max="8710" width="13.109375" customWidth="1"/>
    <col min="8711" max="8711" width="13.33203125" customWidth="1"/>
    <col min="8712" max="8712" width="16.109375" customWidth="1"/>
    <col min="8714" max="8714" width="13.109375" customWidth="1"/>
    <col min="8715" max="8715" width="13" customWidth="1"/>
    <col min="8718" max="8718" width="14.33203125" customWidth="1"/>
    <col min="8719" max="8719" width="10" bestFit="1" customWidth="1"/>
    <col min="8963" max="8963" width="59.5546875" customWidth="1"/>
    <col min="8966" max="8966" width="13.109375" customWidth="1"/>
    <col min="8967" max="8967" width="13.33203125" customWidth="1"/>
    <col min="8968" max="8968" width="16.109375" customWidth="1"/>
    <col min="8970" max="8970" width="13.109375" customWidth="1"/>
    <col min="8971" max="8971" width="13" customWidth="1"/>
    <col min="8974" max="8974" width="14.33203125" customWidth="1"/>
    <col min="8975" max="8975" width="10" bestFit="1" customWidth="1"/>
    <col min="9219" max="9219" width="59.5546875" customWidth="1"/>
    <col min="9222" max="9222" width="13.109375" customWidth="1"/>
    <col min="9223" max="9223" width="13.33203125" customWidth="1"/>
    <col min="9224" max="9224" width="16.109375" customWidth="1"/>
    <col min="9226" max="9226" width="13.109375" customWidth="1"/>
    <col min="9227" max="9227" width="13" customWidth="1"/>
    <col min="9230" max="9230" width="14.33203125" customWidth="1"/>
    <col min="9231" max="9231" width="10" bestFit="1" customWidth="1"/>
    <col min="9475" max="9475" width="59.5546875" customWidth="1"/>
    <col min="9478" max="9478" width="13.109375" customWidth="1"/>
    <col min="9479" max="9479" width="13.33203125" customWidth="1"/>
    <col min="9480" max="9480" width="16.109375" customWidth="1"/>
    <col min="9482" max="9482" width="13.109375" customWidth="1"/>
    <col min="9483" max="9483" width="13" customWidth="1"/>
    <col min="9486" max="9486" width="14.33203125" customWidth="1"/>
    <col min="9487" max="9487" width="10" bestFit="1" customWidth="1"/>
    <col min="9731" max="9731" width="59.5546875" customWidth="1"/>
    <col min="9734" max="9734" width="13.109375" customWidth="1"/>
    <col min="9735" max="9735" width="13.33203125" customWidth="1"/>
    <col min="9736" max="9736" width="16.109375" customWidth="1"/>
    <col min="9738" max="9738" width="13.109375" customWidth="1"/>
    <col min="9739" max="9739" width="13" customWidth="1"/>
    <col min="9742" max="9742" width="14.33203125" customWidth="1"/>
    <col min="9743" max="9743" width="10" bestFit="1" customWidth="1"/>
    <col min="9987" max="9987" width="59.5546875" customWidth="1"/>
    <col min="9990" max="9990" width="13.109375" customWidth="1"/>
    <col min="9991" max="9991" width="13.33203125" customWidth="1"/>
    <col min="9992" max="9992" width="16.109375" customWidth="1"/>
    <col min="9994" max="9994" width="13.109375" customWidth="1"/>
    <col min="9995" max="9995" width="13" customWidth="1"/>
    <col min="9998" max="9998" width="14.33203125" customWidth="1"/>
    <col min="9999" max="9999" width="10" bestFit="1" customWidth="1"/>
    <col min="10243" max="10243" width="59.5546875" customWidth="1"/>
    <col min="10246" max="10246" width="13.109375" customWidth="1"/>
    <col min="10247" max="10247" width="13.33203125" customWidth="1"/>
    <col min="10248" max="10248" width="16.109375" customWidth="1"/>
    <col min="10250" max="10250" width="13.109375" customWidth="1"/>
    <col min="10251" max="10251" width="13" customWidth="1"/>
    <col min="10254" max="10254" width="14.33203125" customWidth="1"/>
    <col min="10255" max="10255" width="10" bestFit="1" customWidth="1"/>
    <col min="10499" max="10499" width="59.5546875" customWidth="1"/>
    <col min="10502" max="10502" width="13.109375" customWidth="1"/>
    <col min="10503" max="10503" width="13.33203125" customWidth="1"/>
    <col min="10504" max="10504" width="16.109375" customWidth="1"/>
    <col min="10506" max="10506" width="13.109375" customWidth="1"/>
    <col min="10507" max="10507" width="13" customWidth="1"/>
    <col min="10510" max="10510" width="14.33203125" customWidth="1"/>
    <col min="10511" max="10511" width="10" bestFit="1" customWidth="1"/>
    <col min="10755" max="10755" width="59.5546875" customWidth="1"/>
    <col min="10758" max="10758" width="13.109375" customWidth="1"/>
    <col min="10759" max="10759" width="13.33203125" customWidth="1"/>
    <col min="10760" max="10760" width="16.109375" customWidth="1"/>
    <col min="10762" max="10762" width="13.109375" customWidth="1"/>
    <col min="10763" max="10763" width="13" customWidth="1"/>
    <col min="10766" max="10766" width="14.33203125" customWidth="1"/>
    <col min="10767" max="10767" width="10" bestFit="1" customWidth="1"/>
    <col min="11011" max="11011" width="59.5546875" customWidth="1"/>
    <col min="11014" max="11014" width="13.109375" customWidth="1"/>
    <col min="11015" max="11015" width="13.33203125" customWidth="1"/>
    <col min="11016" max="11016" width="16.109375" customWidth="1"/>
    <col min="11018" max="11018" width="13.109375" customWidth="1"/>
    <col min="11019" max="11019" width="13" customWidth="1"/>
    <col min="11022" max="11022" width="14.33203125" customWidth="1"/>
    <col min="11023" max="11023" width="10" bestFit="1" customWidth="1"/>
    <col min="11267" max="11267" width="59.5546875" customWidth="1"/>
    <col min="11270" max="11270" width="13.109375" customWidth="1"/>
    <col min="11271" max="11271" width="13.33203125" customWidth="1"/>
    <col min="11272" max="11272" width="16.109375" customWidth="1"/>
    <col min="11274" max="11274" width="13.109375" customWidth="1"/>
    <col min="11275" max="11275" width="13" customWidth="1"/>
    <col min="11278" max="11278" width="14.33203125" customWidth="1"/>
    <col min="11279" max="11279" width="10" bestFit="1" customWidth="1"/>
    <col min="11523" max="11523" width="59.5546875" customWidth="1"/>
    <col min="11526" max="11526" width="13.109375" customWidth="1"/>
    <col min="11527" max="11527" width="13.33203125" customWidth="1"/>
    <col min="11528" max="11528" width="16.109375" customWidth="1"/>
    <col min="11530" max="11530" width="13.109375" customWidth="1"/>
    <col min="11531" max="11531" width="13" customWidth="1"/>
    <col min="11534" max="11534" width="14.33203125" customWidth="1"/>
    <col min="11535" max="11535" width="10" bestFit="1" customWidth="1"/>
    <col min="11779" max="11779" width="59.5546875" customWidth="1"/>
    <col min="11782" max="11782" width="13.109375" customWidth="1"/>
    <col min="11783" max="11783" width="13.33203125" customWidth="1"/>
    <col min="11784" max="11784" width="16.109375" customWidth="1"/>
    <col min="11786" max="11786" width="13.109375" customWidth="1"/>
    <col min="11787" max="11787" width="13" customWidth="1"/>
    <col min="11790" max="11790" width="14.33203125" customWidth="1"/>
    <col min="11791" max="11791" width="10" bestFit="1" customWidth="1"/>
    <col min="12035" max="12035" width="59.5546875" customWidth="1"/>
    <col min="12038" max="12038" width="13.109375" customWidth="1"/>
    <col min="12039" max="12039" width="13.33203125" customWidth="1"/>
    <col min="12040" max="12040" width="16.109375" customWidth="1"/>
    <col min="12042" max="12042" width="13.109375" customWidth="1"/>
    <col min="12043" max="12043" width="13" customWidth="1"/>
    <col min="12046" max="12046" width="14.33203125" customWidth="1"/>
    <col min="12047" max="12047" width="10" bestFit="1" customWidth="1"/>
    <col min="12291" max="12291" width="59.5546875" customWidth="1"/>
    <col min="12294" max="12294" width="13.109375" customWidth="1"/>
    <col min="12295" max="12295" width="13.33203125" customWidth="1"/>
    <col min="12296" max="12296" width="16.109375" customWidth="1"/>
    <col min="12298" max="12298" width="13.109375" customWidth="1"/>
    <col min="12299" max="12299" width="13" customWidth="1"/>
    <col min="12302" max="12302" width="14.33203125" customWidth="1"/>
    <col min="12303" max="12303" width="10" bestFit="1" customWidth="1"/>
    <col min="12547" max="12547" width="59.5546875" customWidth="1"/>
    <col min="12550" max="12550" width="13.109375" customWidth="1"/>
    <col min="12551" max="12551" width="13.33203125" customWidth="1"/>
    <col min="12552" max="12552" width="16.109375" customWidth="1"/>
    <col min="12554" max="12554" width="13.109375" customWidth="1"/>
    <col min="12555" max="12555" width="13" customWidth="1"/>
    <col min="12558" max="12558" width="14.33203125" customWidth="1"/>
    <col min="12559" max="12559" width="10" bestFit="1" customWidth="1"/>
    <col min="12803" max="12803" width="59.5546875" customWidth="1"/>
    <col min="12806" max="12806" width="13.109375" customWidth="1"/>
    <col min="12807" max="12807" width="13.33203125" customWidth="1"/>
    <col min="12808" max="12808" width="16.109375" customWidth="1"/>
    <col min="12810" max="12810" width="13.109375" customWidth="1"/>
    <col min="12811" max="12811" width="13" customWidth="1"/>
    <col min="12814" max="12814" width="14.33203125" customWidth="1"/>
    <col min="12815" max="12815" width="10" bestFit="1" customWidth="1"/>
    <col min="13059" max="13059" width="59.5546875" customWidth="1"/>
    <col min="13062" max="13062" width="13.109375" customWidth="1"/>
    <col min="13063" max="13063" width="13.33203125" customWidth="1"/>
    <col min="13064" max="13064" width="16.109375" customWidth="1"/>
    <col min="13066" max="13066" width="13.109375" customWidth="1"/>
    <col min="13067" max="13067" width="13" customWidth="1"/>
    <col min="13070" max="13070" width="14.33203125" customWidth="1"/>
    <col min="13071" max="13071" width="10" bestFit="1" customWidth="1"/>
    <col min="13315" max="13315" width="59.5546875" customWidth="1"/>
    <col min="13318" max="13318" width="13.109375" customWidth="1"/>
    <col min="13319" max="13319" width="13.33203125" customWidth="1"/>
    <col min="13320" max="13320" width="16.109375" customWidth="1"/>
    <col min="13322" max="13322" width="13.109375" customWidth="1"/>
    <col min="13323" max="13323" width="13" customWidth="1"/>
    <col min="13326" max="13326" width="14.33203125" customWidth="1"/>
    <col min="13327" max="13327" width="10" bestFit="1" customWidth="1"/>
    <col min="13571" max="13571" width="59.5546875" customWidth="1"/>
    <col min="13574" max="13574" width="13.109375" customWidth="1"/>
    <col min="13575" max="13575" width="13.33203125" customWidth="1"/>
    <col min="13576" max="13576" width="16.109375" customWidth="1"/>
    <col min="13578" max="13578" width="13.109375" customWidth="1"/>
    <col min="13579" max="13579" width="13" customWidth="1"/>
    <col min="13582" max="13582" width="14.33203125" customWidth="1"/>
    <col min="13583" max="13583" width="10" bestFit="1" customWidth="1"/>
    <col min="13827" max="13827" width="59.5546875" customWidth="1"/>
    <col min="13830" max="13830" width="13.109375" customWidth="1"/>
    <col min="13831" max="13831" width="13.33203125" customWidth="1"/>
    <col min="13832" max="13832" width="16.109375" customWidth="1"/>
    <col min="13834" max="13834" width="13.109375" customWidth="1"/>
    <col min="13835" max="13835" width="13" customWidth="1"/>
    <col min="13838" max="13838" width="14.33203125" customWidth="1"/>
    <col min="13839" max="13839" width="10" bestFit="1" customWidth="1"/>
    <col min="14083" max="14083" width="59.5546875" customWidth="1"/>
    <col min="14086" max="14086" width="13.109375" customWidth="1"/>
    <col min="14087" max="14087" width="13.33203125" customWidth="1"/>
    <col min="14088" max="14088" width="16.109375" customWidth="1"/>
    <col min="14090" max="14090" width="13.109375" customWidth="1"/>
    <col min="14091" max="14091" width="13" customWidth="1"/>
    <col min="14094" max="14094" width="14.33203125" customWidth="1"/>
    <col min="14095" max="14095" width="10" bestFit="1" customWidth="1"/>
    <col min="14339" max="14339" width="59.5546875" customWidth="1"/>
    <col min="14342" max="14342" width="13.109375" customWidth="1"/>
    <col min="14343" max="14343" width="13.33203125" customWidth="1"/>
    <col min="14344" max="14344" width="16.109375" customWidth="1"/>
    <col min="14346" max="14346" width="13.109375" customWidth="1"/>
    <col min="14347" max="14347" width="13" customWidth="1"/>
    <col min="14350" max="14350" width="14.33203125" customWidth="1"/>
    <col min="14351" max="14351" width="10" bestFit="1" customWidth="1"/>
    <col min="14595" max="14595" width="59.5546875" customWidth="1"/>
    <col min="14598" max="14598" width="13.109375" customWidth="1"/>
    <col min="14599" max="14599" width="13.33203125" customWidth="1"/>
    <col min="14600" max="14600" width="16.109375" customWidth="1"/>
    <col min="14602" max="14602" width="13.109375" customWidth="1"/>
    <col min="14603" max="14603" width="13" customWidth="1"/>
    <col min="14606" max="14606" width="14.33203125" customWidth="1"/>
    <col min="14607" max="14607" width="10" bestFit="1" customWidth="1"/>
    <col min="14851" max="14851" width="59.5546875" customWidth="1"/>
    <col min="14854" max="14854" width="13.109375" customWidth="1"/>
    <col min="14855" max="14855" width="13.33203125" customWidth="1"/>
    <col min="14856" max="14856" width="16.109375" customWidth="1"/>
    <col min="14858" max="14858" width="13.109375" customWidth="1"/>
    <col min="14859" max="14859" width="13" customWidth="1"/>
    <col min="14862" max="14862" width="14.33203125" customWidth="1"/>
    <col min="14863" max="14863" width="10" bestFit="1" customWidth="1"/>
    <col min="15107" max="15107" width="59.5546875" customWidth="1"/>
    <col min="15110" max="15110" width="13.109375" customWidth="1"/>
    <col min="15111" max="15111" width="13.33203125" customWidth="1"/>
    <col min="15112" max="15112" width="16.109375" customWidth="1"/>
    <col min="15114" max="15114" width="13.109375" customWidth="1"/>
    <col min="15115" max="15115" width="13" customWidth="1"/>
    <col min="15118" max="15118" width="14.33203125" customWidth="1"/>
    <col min="15119" max="15119" width="10" bestFit="1" customWidth="1"/>
    <col min="15363" max="15363" width="59.5546875" customWidth="1"/>
    <col min="15366" max="15366" width="13.109375" customWidth="1"/>
    <col min="15367" max="15367" width="13.33203125" customWidth="1"/>
    <col min="15368" max="15368" width="16.109375" customWidth="1"/>
    <col min="15370" max="15370" width="13.109375" customWidth="1"/>
    <col min="15371" max="15371" width="13" customWidth="1"/>
    <col min="15374" max="15374" width="14.33203125" customWidth="1"/>
    <col min="15375" max="15375" width="10" bestFit="1" customWidth="1"/>
    <col min="15619" max="15619" width="59.5546875" customWidth="1"/>
    <col min="15622" max="15622" width="13.109375" customWidth="1"/>
    <col min="15623" max="15623" width="13.33203125" customWidth="1"/>
    <col min="15624" max="15624" width="16.109375" customWidth="1"/>
    <col min="15626" max="15626" width="13.109375" customWidth="1"/>
    <col min="15627" max="15627" width="13" customWidth="1"/>
    <col min="15630" max="15630" width="14.33203125" customWidth="1"/>
    <col min="15631" max="15631" width="10" bestFit="1" customWidth="1"/>
    <col min="15875" max="15875" width="59.5546875" customWidth="1"/>
    <col min="15878" max="15878" width="13.109375" customWidth="1"/>
    <col min="15879" max="15879" width="13.33203125" customWidth="1"/>
    <col min="15880" max="15880" width="16.109375" customWidth="1"/>
    <col min="15882" max="15882" width="13.109375" customWidth="1"/>
    <col min="15883" max="15883" width="13" customWidth="1"/>
    <col min="15886" max="15886" width="14.33203125" customWidth="1"/>
    <col min="15887" max="15887" width="10" bestFit="1" customWidth="1"/>
    <col min="16131" max="16131" width="59.5546875" customWidth="1"/>
    <col min="16134" max="16134" width="13.109375" customWidth="1"/>
    <col min="16135" max="16135" width="13.33203125" customWidth="1"/>
    <col min="16136" max="16136" width="16.109375" customWidth="1"/>
    <col min="16138" max="16138" width="13.109375" customWidth="1"/>
    <col min="16139" max="16139" width="13" customWidth="1"/>
    <col min="16142" max="16142" width="14.33203125" customWidth="1"/>
    <col min="16143" max="16143" width="10" bestFit="1" customWidth="1"/>
  </cols>
  <sheetData>
    <row r="1" spans="1:16" ht="13.5" customHeight="1" x14ac:dyDescent="0.3">
      <c r="A1" s="426"/>
      <c r="B1" s="265" t="str">
        <f>INSTRUÇÕES!B1</f>
        <v>Tribunal Regional Federal da 6ª Região</v>
      </c>
      <c r="C1" s="441"/>
      <c r="D1" s="441"/>
      <c r="E1" s="441"/>
      <c r="F1" s="441"/>
      <c r="G1" s="441"/>
      <c r="H1" s="441"/>
      <c r="I1" s="441"/>
      <c r="J1" s="442"/>
      <c r="K1" s="443"/>
      <c r="L1" s="443"/>
      <c r="M1" s="444"/>
      <c r="N1" s="444"/>
    </row>
    <row r="2" spans="1:16" ht="12.75" customHeight="1" x14ac:dyDescent="0.3">
      <c r="A2" s="431"/>
      <c r="B2" s="265" t="str">
        <f>INSTRUÇÕES!B2</f>
        <v>Seção Judiciária de Minas Gerais</v>
      </c>
      <c r="C2" s="441"/>
      <c r="D2" s="441"/>
      <c r="E2" s="441"/>
      <c r="F2" s="441"/>
      <c r="G2" s="441"/>
      <c r="H2" s="441"/>
      <c r="I2" s="441"/>
      <c r="J2" s="442"/>
      <c r="K2" s="443"/>
      <c r="L2" s="443"/>
      <c r="M2" s="444"/>
      <c r="N2" s="444"/>
    </row>
    <row r="3" spans="1:16" x14ac:dyDescent="0.3">
      <c r="A3" s="435"/>
      <c r="B3" s="265" t="str">
        <f>INSTRUÇÕES!B3</f>
        <v>Subseção Judiciária de Sete Lagoas</v>
      </c>
      <c r="C3" s="441"/>
      <c r="D3" s="441"/>
      <c r="E3" s="441"/>
      <c r="F3" s="441"/>
      <c r="G3" s="441"/>
      <c r="H3" s="441"/>
      <c r="I3" s="441"/>
      <c r="J3" s="442"/>
      <c r="K3" s="443"/>
      <c r="L3" s="443"/>
      <c r="M3" s="444"/>
      <c r="N3" s="444"/>
    </row>
    <row r="4" spans="1:16" s="563" customFormat="1" ht="15.6" x14ac:dyDescent="0.3">
      <c r="A4" s="1127" t="s">
        <v>729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562"/>
      <c r="N4" s="562"/>
    </row>
    <row r="5" spans="1:16" ht="21" customHeight="1" x14ac:dyDescent="0.3">
      <c r="A5" s="1128" t="s">
        <v>493</v>
      </c>
      <c r="B5" s="1128"/>
      <c r="C5" s="1128"/>
      <c r="D5" s="1128"/>
      <c r="E5" s="1128"/>
      <c r="F5" s="1128"/>
      <c r="G5" s="1128"/>
      <c r="H5" s="1128"/>
      <c r="I5" s="1128"/>
      <c r="J5" s="1128"/>
      <c r="K5" s="1128"/>
      <c r="L5" s="1128"/>
      <c r="M5" s="444"/>
      <c r="N5" s="444"/>
    </row>
    <row r="6" spans="1:16" ht="28.8" x14ac:dyDescent="0.3">
      <c r="A6" s="1129" t="s">
        <v>507</v>
      </c>
      <c r="B6" s="1129"/>
      <c r="C6" s="1129"/>
      <c r="D6" s="445" t="s">
        <v>508</v>
      </c>
      <c r="E6" s="446" t="s">
        <v>509</v>
      </c>
      <c r="F6" s="447" t="s">
        <v>77</v>
      </c>
      <c r="G6" s="1130" t="s">
        <v>72</v>
      </c>
      <c r="H6" s="1130"/>
      <c r="I6" s="1130"/>
      <c r="J6" s="447" t="s">
        <v>504</v>
      </c>
      <c r="K6" s="448" t="s">
        <v>510</v>
      </c>
      <c r="L6" s="447" t="s">
        <v>511</v>
      </c>
    </row>
    <row r="7" spans="1:16" ht="109.5" customHeight="1" x14ac:dyDescent="0.3">
      <c r="A7" s="449" t="s">
        <v>512</v>
      </c>
      <c r="B7" s="450">
        <v>1</v>
      </c>
      <c r="C7" s="822" t="s">
        <v>776</v>
      </c>
      <c r="D7" s="451" t="s">
        <v>513</v>
      </c>
      <c r="E7" s="451" t="s">
        <v>509</v>
      </c>
      <c r="F7" s="449" t="str">
        <f>O15</f>
        <v>Quadrimestral</v>
      </c>
      <c r="G7" s="1131" t="s">
        <v>781</v>
      </c>
      <c r="H7" s="1131"/>
      <c r="I7" s="1131"/>
      <c r="J7" s="462">
        <v>1.34</v>
      </c>
      <c r="K7" s="69">
        <f>'Ocorrências Mensais - FAT'!G115</f>
        <v>12</v>
      </c>
      <c r="L7" s="69">
        <f>ROUND(((J7*K7)),2)</f>
        <v>16.079999999999998</v>
      </c>
    </row>
    <row r="8" spans="1:16" x14ac:dyDescent="0.3">
      <c r="A8" s="1125" t="s">
        <v>514</v>
      </c>
      <c r="B8" s="1125"/>
      <c r="C8" s="1126" t="s">
        <v>515</v>
      </c>
      <c r="D8" s="1126"/>
      <c r="E8" s="1126"/>
      <c r="F8" s="1126"/>
      <c r="G8" s="1126"/>
      <c r="H8" s="1126"/>
      <c r="I8" s="1126"/>
      <c r="J8" s="1126"/>
      <c r="K8" s="1126"/>
      <c r="L8" s="1126"/>
      <c r="N8" s="444"/>
    </row>
    <row r="9" spans="1:16" x14ac:dyDescent="0.3">
      <c r="A9" s="453"/>
      <c r="B9" s="454"/>
      <c r="C9" s="455"/>
      <c r="D9" s="455"/>
      <c r="E9" s="455"/>
      <c r="F9" s="456"/>
      <c r="G9" s="242"/>
      <c r="H9" s="457"/>
      <c r="I9" s="458"/>
      <c r="J9" s="459"/>
      <c r="K9" s="67"/>
      <c r="L9" s="68"/>
      <c r="M9" s="68"/>
      <c r="N9" s="444"/>
    </row>
    <row r="10" spans="1:16" x14ac:dyDescent="0.3">
      <c r="A10" s="1124" t="s">
        <v>516</v>
      </c>
      <c r="B10" s="1124"/>
      <c r="C10" s="1124"/>
      <c r="D10" s="1124"/>
      <c r="E10" s="1124"/>
      <c r="F10" s="1124"/>
      <c r="G10" s="1124"/>
      <c r="H10" s="1124"/>
      <c r="I10" s="1124"/>
      <c r="J10" s="1124"/>
      <c r="K10" s="1124"/>
      <c r="L10" s="1124"/>
      <c r="N10" s="1133" t="s">
        <v>496</v>
      </c>
      <c r="O10" s="1133"/>
      <c r="P10" s="1133"/>
    </row>
    <row r="11" spans="1:16" ht="25.5" customHeight="1" x14ac:dyDescent="0.3">
      <c r="A11" s="1134" t="s">
        <v>65</v>
      </c>
      <c r="B11" s="1134" t="s">
        <v>517</v>
      </c>
      <c r="C11" s="1134"/>
      <c r="D11" s="1134" t="s">
        <v>518</v>
      </c>
      <c r="E11" s="1134" t="s">
        <v>738</v>
      </c>
      <c r="F11" s="1134" t="s">
        <v>739</v>
      </c>
      <c r="G11" s="1134" t="s">
        <v>740</v>
      </c>
      <c r="H11" s="1134" t="s">
        <v>741</v>
      </c>
      <c r="I11" s="1134" t="s">
        <v>742</v>
      </c>
      <c r="J11" s="1134" t="s">
        <v>526</v>
      </c>
      <c r="K11" s="617" t="s">
        <v>520</v>
      </c>
      <c r="L11" s="1134" t="s">
        <v>519</v>
      </c>
      <c r="N11" s="1134" t="s">
        <v>743</v>
      </c>
      <c r="O11" s="1134"/>
      <c r="P11" s="1134"/>
    </row>
    <row r="12" spans="1:16" ht="15" customHeight="1" x14ac:dyDescent="0.3">
      <c r="A12" s="1134"/>
      <c r="B12" s="1134"/>
      <c r="C12" s="1134"/>
      <c r="D12" s="1134"/>
      <c r="E12" s="1134"/>
      <c r="F12" s="1134"/>
      <c r="G12" s="1134"/>
      <c r="H12" s="1134"/>
      <c r="I12" s="1134"/>
      <c r="J12" s="1134"/>
      <c r="K12" s="1134" t="s">
        <v>523</v>
      </c>
      <c r="L12" s="1134"/>
      <c r="N12" s="1134"/>
      <c r="O12" s="1134"/>
      <c r="P12" s="1134"/>
    </row>
    <row r="13" spans="1:16" x14ac:dyDescent="0.3">
      <c r="A13" s="1134"/>
      <c r="B13" s="1134"/>
      <c r="C13" s="1134"/>
      <c r="D13" s="1134"/>
      <c r="E13" s="1134"/>
      <c r="F13" s="1134"/>
      <c r="G13" s="1134"/>
      <c r="H13" s="1134"/>
      <c r="I13" s="1134"/>
      <c r="J13" s="1134"/>
      <c r="K13" s="1134"/>
      <c r="L13" s="1134"/>
      <c r="N13" s="1134"/>
      <c r="O13" s="1134"/>
      <c r="P13" s="1134"/>
    </row>
    <row r="14" spans="1:16" ht="25.5" customHeight="1" x14ac:dyDescent="0.3">
      <c r="A14" s="1134"/>
      <c r="B14" s="1134"/>
      <c r="C14" s="1134"/>
      <c r="D14" s="1134"/>
      <c r="E14" s="1134"/>
      <c r="F14" s="1134"/>
      <c r="G14" s="1134"/>
      <c r="H14" s="1134"/>
      <c r="I14" s="1134"/>
      <c r="J14" s="1134"/>
      <c r="K14" s="617">
        <v>3</v>
      </c>
      <c r="L14" s="617" t="s">
        <v>522</v>
      </c>
      <c r="N14" s="616" t="s">
        <v>498</v>
      </c>
      <c r="O14" s="616" t="s">
        <v>77</v>
      </c>
      <c r="P14" s="616" t="s">
        <v>499</v>
      </c>
    </row>
    <row r="15" spans="1:16" x14ac:dyDescent="0.3">
      <c r="A15" s="644">
        <v>1</v>
      </c>
      <c r="B15" s="1132" t="str">
        <f>Dados!C7</f>
        <v>Servente de Limpeza 40% Insalubridade</v>
      </c>
      <c r="C15" s="1132"/>
      <c r="D15" s="645">
        <f>Dados!D7</f>
        <v>200</v>
      </c>
      <c r="E15" s="645">
        <f>Dados!B7</f>
        <v>1</v>
      </c>
      <c r="F15" s="618">
        <f>'Ocorrências Mensais - FAT'!$G$116</f>
        <v>2</v>
      </c>
      <c r="G15" s="618">
        <f>E15*F15</f>
        <v>2</v>
      </c>
      <c r="H15" s="619">
        <f>$J$7</f>
        <v>1.34</v>
      </c>
      <c r="I15" s="646">
        <f>G15*H15</f>
        <v>2.68</v>
      </c>
      <c r="J15" s="647">
        <f>ROUND((I15/E15),2)</f>
        <v>2.68</v>
      </c>
      <c r="K15" s="620">
        <f>ROUND((E15*N15),2)</f>
        <v>8</v>
      </c>
      <c r="L15" s="620">
        <f>ROUND(((E15*N15)*$K$14),2)</f>
        <v>24</v>
      </c>
      <c r="N15" s="620">
        <f>IF(D15&lt;=150,6,IF(D15&lt;=200,8,IF(D15&lt;=220,10)))</f>
        <v>8</v>
      </c>
      <c r="O15" s="621" t="s">
        <v>216</v>
      </c>
      <c r="P15" s="622">
        <f>IF(O15="MENSAL",1,IF(O15="BIMESTRAL",2,IF(O15="TRIMESTRAL",3,IF(O15="QUADRIMESTRAL",4,IF(O15="SEMESTRAL",6,IF(O15="ANUAL",12,IF(O15="BIENAL",24,"")))))))</f>
        <v>4</v>
      </c>
    </row>
    <row r="16" spans="1:16" x14ac:dyDescent="0.3">
      <c r="A16" s="644">
        <v>2</v>
      </c>
      <c r="B16" s="1132" t="str">
        <f>Dados!C8</f>
        <v xml:space="preserve">Servente de Limpeza  </v>
      </c>
      <c r="C16" s="1132"/>
      <c r="D16" s="645">
        <f>Dados!D8</f>
        <v>200</v>
      </c>
      <c r="E16" s="645">
        <f>Dados!B8</f>
        <v>1</v>
      </c>
      <c r="F16" s="618">
        <f>'Ocorrências Mensais - FAT'!$G$116</f>
        <v>2</v>
      </c>
      <c r="G16" s="618">
        <f t="shared" ref="G16:G19" si="0">E16*F16</f>
        <v>2</v>
      </c>
      <c r="H16" s="619">
        <f t="shared" ref="H16:H19" si="1">$J$7</f>
        <v>1.34</v>
      </c>
      <c r="I16" s="646">
        <f t="shared" ref="I16:I19" si="2">G16*H16</f>
        <v>2.68</v>
      </c>
      <c r="J16" s="647">
        <f>ROUND((I16/E16),2)</f>
        <v>2.68</v>
      </c>
      <c r="K16" s="620">
        <f>ROUND((E16*N16),2)</f>
        <v>8</v>
      </c>
      <c r="L16" s="620">
        <f>ROUND(((E16*N16)*$K$14),2)</f>
        <v>24</v>
      </c>
      <c r="N16" s="620">
        <f>IF(D16&lt;=150,6,IF(D16&lt;=200,8,IF(D16&lt;=220,10)))</f>
        <v>8</v>
      </c>
      <c r="O16" s="621" t="s">
        <v>216</v>
      </c>
      <c r="P16" s="622">
        <f t="shared" ref="P16:P19" si="3">IF(O16="MENSAL",1,IF(O16="BIMESTRAL",2,IF(O16="TRIMESTRAL",3,IF(O16="QUADRIMESTRAL",4,IF(O16="SEMESTRAL",6,IF(O16="ANUAL",12,IF(O16="BIENAL",24,"")))))))</f>
        <v>4</v>
      </c>
    </row>
    <row r="17" spans="1:16" x14ac:dyDescent="0.3">
      <c r="A17" s="644">
        <v>3</v>
      </c>
      <c r="B17" s="1132" t="str">
        <f>Dados!C9</f>
        <v>Copeira</v>
      </c>
      <c r="C17" s="1132"/>
      <c r="D17" s="645">
        <f>Dados!D9</f>
        <v>200</v>
      </c>
      <c r="E17" s="645">
        <f>Dados!B9</f>
        <v>1</v>
      </c>
      <c r="F17" s="618">
        <f>'Ocorrências Mensais - FAT'!$G$116</f>
        <v>2</v>
      </c>
      <c r="G17" s="618">
        <f t="shared" si="0"/>
        <v>2</v>
      </c>
      <c r="H17" s="619">
        <f t="shared" si="1"/>
        <v>1.34</v>
      </c>
      <c r="I17" s="646">
        <f t="shared" si="2"/>
        <v>2.68</v>
      </c>
      <c r="J17" s="647">
        <f>ROUND((I17/E17),2)</f>
        <v>2.68</v>
      </c>
      <c r="K17" s="620">
        <f>ROUND((E17*N17),2)</f>
        <v>8</v>
      </c>
      <c r="L17" s="620">
        <f>ROUND(((E17*N17)*$K$14),2)</f>
        <v>24</v>
      </c>
      <c r="N17" s="620">
        <f>IF(D17&lt;=150,6,IF(D17&lt;=200,8,IF(D17&lt;=220,10)))</f>
        <v>8</v>
      </c>
      <c r="O17" s="621" t="s">
        <v>216</v>
      </c>
      <c r="P17" s="622">
        <f t="shared" si="3"/>
        <v>4</v>
      </c>
    </row>
    <row r="18" spans="1:16" x14ac:dyDescent="0.3">
      <c r="A18" s="644">
        <v>4</v>
      </c>
      <c r="B18" s="1132" t="str">
        <f>Dados!C10</f>
        <v>Zelador com Acúmulo de Lavador de Carro</v>
      </c>
      <c r="C18" s="1132"/>
      <c r="D18" s="645">
        <f>Dados!D10</f>
        <v>200</v>
      </c>
      <c r="E18" s="645">
        <f>Dados!B10</f>
        <v>1</v>
      </c>
      <c r="F18" s="618">
        <f>'Ocorrências Mensais - FAT'!$G$116</f>
        <v>2</v>
      </c>
      <c r="G18" s="618">
        <f t="shared" si="0"/>
        <v>2</v>
      </c>
      <c r="H18" s="619">
        <f t="shared" si="1"/>
        <v>1.34</v>
      </c>
      <c r="I18" s="646">
        <f t="shared" si="2"/>
        <v>2.68</v>
      </c>
      <c r="J18" s="647">
        <f>ROUND((I18/E18),2)</f>
        <v>2.68</v>
      </c>
      <c r="K18" s="620">
        <f>ROUND((E18*N18),2)</f>
        <v>8</v>
      </c>
      <c r="L18" s="620">
        <f>ROUND(((E18*N18)*$K$14),2)</f>
        <v>24</v>
      </c>
      <c r="N18" s="620">
        <f>IF(D18&lt;=150,6,IF(D18&lt;=200,8,IF(D18&lt;=220,10)))</f>
        <v>8</v>
      </c>
      <c r="O18" s="621" t="s">
        <v>216</v>
      </c>
      <c r="P18" s="622">
        <f t="shared" si="3"/>
        <v>4</v>
      </c>
    </row>
    <row r="19" spans="1:16" x14ac:dyDescent="0.3">
      <c r="A19" s="644">
        <v>5</v>
      </c>
      <c r="B19" s="1132" t="str">
        <f>Dados!C11</f>
        <v>Auxiliar Administrativo</v>
      </c>
      <c r="C19" s="1132"/>
      <c r="D19" s="645">
        <f>Dados!D11</f>
        <v>200</v>
      </c>
      <c r="E19" s="645">
        <f>Dados!B11</f>
        <v>2</v>
      </c>
      <c r="F19" s="618">
        <f>'Ocorrências Mensais - FAT'!$G$116</f>
        <v>2</v>
      </c>
      <c r="G19" s="618">
        <f t="shared" si="0"/>
        <v>4</v>
      </c>
      <c r="H19" s="619">
        <f t="shared" si="1"/>
        <v>1.34</v>
      </c>
      <c r="I19" s="646">
        <f t="shared" si="2"/>
        <v>5.36</v>
      </c>
      <c r="J19" s="647">
        <f>ROUND((I19/E19),2)</f>
        <v>2.68</v>
      </c>
      <c r="K19" s="620">
        <f>ROUND((E19*N19),2)</f>
        <v>16</v>
      </c>
      <c r="L19" s="620">
        <f>ROUND(((E19*N19)*$K$14),2)</f>
        <v>48</v>
      </c>
      <c r="N19" s="620">
        <f>IF(D19&lt;=150,6,IF(D19&lt;=200,8,IF(D19&lt;=220,10)))</f>
        <v>8</v>
      </c>
      <c r="O19" s="621" t="s">
        <v>216</v>
      </c>
      <c r="P19" s="622">
        <f t="shared" si="3"/>
        <v>4</v>
      </c>
    </row>
    <row r="20" spans="1:16" x14ac:dyDescent="0.3">
      <c r="A20" s="1124" t="s">
        <v>525</v>
      </c>
      <c r="B20" s="1124"/>
      <c r="C20" s="1124"/>
      <c r="D20" s="1124"/>
      <c r="E20" s="1124"/>
      <c r="F20" s="662">
        <f>SUM(N15:N19)</f>
        <v>40</v>
      </c>
      <c r="G20" s="662">
        <f>SUM(G15:G19)</f>
        <v>12</v>
      </c>
      <c r="H20" s="623" t="s">
        <v>328</v>
      </c>
      <c r="I20" s="648">
        <f>SUM(I15:I19)</f>
        <v>16.080000000000002</v>
      </c>
      <c r="J20" s="648" t="s">
        <v>328</v>
      </c>
      <c r="K20" s="662">
        <f>SUM(K15:K19)</f>
        <v>48</v>
      </c>
      <c r="L20" s="662">
        <f>SUM(L15:L19)</f>
        <v>144</v>
      </c>
      <c r="N20" s="461"/>
      <c r="O20" s="586"/>
    </row>
  </sheetData>
  <sheetProtection algorithmName="SHA-512" hashValue="WKH9sG01gxuHKIoTAjVQezZ42mD5/qPEFZYz3Tok6tBTNkN4RcLJITVTMkvArBm2Tn+0Qbxj/cBR/3A2BR1JeA==" saltValue="Uf8iiCrcm8WgnAVvimcJiA==" spinCount="100000" sheet="1" objects="1" scenarios="1"/>
  <mergeCells count="27">
    <mergeCell ref="N10:P10"/>
    <mergeCell ref="A11:A14"/>
    <mergeCell ref="B11:C14"/>
    <mergeCell ref="G11:G14"/>
    <mergeCell ref="H11:H14"/>
    <mergeCell ref="N11:P13"/>
    <mergeCell ref="K12:K13"/>
    <mergeCell ref="L11:L13"/>
    <mergeCell ref="D11:D14"/>
    <mergeCell ref="E11:E14"/>
    <mergeCell ref="F11:F14"/>
    <mergeCell ref="I11:I14"/>
    <mergeCell ref="J11:J14"/>
    <mergeCell ref="A20:E20"/>
    <mergeCell ref="A8:B8"/>
    <mergeCell ref="C8:L8"/>
    <mergeCell ref="A4:L4"/>
    <mergeCell ref="A5:L5"/>
    <mergeCell ref="A6:C6"/>
    <mergeCell ref="G6:I6"/>
    <mergeCell ref="G7:I7"/>
    <mergeCell ref="B15:C15"/>
    <mergeCell ref="B16:C16"/>
    <mergeCell ref="B17:C17"/>
    <mergeCell ref="B18:C18"/>
    <mergeCell ref="B19:C19"/>
    <mergeCell ref="A10:L10"/>
  </mergeCells>
  <dataValidations count="1">
    <dataValidation type="list" allowBlank="1" showInputMessage="1" showErrorMessage="1" sqref="O15:O19" xr:uid="{00000000-0002-0000-0500-000000000000}">
      <formula1>"Mensal,Bimestral,Trimestral,Quadrimestral,Semestral,Anual,Bienal"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9" fitToHeight="2" orientation="portrait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  <pageSetUpPr fitToPage="1"/>
  </sheetPr>
  <dimension ref="A1:G12"/>
  <sheetViews>
    <sheetView showGridLines="0" view="pageBreakPreview" zoomScale="90" zoomScaleNormal="100" zoomScaleSheetLayoutView="90" workbookViewId="0">
      <selection activeCell="D26" sqref="D26"/>
    </sheetView>
  </sheetViews>
  <sheetFormatPr defaultColWidth="9" defaultRowHeight="14.4" x14ac:dyDescent="0.3"/>
  <cols>
    <col min="1" max="1" width="5.5546875" style="34" customWidth="1"/>
    <col min="2" max="2" width="45.109375" style="34" customWidth="1"/>
    <col min="3" max="3" width="7.88671875" style="34" customWidth="1"/>
    <col min="4" max="7" width="13.6640625" style="34" customWidth="1"/>
    <col min="257" max="257" width="5.5546875" customWidth="1"/>
    <col min="258" max="258" width="45.109375" customWidth="1"/>
    <col min="259" max="259" width="6.33203125" customWidth="1"/>
    <col min="260" max="263" width="13.6640625" customWidth="1"/>
    <col min="513" max="513" width="5.5546875" customWidth="1"/>
    <col min="514" max="514" width="45.109375" customWidth="1"/>
    <col min="515" max="515" width="6.33203125" customWidth="1"/>
    <col min="516" max="519" width="13.6640625" customWidth="1"/>
    <col min="769" max="769" width="5.5546875" customWidth="1"/>
    <col min="770" max="770" width="45.109375" customWidth="1"/>
    <col min="771" max="771" width="6.33203125" customWidth="1"/>
    <col min="772" max="775" width="13.6640625" customWidth="1"/>
    <col min="1025" max="1025" width="5.5546875" customWidth="1"/>
    <col min="1026" max="1026" width="45.109375" customWidth="1"/>
    <col min="1027" max="1027" width="6.33203125" customWidth="1"/>
    <col min="1028" max="1031" width="13.6640625" customWidth="1"/>
    <col min="1281" max="1281" width="5.5546875" customWidth="1"/>
    <col min="1282" max="1282" width="45.109375" customWidth="1"/>
    <col min="1283" max="1283" width="6.33203125" customWidth="1"/>
    <col min="1284" max="1287" width="13.6640625" customWidth="1"/>
    <col min="1537" max="1537" width="5.5546875" customWidth="1"/>
    <col min="1538" max="1538" width="45.109375" customWidth="1"/>
    <col min="1539" max="1539" width="6.33203125" customWidth="1"/>
    <col min="1540" max="1543" width="13.6640625" customWidth="1"/>
    <col min="1793" max="1793" width="5.5546875" customWidth="1"/>
    <col min="1794" max="1794" width="45.109375" customWidth="1"/>
    <col min="1795" max="1795" width="6.33203125" customWidth="1"/>
    <col min="1796" max="1799" width="13.6640625" customWidth="1"/>
    <col min="2049" max="2049" width="5.5546875" customWidth="1"/>
    <col min="2050" max="2050" width="45.109375" customWidth="1"/>
    <col min="2051" max="2051" width="6.33203125" customWidth="1"/>
    <col min="2052" max="2055" width="13.6640625" customWidth="1"/>
    <col min="2305" max="2305" width="5.5546875" customWidth="1"/>
    <col min="2306" max="2306" width="45.109375" customWidth="1"/>
    <col min="2307" max="2307" width="6.33203125" customWidth="1"/>
    <col min="2308" max="2311" width="13.6640625" customWidth="1"/>
    <col min="2561" max="2561" width="5.5546875" customWidth="1"/>
    <col min="2562" max="2562" width="45.109375" customWidth="1"/>
    <col min="2563" max="2563" width="6.33203125" customWidth="1"/>
    <col min="2564" max="2567" width="13.6640625" customWidth="1"/>
    <col min="2817" max="2817" width="5.5546875" customWidth="1"/>
    <col min="2818" max="2818" width="45.109375" customWidth="1"/>
    <col min="2819" max="2819" width="6.33203125" customWidth="1"/>
    <col min="2820" max="2823" width="13.6640625" customWidth="1"/>
    <col min="3073" max="3073" width="5.5546875" customWidth="1"/>
    <col min="3074" max="3074" width="45.109375" customWidth="1"/>
    <col min="3075" max="3075" width="6.33203125" customWidth="1"/>
    <col min="3076" max="3079" width="13.6640625" customWidth="1"/>
    <col min="3329" max="3329" width="5.5546875" customWidth="1"/>
    <col min="3330" max="3330" width="45.109375" customWidth="1"/>
    <col min="3331" max="3331" width="6.33203125" customWidth="1"/>
    <col min="3332" max="3335" width="13.6640625" customWidth="1"/>
    <col min="3585" max="3585" width="5.5546875" customWidth="1"/>
    <col min="3586" max="3586" width="45.109375" customWidth="1"/>
    <col min="3587" max="3587" width="6.33203125" customWidth="1"/>
    <col min="3588" max="3591" width="13.6640625" customWidth="1"/>
    <col min="3841" max="3841" width="5.5546875" customWidth="1"/>
    <col min="3842" max="3842" width="45.109375" customWidth="1"/>
    <col min="3843" max="3843" width="6.33203125" customWidth="1"/>
    <col min="3844" max="3847" width="13.6640625" customWidth="1"/>
    <col min="4097" max="4097" width="5.5546875" customWidth="1"/>
    <col min="4098" max="4098" width="45.109375" customWidth="1"/>
    <col min="4099" max="4099" width="6.33203125" customWidth="1"/>
    <col min="4100" max="4103" width="13.6640625" customWidth="1"/>
    <col min="4353" max="4353" width="5.5546875" customWidth="1"/>
    <col min="4354" max="4354" width="45.109375" customWidth="1"/>
    <col min="4355" max="4355" width="6.33203125" customWidth="1"/>
    <col min="4356" max="4359" width="13.6640625" customWidth="1"/>
    <col min="4609" max="4609" width="5.5546875" customWidth="1"/>
    <col min="4610" max="4610" width="45.109375" customWidth="1"/>
    <col min="4611" max="4611" width="6.33203125" customWidth="1"/>
    <col min="4612" max="4615" width="13.6640625" customWidth="1"/>
    <col min="4865" max="4865" width="5.5546875" customWidth="1"/>
    <col min="4866" max="4866" width="45.109375" customWidth="1"/>
    <col min="4867" max="4867" width="6.33203125" customWidth="1"/>
    <col min="4868" max="4871" width="13.6640625" customWidth="1"/>
    <col min="5121" max="5121" width="5.5546875" customWidth="1"/>
    <col min="5122" max="5122" width="45.109375" customWidth="1"/>
    <col min="5123" max="5123" width="6.33203125" customWidth="1"/>
    <col min="5124" max="5127" width="13.6640625" customWidth="1"/>
    <col min="5377" max="5377" width="5.5546875" customWidth="1"/>
    <col min="5378" max="5378" width="45.109375" customWidth="1"/>
    <col min="5379" max="5379" width="6.33203125" customWidth="1"/>
    <col min="5380" max="5383" width="13.6640625" customWidth="1"/>
    <col min="5633" max="5633" width="5.5546875" customWidth="1"/>
    <col min="5634" max="5634" width="45.109375" customWidth="1"/>
    <col min="5635" max="5635" width="6.33203125" customWidth="1"/>
    <col min="5636" max="5639" width="13.6640625" customWidth="1"/>
    <col min="5889" max="5889" width="5.5546875" customWidth="1"/>
    <col min="5890" max="5890" width="45.109375" customWidth="1"/>
    <col min="5891" max="5891" width="6.33203125" customWidth="1"/>
    <col min="5892" max="5895" width="13.6640625" customWidth="1"/>
    <col min="6145" max="6145" width="5.5546875" customWidth="1"/>
    <col min="6146" max="6146" width="45.109375" customWidth="1"/>
    <col min="6147" max="6147" width="6.33203125" customWidth="1"/>
    <col min="6148" max="6151" width="13.6640625" customWidth="1"/>
    <col min="6401" max="6401" width="5.5546875" customWidth="1"/>
    <col min="6402" max="6402" width="45.109375" customWidth="1"/>
    <col min="6403" max="6403" width="6.33203125" customWidth="1"/>
    <col min="6404" max="6407" width="13.6640625" customWidth="1"/>
    <col min="6657" max="6657" width="5.5546875" customWidth="1"/>
    <col min="6658" max="6658" width="45.109375" customWidth="1"/>
    <col min="6659" max="6659" width="6.33203125" customWidth="1"/>
    <col min="6660" max="6663" width="13.6640625" customWidth="1"/>
    <col min="6913" max="6913" width="5.5546875" customWidth="1"/>
    <col min="6914" max="6914" width="45.109375" customWidth="1"/>
    <col min="6915" max="6915" width="6.33203125" customWidth="1"/>
    <col min="6916" max="6919" width="13.6640625" customWidth="1"/>
    <col min="7169" max="7169" width="5.5546875" customWidth="1"/>
    <col min="7170" max="7170" width="45.109375" customWidth="1"/>
    <col min="7171" max="7171" width="6.33203125" customWidth="1"/>
    <col min="7172" max="7175" width="13.6640625" customWidth="1"/>
    <col min="7425" max="7425" width="5.5546875" customWidth="1"/>
    <col min="7426" max="7426" width="45.109375" customWidth="1"/>
    <col min="7427" max="7427" width="6.33203125" customWidth="1"/>
    <col min="7428" max="7431" width="13.6640625" customWidth="1"/>
    <col min="7681" max="7681" width="5.5546875" customWidth="1"/>
    <col min="7682" max="7682" width="45.109375" customWidth="1"/>
    <col min="7683" max="7683" width="6.33203125" customWidth="1"/>
    <col min="7684" max="7687" width="13.6640625" customWidth="1"/>
    <col min="7937" max="7937" width="5.5546875" customWidth="1"/>
    <col min="7938" max="7938" width="45.109375" customWidth="1"/>
    <col min="7939" max="7939" width="6.33203125" customWidth="1"/>
    <col min="7940" max="7943" width="13.6640625" customWidth="1"/>
    <col min="8193" max="8193" width="5.5546875" customWidth="1"/>
    <col min="8194" max="8194" width="45.109375" customWidth="1"/>
    <col min="8195" max="8195" width="6.33203125" customWidth="1"/>
    <col min="8196" max="8199" width="13.6640625" customWidth="1"/>
    <col min="8449" max="8449" width="5.5546875" customWidth="1"/>
    <col min="8450" max="8450" width="45.109375" customWidth="1"/>
    <col min="8451" max="8451" width="6.33203125" customWidth="1"/>
    <col min="8452" max="8455" width="13.6640625" customWidth="1"/>
    <col min="8705" max="8705" width="5.5546875" customWidth="1"/>
    <col min="8706" max="8706" width="45.109375" customWidth="1"/>
    <col min="8707" max="8707" width="6.33203125" customWidth="1"/>
    <col min="8708" max="8711" width="13.6640625" customWidth="1"/>
    <col min="8961" max="8961" width="5.5546875" customWidth="1"/>
    <col min="8962" max="8962" width="45.109375" customWidth="1"/>
    <col min="8963" max="8963" width="6.33203125" customWidth="1"/>
    <col min="8964" max="8967" width="13.6640625" customWidth="1"/>
    <col min="9217" max="9217" width="5.5546875" customWidth="1"/>
    <col min="9218" max="9218" width="45.109375" customWidth="1"/>
    <col min="9219" max="9219" width="6.33203125" customWidth="1"/>
    <col min="9220" max="9223" width="13.6640625" customWidth="1"/>
    <col min="9473" max="9473" width="5.5546875" customWidth="1"/>
    <col min="9474" max="9474" width="45.109375" customWidth="1"/>
    <col min="9475" max="9475" width="6.33203125" customWidth="1"/>
    <col min="9476" max="9479" width="13.6640625" customWidth="1"/>
    <col min="9729" max="9729" width="5.5546875" customWidth="1"/>
    <col min="9730" max="9730" width="45.109375" customWidth="1"/>
    <col min="9731" max="9731" width="6.33203125" customWidth="1"/>
    <col min="9732" max="9735" width="13.6640625" customWidth="1"/>
    <col min="9985" max="9985" width="5.5546875" customWidth="1"/>
    <col min="9986" max="9986" width="45.109375" customWidth="1"/>
    <col min="9987" max="9987" width="6.33203125" customWidth="1"/>
    <col min="9988" max="9991" width="13.6640625" customWidth="1"/>
    <col min="10241" max="10241" width="5.5546875" customWidth="1"/>
    <col min="10242" max="10242" width="45.109375" customWidth="1"/>
    <col min="10243" max="10243" width="6.33203125" customWidth="1"/>
    <col min="10244" max="10247" width="13.6640625" customWidth="1"/>
    <col min="10497" max="10497" width="5.5546875" customWidth="1"/>
    <col min="10498" max="10498" width="45.109375" customWidth="1"/>
    <col min="10499" max="10499" width="6.33203125" customWidth="1"/>
    <col min="10500" max="10503" width="13.6640625" customWidth="1"/>
    <col min="10753" max="10753" width="5.5546875" customWidth="1"/>
    <col min="10754" max="10754" width="45.109375" customWidth="1"/>
    <col min="10755" max="10755" width="6.33203125" customWidth="1"/>
    <col min="10756" max="10759" width="13.6640625" customWidth="1"/>
    <col min="11009" max="11009" width="5.5546875" customWidth="1"/>
    <col min="11010" max="11010" width="45.109375" customWidth="1"/>
    <col min="11011" max="11011" width="6.33203125" customWidth="1"/>
    <col min="11012" max="11015" width="13.6640625" customWidth="1"/>
    <col min="11265" max="11265" width="5.5546875" customWidth="1"/>
    <col min="11266" max="11266" width="45.109375" customWidth="1"/>
    <col min="11267" max="11267" width="6.33203125" customWidth="1"/>
    <col min="11268" max="11271" width="13.6640625" customWidth="1"/>
    <col min="11521" max="11521" width="5.5546875" customWidth="1"/>
    <col min="11522" max="11522" width="45.109375" customWidth="1"/>
    <col min="11523" max="11523" width="6.33203125" customWidth="1"/>
    <col min="11524" max="11527" width="13.6640625" customWidth="1"/>
    <col min="11777" max="11777" width="5.5546875" customWidth="1"/>
    <col min="11778" max="11778" width="45.109375" customWidth="1"/>
    <col min="11779" max="11779" width="6.33203125" customWidth="1"/>
    <col min="11780" max="11783" width="13.6640625" customWidth="1"/>
    <col min="12033" max="12033" width="5.5546875" customWidth="1"/>
    <col min="12034" max="12034" width="45.109375" customWidth="1"/>
    <col min="12035" max="12035" width="6.33203125" customWidth="1"/>
    <col min="12036" max="12039" width="13.6640625" customWidth="1"/>
    <col min="12289" max="12289" width="5.5546875" customWidth="1"/>
    <col min="12290" max="12290" width="45.109375" customWidth="1"/>
    <col min="12291" max="12291" width="6.33203125" customWidth="1"/>
    <col min="12292" max="12295" width="13.6640625" customWidth="1"/>
    <col min="12545" max="12545" width="5.5546875" customWidth="1"/>
    <col min="12546" max="12546" width="45.109375" customWidth="1"/>
    <col min="12547" max="12547" width="6.33203125" customWidth="1"/>
    <col min="12548" max="12551" width="13.6640625" customWidth="1"/>
    <col min="12801" max="12801" width="5.5546875" customWidth="1"/>
    <col min="12802" max="12802" width="45.109375" customWidth="1"/>
    <col min="12803" max="12803" width="6.33203125" customWidth="1"/>
    <col min="12804" max="12807" width="13.6640625" customWidth="1"/>
    <col min="13057" max="13057" width="5.5546875" customWidth="1"/>
    <col min="13058" max="13058" width="45.109375" customWidth="1"/>
    <col min="13059" max="13059" width="6.33203125" customWidth="1"/>
    <col min="13060" max="13063" width="13.6640625" customWidth="1"/>
    <col min="13313" max="13313" width="5.5546875" customWidth="1"/>
    <col min="13314" max="13314" width="45.109375" customWidth="1"/>
    <col min="13315" max="13315" width="6.33203125" customWidth="1"/>
    <col min="13316" max="13319" width="13.6640625" customWidth="1"/>
    <col min="13569" max="13569" width="5.5546875" customWidth="1"/>
    <col min="13570" max="13570" width="45.109375" customWidth="1"/>
    <col min="13571" max="13571" width="6.33203125" customWidth="1"/>
    <col min="13572" max="13575" width="13.6640625" customWidth="1"/>
    <col min="13825" max="13825" width="5.5546875" customWidth="1"/>
    <col min="13826" max="13826" width="45.109375" customWidth="1"/>
    <col min="13827" max="13827" width="6.33203125" customWidth="1"/>
    <col min="13828" max="13831" width="13.6640625" customWidth="1"/>
    <col min="14081" max="14081" width="5.5546875" customWidth="1"/>
    <col min="14082" max="14082" width="45.109375" customWidth="1"/>
    <col min="14083" max="14083" width="6.33203125" customWidth="1"/>
    <col min="14084" max="14087" width="13.6640625" customWidth="1"/>
    <col min="14337" max="14337" width="5.5546875" customWidth="1"/>
    <col min="14338" max="14338" width="45.109375" customWidth="1"/>
    <col min="14339" max="14339" width="6.33203125" customWidth="1"/>
    <col min="14340" max="14343" width="13.6640625" customWidth="1"/>
    <col min="14593" max="14593" width="5.5546875" customWidth="1"/>
    <col min="14594" max="14594" width="45.109375" customWidth="1"/>
    <col min="14595" max="14595" width="6.33203125" customWidth="1"/>
    <col min="14596" max="14599" width="13.6640625" customWidth="1"/>
    <col min="14849" max="14849" width="5.5546875" customWidth="1"/>
    <col min="14850" max="14850" width="45.109375" customWidth="1"/>
    <col min="14851" max="14851" width="6.33203125" customWidth="1"/>
    <col min="14852" max="14855" width="13.6640625" customWidth="1"/>
    <col min="15105" max="15105" width="5.5546875" customWidth="1"/>
    <col min="15106" max="15106" width="45.109375" customWidth="1"/>
    <col min="15107" max="15107" width="6.33203125" customWidth="1"/>
    <col min="15108" max="15111" width="13.6640625" customWidth="1"/>
    <col min="15361" max="15361" width="5.5546875" customWidth="1"/>
    <col min="15362" max="15362" width="45.109375" customWidth="1"/>
    <col min="15363" max="15363" width="6.33203125" customWidth="1"/>
    <col min="15364" max="15367" width="13.6640625" customWidth="1"/>
    <col min="15617" max="15617" width="5.5546875" customWidth="1"/>
    <col min="15618" max="15618" width="45.109375" customWidth="1"/>
    <col min="15619" max="15619" width="6.33203125" customWidth="1"/>
    <col min="15620" max="15623" width="13.6640625" customWidth="1"/>
    <col min="15873" max="15873" width="5.5546875" customWidth="1"/>
    <col min="15874" max="15874" width="45.109375" customWidth="1"/>
    <col min="15875" max="15875" width="6.33203125" customWidth="1"/>
    <col min="15876" max="15879" width="13.6640625" customWidth="1"/>
    <col min="16129" max="16129" width="5.5546875" customWidth="1"/>
    <col min="16130" max="16130" width="45.109375" customWidth="1"/>
    <col min="16131" max="16131" width="6.33203125" customWidth="1"/>
    <col min="16132" max="16135" width="13.6640625" customWidth="1"/>
  </cols>
  <sheetData>
    <row r="1" spans="1:7" s="34" customFormat="1" ht="11.25" customHeight="1" x14ac:dyDescent="0.3">
      <c r="A1" s="426"/>
      <c r="B1" s="427" t="str">
        <f>INSTRUÇÕES!B1</f>
        <v>Tribunal Regional Federal da 6ª Região</v>
      </c>
      <c r="C1" s="428"/>
      <c r="D1" s="429"/>
      <c r="E1" s="429"/>
      <c r="F1" s="429"/>
      <c r="G1" s="430"/>
    </row>
    <row r="2" spans="1:7" s="34" customFormat="1" ht="11.25" customHeight="1" x14ac:dyDescent="0.3">
      <c r="A2" s="431"/>
      <c r="B2" s="265" t="str">
        <f>INSTRUÇÕES!B2</f>
        <v>Seção Judiciária de Minas Gerais</v>
      </c>
      <c r="C2" s="432"/>
      <c r="D2" s="433"/>
      <c r="E2" s="433"/>
      <c r="F2" s="433"/>
      <c r="G2" s="434"/>
    </row>
    <row r="3" spans="1:7" s="34" customFormat="1" ht="10.5" customHeight="1" x14ac:dyDescent="0.3">
      <c r="A3" s="435"/>
      <c r="B3" s="265" t="str">
        <f>INSTRUÇÕES!B3</f>
        <v>Subseção Judiciária de Sete Lagoas</v>
      </c>
      <c r="C3" s="432"/>
      <c r="D3" s="433"/>
      <c r="E3" s="433"/>
      <c r="F3" s="433"/>
      <c r="G3" s="434"/>
    </row>
    <row r="4" spans="1:7" s="34" customFormat="1" ht="21.75" customHeight="1" x14ac:dyDescent="0.3">
      <c r="A4" s="1135" t="s">
        <v>730</v>
      </c>
      <c r="B4" s="1136"/>
      <c r="C4" s="1136"/>
      <c r="D4" s="1136"/>
      <c r="E4" s="1136"/>
      <c r="F4" s="1136"/>
      <c r="G4" s="1137"/>
    </row>
    <row r="5" spans="1:7" s="34" customFormat="1" ht="26.25" customHeight="1" x14ac:dyDescent="0.3">
      <c r="A5" s="1138" t="s">
        <v>493</v>
      </c>
      <c r="B5" s="1139"/>
      <c r="C5" s="1139"/>
      <c r="D5" s="1139"/>
      <c r="E5" s="1139"/>
      <c r="F5" s="1139"/>
      <c r="G5" s="1140"/>
    </row>
    <row r="6" spans="1:7" s="34" customFormat="1" ht="15.6" x14ac:dyDescent="0.3">
      <c r="A6" s="406"/>
      <c r="B6" s="436"/>
      <c r="C6" s="436"/>
      <c r="D6" s="436" t="s">
        <v>527</v>
      </c>
      <c r="E6" s="436"/>
      <c r="G6" s="437">
        <v>0.2</v>
      </c>
    </row>
    <row r="7" spans="1:7" s="34" customFormat="1" ht="27.6" x14ac:dyDescent="0.3">
      <c r="A7" s="600" t="s">
        <v>512</v>
      </c>
      <c r="B7" s="601" t="s">
        <v>528</v>
      </c>
      <c r="C7" s="601" t="s">
        <v>529</v>
      </c>
      <c r="D7" s="602" t="s">
        <v>530</v>
      </c>
      <c r="E7" s="602" t="s">
        <v>521</v>
      </c>
      <c r="F7" s="602" t="s">
        <v>531</v>
      </c>
      <c r="G7" s="603" t="s">
        <v>532</v>
      </c>
    </row>
    <row r="8" spans="1:7" s="34" customFormat="1" ht="13.8" x14ac:dyDescent="0.3">
      <c r="A8" s="1141" t="s">
        <v>533</v>
      </c>
      <c r="B8" s="1142"/>
      <c r="C8" s="1142"/>
      <c r="D8" s="1142"/>
      <c r="E8" s="1142"/>
      <c r="F8" s="1142"/>
      <c r="G8" s="1143"/>
    </row>
    <row r="9" spans="1:7" s="34" customFormat="1" ht="13.8" x14ac:dyDescent="0.3">
      <c r="A9" s="70">
        <v>1</v>
      </c>
      <c r="B9" s="438" t="s">
        <v>534</v>
      </c>
      <c r="C9" s="71">
        <v>1</v>
      </c>
      <c r="D9" s="439">
        <v>161.08000000000001</v>
      </c>
      <c r="E9" s="72">
        <f>ROUND((D9*C9),2)</f>
        <v>161.08000000000001</v>
      </c>
      <c r="F9" s="72">
        <f>ROUND(E9*$G$6,2)</f>
        <v>32.22</v>
      </c>
      <c r="G9" s="73">
        <f>ROUND(F9/12,2)</f>
        <v>2.69</v>
      </c>
    </row>
    <row r="10" spans="1:7" s="34" customFormat="1" ht="13.8" x14ac:dyDescent="0.3">
      <c r="A10" s="70">
        <v>2</v>
      </c>
      <c r="B10" s="438" t="s">
        <v>535</v>
      </c>
      <c r="C10" s="71">
        <v>1</v>
      </c>
      <c r="D10" s="439">
        <v>377.83</v>
      </c>
      <c r="E10" s="72">
        <f t="shared" ref="E10:E11" si="0">ROUND((D10*C10),2)</f>
        <v>377.83</v>
      </c>
      <c r="F10" s="72">
        <f t="shared" ref="F10:F11" si="1">ROUND(E10*$G$6,2)</f>
        <v>75.569999999999993</v>
      </c>
      <c r="G10" s="73">
        <f t="shared" ref="G10:G11" si="2">ROUND(F10/12,2)</f>
        <v>6.3</v>
      </c>
    </row>
    <row r="11" spans="1:7" s="34" customFormat="1" ht="13.8" x14ac:dyDescent="0.3">
      <c r="A11" s="70">
        <v>3</v>
      </c>
      <c r="B11" s="74" t="s">
        <v>536</v>
      </c>
      <c r="C11" s="71">
        <v>1</v>
      </c>
      <c r="D11" s="440">
        <v>677.5</v>
      </c>
      <c r="E11" s="72">
        <f t="shared" si="0"/>
        <v>677.5</v>
      </c>
      <c r="F11" s="72">
        <f t="shared" si="1"/>
        <v>135.5</v>
      </c>
      <c r="G11" s="73">
        <f t="shared" si="2"/>
        <v>11.29</v>
      </c>
    </row>
    <row r="12" spans="1:7" s="34" customFormat="1" ht="15" thickBot="1" x14ac:dyDescent="0.35">
      <c r="A12" s="1144" t="s">
        <v>537</v>
      </c>
      <c r="B12" s="1145"/>
      <c r="C12" s="1145"/>
      <c r="D12" s="1145"/>
      <c r="E12" s="1145"/>
      <c r="F12" s="1145"/>
      <c r="G12" s="75">
        <f>SUM(G9:G11)</f>
        <v>20.28</v>
      </c>
    </row>
  </sheetData>
  <sheetProtection algorithmName="SHA-512" hashValue="aRGSvkzi28I7UNR7/7tx91tynyf/ntK5TC8dkp/ZQEHwhWFrsrNsww31PMFu2PNg4TkjysWg6DkzW18zJeOiqw==" saltValue="8MPMV9Ph1PTVGpN3of0Wfw==" spinCount="100000" sheet="1" objects="1" scenarios="1"/>
  <mergeCells count="4">
    <mergeCell ref="A4:G4"/>
    <mergeCell ref="A5:G5"/>
    <mergeCell ref="A8:G8"/>
    <mergeCell ref="A12:F1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1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</sheetPr>
  <dimension ref="A1:R44"/>
  <sheetViews>
    <sheetView showGridLines="0" view="pageBreakPreview" zoomScale="90" zoomScaleNormal="100" zoomScaleSheetLayoutView="90" workbookViewId="0">
      <selection activeCell="D26" sqref="D26"/>
    </sheetView>
  </sheetViews>
  <sheetFormatPr defaultColWidth="9" defaultRowHeight="14.4" x14ac:dyDescent="0.3"/>
  <cols>
    <col min="1" max="1" width="13.33203125" style="386" customWidth="1"/>
    <col min="2" max="2" width="7.6640625" style="420" customWidth="1"/>
    <col min="3" max="3" width="6.109375" style="364" customWidth="1"/>
    <col min="4" max="4" width="56.109375" style="363" customWidth="1"/>
    <col min="5" max="5" width="9.33203125" style="363" customWidth="1"/>
    <col min="6" max="6" width="12.44140625" style="364" customWidth="1"/>
    <col min="7" max="7" width="12.44140625" style="365" customWidth="1"/>
    <col min="8" max="8" width="10.88671875" style="421" customWidth="1"/>
    <col min="9" max="10" width="9" style="417"/>
    <col min="11" max="11" width="0" style="417" hidden="1" customWidth="1"/>
    <col min="12" max="12" width="16.44140625" style="419" hidden="1" customWidth="1"/>
    <col min="13" max="17" width="11.33203125" style="419" hidden="1" customWidth="1"/>
    <col min="18" max="18" width="0" style="417" hidden="1" customWidth="1"/>
    <col min="19" max="256" width="9" style="417"/>
    <col min="257" max="257" width="13.33203125" style="417" customWidth="1"/>
    <col min="258" max="258" width="7.6640625" style="417" customWidth="1"/>
    <col min="259" max="259" width="6.109375" style="417" customWidth="1"/>
    <col min="260" max="260" width="56.109375" style="417" customWidth="1"/>
    <col min="261" max="261" width="9.33203125" style="417" customWidth="1"/>
    <col min="262" max="263" width="12.44140625" style="417" customWidth="1"/>
    <col min="264" max="264" width="10.88671875" style="417" customWidth="1"/>
    <col min="265" max="267" width="9" style="417"/>
    <col min="268" max="268" width="11.44140625" style="417" customWidth="1"/>
    <col min="269" max="273" width="11.33203125" style="417" bestFit="1" customWidth="1"/>
    <col min="274" max="512" width="9" style="417"/>
    <col min="513" max="513" width="13.33203125" style="417" customWidth="1"/>
    <col min="514" max="514" width="7.6640625" style="417" customWidth="1"/>
    <col min="515" max="515" width="6.109375" style="417" customWidth="1"/>
    <col min="516" max="516" width="56.109375" style="417" customWidth="1"/>
    <col min="517" max="517" width="9.33203125" style="417" customWidth="1"/>
    <col min="518" max="519" width="12.44140625" style="417" customWidth="1"/>
    <col min="520" max="520" width="10.88671875" style="417" customWidth="1"/>
    <col min="521" max="523" width="9" style="417"/>
    <col min="524" max="524" width="11.44140625" style="417" customWidth="1"/>
    <col min="525" max="529" width="11.33203125" style="417" bestFit="1" customWidth="1"/>
    <col min="530" max="768" width="9" style="417"/>
    <col min="769" max="769" width="13.33203125" style="417" customWidth="1"/>
    <col min="770" max="770" width="7.6640625" style="417" customWidth="1"/>
    <col min="771" max="771" width="6.109375" style="417" customWidth="1"/>
    <col min="772" max="772" width="56.109375" style="417" customWidth="1"/>
    <col min="773" max="773" width="9.33203125" style="417" customWidth="1"/>
    <col min="774" max="775" width="12.44140625" style="417" customWidth="1"/>
    <col min="776" max="776" width="10.88671875" style="417" customWidth="1"/>
    <col min="777" max="779" width="9" style="417"/>
    <col min="780" max="780" width="11.44140625" style="417" customWidth="1"/>
    <col min="781" max="785" width="11.33203125" style="417" bestFit="1" customWidth="1"/>
    <col min="786" max="1024" width="9" style="417"/>
    <col min="1025" max="1025" width="13.33203125" style="417" customWidth="1"/>
    <col min="1026" max="1026" width="7.6640625" style="417" customWidth="1"/>
    <col min="1027" max="1027" width="6.109375" style="417" customWidth="1"/>
    <col min="1028" max="1028" width="56.109375" style="417" customWidth="1"/>
    <col min="1029" max="1029" width="9.33203125" style="417" customWidth="1"/>
    <col min="1030" max="1031" width="12.44140625" style="417" customWidth="1"/>
    <col min="1032" max="1032" width="10.88671875" style="417" customWidth="1"/>
    <col min="1033" max="1035" width="9" style="417"/>
    <col min="1036" max="1036" width="11.44140625" style="417" customWidth="1"/>
    <col min="1037" max="1041" width="11.33203125" style="417" bestFit="1" customWidth="1"/>
    <col min="1042" max="1280" width="9" style="417"/>
    <col min="1281" max="1281" width="13.33203125" style="417" customWidth="1"/>
    <col min="1282" max="1282" width="7.6640625" style="417" customWidth="1"/>
    <col min="1283" max="1283" width="6.109375" style="417" customWidth="1"/>
    <col min="1284" max="1284" width="56.109375" style="417" customWidth="1"/>
    <col min="1285" max="1285" width="9.33203125" style="417" customWidth="1"/>
    <col min="1286" max="1287" width="12.44140625" style="417" customWidth="1"/>
    <col min="1288" max="1288" width="10.88671875" style="417" customWidth="1"/>
    <col min="1289" max="1291" width="9" style="417"/>
    <col min="1292" max="1292" width="11.44140625" style="417" customWidth="1"/>
    <col min="1293" max="1297" width="11.33203125" style="417" bestFit="1" customWidth="1"/>
    <col min="1298" max="1536" width="9" style="417"/>
    <col min="1537" max="1537" width="13.33203125" style="417" customWidth="1"/>
    <col min="1538" max="1538" width="7.6640625" style="417" customWidth="1"/>
    <col min="1539" max="1539" width="6.109375" style="417" customWidth="1"/>
    <col min="1540" max="1540" width="56.109375" style="417" customWidth="1"/>
    <col min="1541" max="1541" width="9.33203125" style="417" customWidth="1"/>
    <col min="1542" max="1543" width="12.44140625" style="417" customWidth="1"/>
    <col min="1544" max="1544" width="10.88671875" style="417" customWidth="1"/>
    <col min="1545" max="1547" width="9" style="417"/>
    <col min="1548" max="1548" width="11.44140625" style="417" customWidth="1"/>
    <col min="1549" max="1553" width="11.33203125" style="417" bestFit="1" customWidth="1"/>
    <col min="1554" max="1792" width="9" style="417"/>
    <col min="1793" max="1793" width="13.33203125" style="417" customWidth="1"/>
    <col min="1794" max="1794" width="7.6640625" style="417" customWidth="1"/>
    <col min="1795" max="1795" width="6.109375" style="417" customWidth="1"/>
    <col min="1796" max="1796" width="56.109375" style="417" customWidth="1"/>
    <col min="1797" max="1797" width="9.33203125" style="417" customWidth="1"/>
    <col min="1798" max="1799" width="12.44140625" style="417" customWidth="1"/>
    <col min="1800" max="1800" width="10.88671875" style="417" customWidth="1"/>
    <col min="1801" max="1803" width="9" style="417"/>
    <col min="1804" max="1804" width="11.44140625" style="417" customWidth="1"/>
    <col min="1805" max="1809" width="11.33203125" style="417" bestFit="1" customWidth="1"/>
    <col min="1810" max="2048" width="9" style="417"/>
    <col min="2049" max="2049" width="13.33203125" style="417" customWidth="1"/>
    <col min="2050" max="2050" width="7.6640625" style="417" customWidth="1"/>
    <col min="2051" max="2051" width="6.109375" style="417" customWidth="1"/>
    <col min="2052" max="2052" width="56.109375" style="417" customWidth="1"/>
    <col min="2053" max="2053" width="9.33203125" style="417" customWidth="1"/>
    <col min="2054" max="2055" width="12.44140625" style="417" customWidth="1"/>
    <col min="2056" max="2056" width="10.88671875" style="417" customWidth="1"/>
    <col min="2057" max="2059" width="9" style="417"/>
    <col min="2060" max="2060" width="11.44140625" style="417" customWidth="1"/>
    <col min="2061" max="2065" width="11.33203125" style="417" bestFit="1" customWidth="1"/>
    <col min="2066" max="2304" width="9" style="417"/>
    <col min="2305" max="2305" width="13.33203125" style="417" customWidth="1"/>
    <col min="2306" max="2306" width="7.6640625" style="417" customWidth="1"/>
    <col min="2307" max="2307" width="6.109375" style="417" customWidth="1"/>
    <col min="2308" max="2308" width="56.109375" style="417" customWidth="1"/>
    <col min="2309" max="2309" width="9.33203125" style="417" customWidth="1"/>
    <col min="2310" max="2311" width="12.44140625" style="417" customWidth="1"/>
    <col min="2312" max="2312" width="10.88671875" style="417" customWidth="1"/>
    <col min="2313" max="2315" width="9" style="417"/>
    <col min="2316" max="2316" width="11.44140625" style="417" customWidth="1"/>
    <col min="2317" max="2321" width="11.33203125" style="417" bestFit="1" customWidth="1"/>
    <col min="2322" max="2560" width="9" style="417"/>
    <col min="2561" max="2561" width="13.33203125" style="417" customWidth="1"/>
    <col min="2562" max="2562" width="7.6640625" style="417" customWidth="1"/>
    <col min="2563" max="2563" width="6.109375" style="417" customWidth="1"/>
    <col min="2564" max="2564" width="56.109375" style="417" customWidth="1"/>
    <col min="2565" max="2565" width="9.33203125" style="417" customWidth="1"/>
    <col min="2566" max="2567" width="12.44140625" style="417" customWidth="1"/>
    <col min="2568" max="2568" width="10.88671875" style="417" customWidth="1"/>
    <col min="2569" max="2571" width="9" style="417"/>
    <col min="2572" max="2572" width="11.44140625" style="417" customWidth="1"/>
    <col min="2573" max="2577" width="11.33203125" style="417" bestFit="1" customWidth="1"/>
    <col min="2578" max="2816" width="9" style="417"/>
    <col min="2817" max="2817" width="13.33203125" style="417" customWidth="1"/>
    <col min="2818" max="2818" width="7.6640625" style="417" customWidth="1"/>
    <col min="2819" max="2819" width="6.109375" style="417" customWidth="1"/>
    <col min="2820" max="2820" width="56.109375" style="417" customWidth="1"/>
    <col min="2821" max="2821" width="9.33203125" style="417" customWidth="1"/>
    <col min="2822" max="2823" width="12.44140625" style="417" customWidth="1"/>
    <col min="2824" max="2824" width="10.88671875" style="417" customWidth="1"/>
    <col min="2825" max="2827" width="9" style="417"/>
    <col min="2828" max="2828" width="11.44140625" style="417" customWidth="1"/>
    <col min="2829" max="2833" width="11.33203125" style="417" bestFit="1" customWidth="1"/>
    <col min="2834" max="3072" width="9" style="417"/>
    <col min="3073" max="3073" width="13.33203125" style="417" customWidth="1"/>
    <col min="3074" max="3074" width="7.6640625" style="417" customWidth="1"/>
    <col min="3075" max="3075" width="6.109375" style="417" customWidth="1"/>
    <col min="3076" max="3076" width="56.109375" style="417" customWidth="1"/>
    <col min="3077" max="3077" width="9.33203125" style="417" customWidth="1"/>
    <col min="3078" max="3079" width="12.44140625" style="417" customWidth="1"/>
    <col min="3080" max="3080" width="10.88671875" style="417" customWidth="1"/>
    <col min="3081" max="3083" width="9" style="417"/>
    <col min="3084" max="3084" width="11.44140625" style="417" customWidth="1"/>
    <col min="3085" max="3089" width="11.33203125" style="417" bestFit="1" customWidth="1"/>
    <col min="3090" max="3328" width="9" style="417"/>
    <col min="3329" max="3329" width="13.33203125" style="417" customWidth="1"/>
    <col min="3330" max="3330" width="7.6640625" style="417" customWidth="1"/>
    <col min="3331" max="3331" width="6.109375" style="417" customWidth="1"/>
    <col min="3332" max="3332" width="56.109375" style="417" customWidth="1"/>
    <col min="3333" max="3333" width="9.33203125" style="417" customWidth="1"/>
    <col min="3334" max="3335" width="12.44140625" style="417" customWidth="1"/>
    <col min="3336" max="3336" width="10.88671875" style="417" customWidth="1"/>
    <col min="3337" max="3339" width="9" style="417"/>
    <col min="3340" max="3340" width="11.44140625" style="417" customWidth="1"/>
    <col min="3341" max="3345" width="11.33203125" style="417" bestFit="1" customWidth="1"/>
    <col min="3346" max="3584" width="9" style="417"/>
    <col min="3585" max="3585" width="13.33203125" style="417" customWidth="1"/>
    <col min="3586" max="3586" width="7.6640625" style="417" customWidth="1"/>
    <col min="3587" max="3587" width="6.109375" style="417" customWidth="1"/>
    <col min="3588" max="3588" width="56.109375" style="417" customWidth="1"/>
    <col min="3589" max="3589" width="9.33203125" style="417" customWidth="1"/>
    <col min="3590" max="3591" width="12.44140625" style="417" customWidth="1"/>
    <col min="3592" max="3592" width="10.88671875" style="417" customWidth="1"/>
    <col min="3593" max="3595" width="9" style="417"/>
    <col min="3596" max="3596" width="11.44140625" style="417" customWidth="1"/>
    <col min="3597" max="3601" width="11.33203125" style="417" bestFit="1" customWidth="1"/>
    <col min="3602" max="3840" width="9" style="417"/>
    <col min="3841" max="3841" width="13.33203125" style="417" customWidth="1"/>
    <col min="3842" max="3842" width="7.6640625" style="417" customWidth="1"/>
    <col min="3843" max="3843" width="6.109375" style="417" customWidth="1"/>
    <col min="3844" max="3844" width="56.109375" style="417" customWidth="1"/>
    <col min="3845" max="3845" width="9.33203125" style="417" customWidth="1"/>
    <col min="3846" max="3847" width="12.44140625" style="417" customWidth="1"/>
    <col min="3848" max="3848" width="10.88671875" style="417" customWidth="1"/>
    <col min="3849" max="3851" width="9" style="417"/>
    <col min="3852" max="3852" width="11.44140625" style="417" customWidth="1"/>
    <col min="3853" max="3857" width="11.33203125" style="417" bestFit="1" customWidth="1"/>
    <col min="3858" max="4096" width="9" style="417"/>
    <col min="4097" max="4097" width="13.33203125" style="417" customWidth="1"/>
    <col min="4098" max="4098" width="7.6640625" style="417" customWidth="1"/>
    <col min="4099" max="4099" width="6.109375" style="417" customWidth="1"/>
    <col min="4100" max="4100" width="56.109375" style="417" customWidth="1"/>
    <col min="4101" max="4101" width="9.33203125" style="417" customWidth="1"/>
    <col min="4102" max="4103" width="12.44140625" style="417" customWidth="1"/>
    <col min="4104" max="4104" width="10.88671875" style="417" customWidth="1"/>
    <col min="4105" max="4107" width="9" style="417"/>
    <col min="4108" max="4108" width="11.44140625" style="417" customWidth="1"/>
    <col min="4109" max="4113" width="11.33203125" style="417" bestFit="1" customWidth="1"/>
    <col min="4114" max="4352" width="9" style="417"/>
    <col min="4353" max="4353" width="13.33203125" style="417" customWidth="1"/>
    <col min="4354" max="4354" width="7.6640625" style="417" customWidth="1"/>
    <col min="4355" max="4355" width="6.109375" style="417" customWidth="1"/>
    <col min="4356" max="4356" width="56.109375" style="417" customWidth="1"/>
    <col min="4357" max="4357" width="9.33203125" style="417" customWidth="1"/>
    <col min="4358" max="4359" width="12.44140625" style="417" customWidth="1"/>
    <col min="4360" max="4360" width="10.88671875" style="417" customWidth="1"/>
    <col min="4361" max="4363" width="9" style="417"/>
    <col min="4364" max="4364" width="11.44140625" style="417" customWidth="1"/>
    <col min="4365" max="4369" width="11.33203125" style="417" bestFit="1" customWidth="1"/>
    <col min="4370" max="4608" width="9" style="417"/>
    <col min="4609" max="4609" width="13.33203125" style="417" customWidth="1"/>
    <col min="4610" max="4610" width="7.6640625" style="417" customWidth="1"/>
    <col min="4611" max="4611" width="6.109375" style="417" customWidth="1"/>
    <col min="4612" max="4612" width="56.109375" style="417" customWidth="1"/>
    <col min="4613" max="4613" width="9.33203125" style="417" customWidth="1"/>
    <col min="4614" max="4615" width="12.44140625" style="417" customWidth="1"/>
    <col min="4616" max="4616" width="10.88671875" style="417" customWidth="1"/>
    <col min="4617" max="4619" width="9" style="417"/>
    <col min="4620" max="4620" width="11.44140625" style="417" customWidth="1"/>
    <col min="4621" max="4625" width="11.33203125" style="417" bestFit="1" customWidth="1"/>
    <col min="4626" max="4864" width="9" style="417"/>
    <col min="4865" max="4865" width="13.33203125" style="417" customWidth="1"/>
    <col min="4866" max="4866" width="7.6640625" style="417" customWidth="1"/>
    <col min="4867" max="4867" width="6.109375" style="417" customWidth="1"/>
    <col min="4868" max="4868" width="56.109375" style="417" customWidth="1"/>
    <col min="4869" max="4869" width="9.33203125" style="417" customWidth="1"/>
    <col min="4870" max="4871" width="12.44140625" style="417" customWidth="1"/>
    <col min="4872" max="4872" width="10.88671875" style="417" customWidth="1"/>
    <col min="4873" max="4875" width="9" style="417"/>
    <col min="4876" max="4876" width="11.44140625" style="417" customWidth="1"/>
    <col min="4877" max="4881" width="11.33203125" style="417" bestFit="1" customWidth="1"/>
    <col min="4882" max="5120" width="9" style="417"/>
    <col min="5121" max="5121" width="13.33203125" style="417" customWidth="1"/>
    <col min="5122" max="5122" width="7.6640625" style="417" customWidth="1"/>
    <col min="5123" max="5123" width="6.109375" style="417" customWidth="1"/>
    <col min="5124" max="5124" width="56.109375" style="417" customWidth="1"/>
    <col min="5125" max="5125" width="9.33203125" style="417" customWidth="1"/>
    <col min="5126" max="5127" width="12.44140625" style="417" customWidth="1"/>
    <col min="5128" max="5128" width="10.88671875" style="417" customWidth="1"/>
    <col min="5129" max="5131" width="9" style="417"/>
    <col min="5132" max="5132" width="11.44140625" style="417" customWidth="1"/>
    <col min="5133" max="5137" width="11.33203125" style="417" bestFit="1" customWidth="1"/>
    <col min="5138" max="5376" width="9" style="417"/>
    <col min="5377" max="5377" width="13.33203125" style="417" customWidth="1"/>
    <col min="5378" max="5378" width="7.6640625" style="417" customWidth="1"/>
    <col min="5379" max="5379" width="6.109375" style="417" customWidth="1"/>
    <col min="5380" max="5380" width="56.109375" style="417" customWidth="1"/>
    <col min="5381" max="5381" width="9.33203125" style="417" customWidth="1"/>
    <col min="5382" max="5383" width="12.44140625" style="417" customWidth="1"/>
    <col min="5384" max="5384" width="10.88671875" style="417" customWidth="1"/>
    <col min="5385" max="5387" width="9" style="417"/>
    <col min="5388" max="5388" width="11.44140625" style="417" customWidth="1"/>
    <col min="5389" max="5393" width="11.33203125" style="417" bestFit="1" customWidth="1"/>
    <col min="5394" max="5632" width="9" style="417"/>
    <col min="5633" max="5633" width="13.33203125" style="417" customWidth="1"/>
    <col min="5634" max="5634" width="7.6640625" style="417" customWidth="1"/>
    <col min="5635" max="5635" width="6.109375" style="417" customWidth="1"/>
    <col min="5636" max="5636" width="56.109375" style="417" customWidth="1"/>
    <col min="5637" max="5637" width="9.33203125" style="417" customWidth="1"/>
    <col min="5638" max="5639" width="12.44140625" style="417" customWidth="1"/>
    <col min="5640" max="5640" width="10.88671875" style="417" customWidth="1"/>
    <col min="5641" max="5643" width="9" style="417"/>
    <col min="5644" max="5644" width="11.44140625" style="417" customWidth="1"/>
    <col min="5645" max="5649" width="11.33203125" style="417" bestFit="1" customWidth="1"/>
    <col min="5650" max="5888" width="9" style="417"/>
    <col min="5889" max="5889" width="13.33203125" style="417" customWidth="1"/>
    <col min="5890" max="5890" width="7.6640625" style="417" customWidth="1"/>
    <col min="5891" max="5891" width="6.109375" style="417" customWidth="1"/>
    <col min="5892" max="5892" width="56.109375" style="417" customWidth="1"/>
    <col min="5893" max="5893" width="9.33203125" style="417" customWidth="1"/>
    <col min="5894" max="5895" width="12.44140625" style="417" customWidth="1"/>
    <col min="5896" max="5896" width="10.88671875" style="417" customWidth="1"/>
    <col min="5897" max="5899" width="9" style="417"/>
    <col min="5900" max="5900" width="11.44140625" style="417" customWidth="1"/>
    <col min="5901" max="5905" width="11.33203125" style="417" bestFit="1" customWidth="1"/>
    <col min="5906" max="6144" width="9" style="417"/>
    <col min="6145" max="6145" width="13.33203125" style="417" customWidth="1"/>
    <col min="6146" max="6146" width="7.6640625" style="417" customWidth="1"/>
    <col min="6147" max="6147" width="6.109375" style="417" customWidth="1"/>
    <col min="6148" max="6148" width="56.109375" style="417" customWidth="1"/>
    <col min="6149" max="6149" width="9.33203125" style="417" customWidth="1"/>
    <col min="6150" max="6151" width="12.44140625" style="417" customWidth="1"/>
    <col min="6152" max="6152" width="10.88671875" style="417" customWidth="1"/>
    <col min="6153" max="6155" width="9" style="417"/>
    <col min="6156" max="6156" width="11.44140625" style="417" customWidth="1"/>
    <col min="6157" max="6161" width="11.33203125" style="417" bestFit="1" customWidth="1"/>
    <col min="6162" max="6400" width="9" style="417"/>
    <col min="6401" max="6401" width="13.33203125" style="417" customWidth="1"/>
    <col min="6402" max="6402" width="7.6640625" style="417" customWidth="1"/>
    <col min="6403" max="6403" width="6.109375" style="417" customWidth="1"/>
    <col min="6404" max="6404" width="56.109375" style="417" customWidth="1"/>
    <col min="6405" max="6405" width="9.33203125" style="417" customWidth="1"/>
    <col min="6406" max="6407" width="12.44140625" style="417" customWidth="1"/>
    <col min="6408" max="6408" width="10.88671875" style="417" customWidth="1"/>
    <col min="6409" max="6411" width="9" style="417"/>
    <col min="6412" max="6412" width="11.44140625" style="417" customWidth="1"/>
    <col min="6413" max="6417" width="11.33203125" style="417" bestFit="1" customWidth="1"/>
    <col min="6418" max="6656" width="9" style="417"/>
    <col min="6657" max="6657" width="13.33203125" style="417" customWidth="1"/>
    <col min="6658" max="6658" width="7.6640625" style="417" customWidth="1"/>
    <col min="6659" max="6659" width="6.109375" style="417" customWidth="1"/>
    <col min="6660" max="6660" width="56.109375" style="417" customWidth="1"/>
    <col min="6661" max="6661" width="9.33203125" style="417" customWidth="1"/>
    <col min="6662" max="6663" width="12.44140625" style="417" customWidth="1"/>
    <col min="6664" max="6664" width="10.88671875" style="417" customWidth="1"/>
    <col min="6665" max="6667" width="9" style="417"/>
    <col min="6668" max="6668" width="11.44140625" style="417" customWidth="1"/>
    <col min="6669" max="6673" width="11.33203125" style="417" bestFit="1" customWidth="1"/>
    <col min="6674" max="6912" width="9" style="417"/>
    <col min="6913" max="6913" width="13.33203125" style="417" customWidth="1"/>
    <col min="6914" max="6914" width="7.6640625" style="417" customWidth="1"/>
    <col min="6915" max="6915" width="6.109375" style="417" customWidth="1"/>
    <col min="6916" max="6916" width="56.109375" style="417" customWidth="1"/>
    <col min="6917" max="6917" width="9.33203125" style="417" customWidth="1"/>
    <col min="6918" max="6919" width="12.44140625" style="417" customWidth="1"/>
    <col min="6920" max="6920" width="10.88671875" style="417" customWidth="1"/>
    <col min="6921" max="6923" width="9" style="417"/>
    <col min="6924" max="6924" width="11.44140625" style="417" customWidth="1"/>
    <col min="6925" max="6929" width="11.33203125" style="417" bestFit="1" customWidth="1"/>
    <col min="6930" max="7168" width="9" style="417"/>
    <col min="7169" max="7169" width="13.33203125" style="417" customWidth="1"/>
    <col min="7170" max="7170" width="7.6640625" style="417" customWidth="1"/>
    <col min="7171" max="7171" width="6.109375" style="417" customWidth="1"/>
    <col min="7172" max="7172" width="56.109375" style="417" customWidth="1"/>
    <col min="7173" max="7173" width="9.33203125" style="417" customWidth="1"/>
    <col min="7174" max="7175" width="12.44140625" style="417" customWidth="1"/>
    <col min="7176" max="7176" width="10.88671875" style="417" customWidth="1"/>
    <col min="7177" max="7179" width="9" style="417"/>
    <col min="7180" max="7180" width="11.44140625" style="417" customWidth="1"/>
    <col min="7181" max="7185" width="11.33203125" style="417" bestFit="1" customWidth="1"/>
    <col min="7186" max="7424" width="9" style="417"/>
    <col min="7425" max="7425" width="13.33203125" style="417" customWidth="1"/>
    <col min="7426" max="7426" width="7.6640625" style="417" customWidth="1"/>
    <col min="7427" max="7427" width="6.109375" style="417" customWidth="1"/>
    <col min="7428" max="7428" width="56.109375" style="417" customWidth="1"/>
    <col min="7429" max="7429" width="9.33203125" style="417" customWidth="1"/>
    <col min="7430" max="7431" width="12.44140625" style="417" customWidth="1"/>
    <col min="7432" max="7432" width="10.88671875" style="417" customWidth="1"/>
    <col min="7433" max="7435" width="9" style="417"/>
    <col min="7436" max="7436" width="11.44140625" style="417" customWidth="1"/>
    <col min="7437" max="7441" width="11.33203125" style="417" bestFit="1" customWidth="1"/>
    <col min="7442" max="7680" width="9" style="417"/>
    <col min="7681" max="7681" width="13.33203125" style="417" customWidth="1"/>
    <col min="7682" max="7682" width="7.6640625" style="417" customWidth="1"/>
    <col min="7683" max="7683" width="6.109375" style="417" customWidth="1"/>
    <col min="7684" max="7684" width="56.109375" style="417" customWidth="1"/>
    <col min="7685" max="7685" width="9.33203125" style="417" customWidth="1"/>
    <col min="7686" max="7687" width="12.44140625" style="417" customWidth="1"/>
    <col min="7688" max="7688" width="10.88671875" style="417" customWidth="1"/>
    <col min="7689" max="7691" width="9" style="417"/>
    <col min="7692" max="7692" width="11.44140625" style="417" customWidth="1"/>
    <col min="7693" max="7697" width="11.33203125" style="417" bestFit="1" customWidth="1"/>
    <col min="7698" max="7936" width="9" style="417"/>
    <col min="7937" max="7937" width="13.33203125" style="417" customWidth="1"/>
    <col min="7938" max="7938" width="7.6640625" style="417" customWidth="1"/>
    <col min="7939" max="7939" width="6.109375" style="417" customWidth="1"/>
    <col min="7940" max="7940" width="56.109375" style="417" customWidth="1"/>
    <col min="7941" max="7941" width="9.33203125" style="417" customWidth="1"/>
    <col min="7942" max="7943" width="12.44140625" style="417" customWidth="1"/>
    <col min="7944" max="7944" width="10.88671875" style="417" customWidth="1"/>
    <col min="7945" max="7947" width="9" style="417"/>
    <col min="7948" max="7948" width="11.44140625" style="417" customWidth="1"/>
    <col min="7949" max="7953" width="11.33203125" style="417" bestFit="1" customWidth="1"/>
    <col min="7954" max="8192" width="9" style="417"/>
    <col min="8193" max="8193" width="13.33203125" style="417" customWidth="1"/>
    <col min="8194" max="8194" width="7.6640625" style="417" customWidth="1"/>
    <col min="8195" max="8195" width="6.109375" style="417" customWidth="1"/>
    <col min="8196" max="8196" width="56.109375" style="417" customWidth="1"/>
    <col min="8197" max="8197" width="9.33203125" style="417" customWidth="1"/>
    <col min="8198" max="8199" width="12.44140625" style="417" customWidth="1"/>
    <col min="8200" max="8200" width="10.88671875" style="417" customWidth="1"/>
    <col min="8201" max="8203" width="9" style="417"/>
    <col min="8204" max="8204" width="11.44140625" style="417" customWidth="1"/>
    <col min="8205" max="8209" width="11.33203125" style="417" bestFit="1" customWidth="1"/>
    <col min="8210" max="8448" width="9" style="417"/>
    <col min="8449" max="8449" width="13.33203125" style="417" customWidth="1"/>
    <col min="8450" max="8450" width="7.6640625" style="417" customWidth="1"/>
    <col min="8451" max="8451" width="6.109375" style="417" customWidth="1"/>
    <col min="8452" max="8452" width="56.109375" style="417" customWidth="1"/>
    <col min="8453" max="8453" width="9.33203125" style="417" customWidth="1"/>
    <col min="8454" max="8455" width="12.44140625" style="417" customWidth="1"/>
    <col min="8456" max="8456" width="10.88671875" style="417" customWidth="1"/>
    <col min="8457" max="8459" width="9" style="417"/>
    <col min="8460" max="8460" width="11.44140625" style="417" customWidth="1"/>
    <col min="8461" max="8465" width="11.33203125" style="417" bestFit="1" customWidth="1"/>
    <col min="8466" max="8704" width="9" style="417"/>
    <col min="8705" max="8705" width="13.33203125" style="417" customWidth="1"/>
    <col min="8706" max="8706" width="7.6640625" style="417" customWidth="1"/>
    <col min="8707" max="8707" width="6.109375" style="417" customWidth="1"/>
    <col min="8708" max="8708" width="56.109375" style="417" customWidth="1"/>
    <col min="8709" max="8709" width="9.33203125" style="417" customWidth="1"/>
    <col min="8710" max="8711" width="12.44140625" style="417" customWidth="1"/>
    <col min="8712" max="8712" width="10.88671875" style="417" customWidth="1"/>
    <col min="8713" max="8715" width="9" style="417"/>
    <col min="8716" max="8716" width="11.44140625" style="417" customWidth="1"/>
    <col min="8717" max="8721" width="11.33203125" style="417" bestFit="1" customWidth="1"/>
    <col min="8722" max="8960" width="9" style="417"/>
    <col min="8961" max="8961" width="13.33203125" style="417" customWidth="1"/>
    <col min="8962" max="8962" width="7.6640625" style="417" customWidth="1"/>
    <col min="8963" max="8963" width="6.109375" style="417" customWidth="1"/>
    <col min="8964" max="8964" width="56.109375" style="417" customWidth="1"/>
    <col min="8965" max="8965" width="9.33203125" style="417" customWidth="1"/>
    <col min="8966" max="8967" width="12.44140625" style="417" customWidth="1"/>
    <col min="8968" max="8968" width="10.88671875" style="417" customWidth="1"/>
    <col min="8969" max="8971" width="9" style="417"/>
    <col min="8972" max="8972" width="11.44140625" style="417" customWidth="1"/>
    <col min="8973" max="8977" width="11.33203125" style="417" bestFit="1" customWidth="1"/>
    <col min="8978" max="9216" width="9" style="417"/>
    <col min="9217" max="9217" width="13.33203125" style="417" customWidth="1"/>
    <col min="9218" max="9218" width="7.6640625" style="417" customWidth="1"/>
    <col min="9219" max="9219" width="6.109375" style="417" customWidth="1"/>
    <col min="9220" max="9220" width="56.109375" style="417" customWidth="1"/>
    <col min="9221" max="9221" width="9.33203125" style="417" customWidth="1"/>
    <col min="9222" max="9223" width="12.44140625" style="417" customWidth="1"/>
    <col min="9224" max="9224" width="10.88671875" style="417" customWidth="1"/>
    <col min="9225" max="9227" width="9" style="417"/>
    <col min="9228" max="9228" width="11.44140625" style="417" customWidth="1"/>
    <col min="9229" max="9233" width="11.33203125" style="417" bestFit="1" customWidth="1"/>
    <col min="9234" max="9472" width="9" style="417"/>
    <col min="9473" max="9473" width="13.33203125" style="417" customWidth="1"/>
    <col min="9474" max="9474" width="7.6640625" style="417" customWidth="1"/>
    <col min="9475" max="9475" width="6.109375" style="417" customWidth="1"/>
    <col min="9476" max="9476" width="56.109375" style="417" customWidth="1"/>
    <col min="9477" max="9477" width="9.33203125" style="417" customWidth="1"/>
    <col min="9478" max="9479" width="12.44140625" style="417" customWidth="1"/>
    <col min="9480" max="9480" width="10.88671875" style="417" customWidth="1"/>
    <col min="9481" max="9483" width="9" style="417"/>
    <col min="9484" max="9484" width="11.44140625" style="417" customWidth="1"/>
    <col min="9485" max="9489" width="11.33203125" style="417" bestFit="1" customWidth="1"/>
    <col min="9490" max="9728" width="9" style="417"/>
    <col min="9729" max="9729" width="13.33203125" style="417" customWidth="1"/>
    <col min="9730" max="9730" width="7.6640625" style="417" customWidth="1"/>
    <col min="9731" max="9731" width="6.109375" style="417" customWidth="1"/>
    <col min="9732" max="9732" width="56.109375" style="417" customWidth="1"/>
    <col min="9733" max="9733" width="9.33203125" style="417" customWidth="1"/>
    <col min="9734" max="9735" width="12.44140625" style="417" customWidth="1"/>
    <col min="9736" max="9736" width="10.88671875" style="417" customWidth="1"/>
    <col min="9737" max="9739" width="9" style="417"/>
    <col min="9740" max="9740" width="11.44140625" style="417" customWidth="1"/>
    <col min="9741" max="9745" width="11.33203125" style="417" bestFit="1" customWidth="1"/>
    <col min="9746" max="9984" width="9" style="417"/>
    <col min="9985" max="9985" width="13.33203125" style="417" customWidth="1"/>
    <col min="9986" max="9986" width="7.6640625" style="417" customWidth="1"/>
    <col min="9987" max="9987" width="6.109375" style="417" customWidth="1"/>
    <col min="9988" max="9988" width="56.109375" style="417" customWidth="1"/>
    <col min="9989" max="9989" width="9.33203125" style="417" customWidth="1"/>
    <col min="9990" max="9991" width="12.44140625" style="417" customWidth="1"/>
    <col min="9992" max="9992" width="10.88671875" style="417" customWidth="1"/>
    <col min="9993" max="9995" width="9" style="417"/>
    <col min="9996" max="9996" width="11.44140625" style="417" customWidth="1"/>
    <col min="9997" max="10001" width="11.33203125" style="417" bestFit="1" customWidth="1"/>
    <col min="10002" max="10240" width="9" style="417"/>
    <col min="10241" max="10241" width="13.33203125" style="417" customWidth="1"/>
    <col min="10242" max="10242" width="7.6640625" style="417" customWidth="1"/>
    <col min="10243" max="10243" width="6.109375" style="417" customWidth="1"/>
    <col min="10244" max="10244" width="56.109375" style="417" customWidth="1"/>
    <col min="10245" max="10245" width="9.33203125" style="417" customWidth="1"/>
    <col min="10246" max="10247" width="12.44140625" style="417" customWidth="1"/>
    <col min="10248" max="10248" width="10.88671875" style="417" customWidth="1"/>
    <col min="10249" max="10251" width="9" style="417"/>
    <col min="10252" max="10252" width="11.44140625" style="417" customWidth="1"/>
    <col min="10253" max="10257" width="11.33203125" style="417" bestFit="1" customWidth="1"/>
    <col min="10258" max="10496" width="9" style="417"/>
    <col min="10497" max="10497" width="13.33203125" style="417" customWidth="1"/>
    <col min="10498" max="10498" width="7.6640625" style="417" customWidth="1"/>
    <col min="10499" max="10499" width="6.109375" style="417" customWidth="1"/>
    <col min="10500" max="10500" width="56.109375" style="417" customWidth="1"/>
    <col min="10501" max="10501" width="9.33203125" style="417" customWidth="1"/>
    <col min="10502" max="10503" width="12.44140625" style="417" customWidth="1"/>
    <col min="10504" max="10504" width="10.88671875" style="417" customWidth="1"/>
    <col min="10505" max="10507" width="9" style="417"/>
    <col min="10508" max="10508" width="11.44140625" style="417" customWidth="1"/>
    <col min="10509" max="10513" width="11.33203125" style="417" bestFit="1" customWidth="1"/>
    <col min="10514" max="10752" width="9" style="417"/>
    <col min="10753" max="10753" width="13.33203125" style="417" customWidth="1"/>
    <col min="10754" max="10754" width="7.6640625" style="417" customWidth="1"/>
    <col min="10755" max="10755" width="6.109375" style="417" customWidth="1"/>
    <col min="10756" max="10756" width="56.109375" style="417" customWidth="1"/>
    <col min="10757" max="10757" width="9.33203125" style="417" customWidth="1"/>
    <col min="10758" max="10759" width="12.44140625" style="417" customWidth="1"/>
    <col min="10760" max="10760" width="10.88671875" style="417" customWidth="1"/>
    <col min="10761" max="10763" width="9" style="417"/>
    <col min="10764" max="10764" width="11.44140625" style="417" customWidth="1"/>
    <col min="10765" max="10769" width="11.33203125" style="417" bestFit="1" customWidth="1"/>
    <col min="10770" max="11008" width="9" style="417"/>
    <col min="11009" max="11009" width="13.33203125" style="417" customWidth="1"/>
    <col min="11010" max="11010" width="7.6640625" style="417" customWidth="1"/>
    <col min="11011" max="11011" width="6.109375" style="417" customWidth="1"/>
    <col min="11012" max="11012" width="56.109375" style="417" customWidth="1"/>
    <col min="11013" max="11013" width="9.33203125" style="417" customWidth="1"/>
    <col min="11014" max="11015" width="12.44140625" style="417" customWidth="1"/>
    <col min="11016" max="11016" width="10.88671875" style="417" customWidth="1"/>
    <col min="11017" max="11019" width="9" style="417"/>
    <col min="11020" max="11020" width="11.44140625" style="417" customWidth="1"/>
    <col min="11021" max="11025" width="11.33203125" style="417" bestFit="1" customWidth="1"/>
    <col min="11026" max="11264" width="9" style="417"/>
    <col min="11265" max="11265" width="13.33203125" style="417" customWidth="1"/>
    <col min="11266" max="11266" width="7.6640625" style="417" customWidth="1"/>
    <col min="11267" max="11267" width="6.109375" style="417" customWidth="1"/>
    <col min="11268" max="11268" width="56.109375" style="417" customWidth="1"/>
    <col min="11269" max="11269" width="9.33203125" style="417" customWidth="1"/>
    <col min="11270" max="11271" width="12.44140625" style="417" customWidth="1"/>
    <col min="11272" max="11272" width="10.88671875" style="417" customWidth="1"/>
    <col min="11273" max="11275" width="9" style="417"/>
    <col min="11276" max="11276" width="11.44140625" style="417" customWidth="1"/>
    <col min="11277" max="11281" width="11.33203125" style="417" bestFit="1" customWidth="1"/>
    <col min="11282" max="11520" width="9" style="417"/>
    <col min="11521" max="11521" width="13.33203125" style="417" customWidth="1"/>
    <col min="11522" max="11522" width="7.6640625" style="417" customWidth="1"/>
    <col min="11523" max="11523" width="6.109375" style="417" customWidth="1"/>
    <col min="11524" max="11524" width="56.109375" style="417" customWidth="1"/>
    <col min="11525" max="11525" width="9.33203125" style="417" customWidth="1"/>
    <col min="11526" max="11527" width="12.44140625" style="417" customWidth="1"/>
    <col min="11528" max="11528" width="10.88671875" style="417" customWidth="1"/>
    <col min="11529" max="11531" width="9" style="417"/>
    <col min="11532" max="11532" width="11.44140625" style="417" customWidth="1"/>
    <col min="11533" max="11537" width="11.33203125" style="417" bestFit="1" customWidth="1"/>
    <col min="11538" max="11776" width="9" style="417"/>
    <col min="11777" max="11777" width="13.33203125" style="417" customWidth="1"/>
    <col min="11778" max="11778" width="7.6640625" style="417" customWidth="1"/>
    <col min="11779" max="11779" width="6.109375" style="417" customWidth="1"/>
    <col min="11780" max="11780" width="56.109375" style="417" customWidth="1"/>
    <col min="11781" max="11781" width="9.33203125" style="417" customWidth="1"/>
    <col min="11782" max="11783" width="12.44140625" style="417" customWidth="1"/>
    <col min="11784" max="11784" width="10.88671875" style="417" customWidth="1"/>
    <col min="11785" max="11787" width="9" style="417"/>
    <col min="11788" max="11788" width="11.44140625" style="417" customWidth="1"/>
    <col min="11789" max="11793" width="11.33203125" style="417" bestFit="1" customWidth="1"/>
    <col min="11794" max="12032" width="9" style="417"/>
    <col min="12033" max="12033" width="13.33203125" style="417" customWidth="1"/>
    <col min="12034" max="12034" width="7.6640625" style="417" customWidth="1"/>
    <col min="12035" max="12035" width="6.109375" style="417" customWidth="1"/>
    <col min="12036" max="12036" width="56.109375" style="417" customWidth="1"/>
    <col min="12037" max="12037" width="9.33203125" style="417" customWidth="1"/>
    <col min="12038" max="12039" width="12.44140625" style="417" customWidth="1"/>
    <col min="12040" max="12040" width="10.88671875" style="417" customWidth="1"/>
    <col min="12041" max="12043" width="9" style="417"/>
    <col min="12044" max="12044" width="11.44140625" style="417" customWidth="1"/>
    <col min="12045" max="12049" width="11.33203125" style="417" bestFit="1" customWidth="1"/>
    <col min="12050" max="12288" width="9" style="417"/>
    <col min="12289" max="12289" width="13.33203125" style="417" customWidth="1"/>
    <col min="12290" max="12290" width="7.6640625" style="417" customWidth="1"/>
    <col min="12291" max="12291" width="6.109375" style="417" customWidth="1"/>
    <col min="12292" max="12292" width="56.109375" style="417" customWidth="1"/>
    <col min="12293" max="12293" width="9.33203125" style="417" customWidth="1"/>
    <col min="12294" max="12295" width="12.44140625" style="417" customWidth="1"/>
    <col min="12296" max="12296" width="10.88671875" style="417" customWidth="1"/>
    <col min="12297" max="12299" width="9" style="417"/>
    <col min="12300" max="12300" width="11.44140625" style="417" customWidth="1"/>
    <col min="12301" max="12305" width="11.33203125" style="417" bestFit="1" customWidth="1"/>
    <col min="12306" max="12544" width="9" style="417"/>
    <col min="12545" max="12545" width="13.33203125" style="417" customWidth="1"/>
    <col min="12546" max="12546" width="7.6640625" style="417" customWidth="1"/>
    <col min="12547" max="12547" width="6.109375" style="417" customWidth="1"/>
    <col min="12548" max="12548" width="56.109375" style="417" customWidth="1"/>
    <col min="12549" max="12549" width="9.33203125" style="417" customWidth="1"/>
    <col min="12550" max="12551" width="12.44140625" style="417" customWidth="1"/>
    <col min="12552" max="12552" width="10.88671875" style="417" customWidth="1"/>
    <col min="12553" max="12555" width="9" style="417"/>
    <col min="12556" max="12556" width="11.44140625" style="417" customWidth="1"/>
    <col min="12557" max="12561" width="11.33203125" style="417" bestFit="1" customWidth="1"/>
    <col min="12562" max="12800" width="9" style="417"/>
    <col min="12801" max="12801" width="13.33203125" style="417" customWidth="1"/>
    <col min="12802" max="12802" width="7.6640625" style="417" customWidth="1"/>
    <col min="12803" max="12803" width="6.109375" style="417" customWidth="1"/>
    <col min="12804" max="12804" width="56.109375" style="417" customWidth="1"/>
    <col min="12805" max="12805" width="9.33203125" style="417" customWidth="1"/>
    <col min="12806" max="12807" width="12.44140625" style="417" customWidth="1"/>
    <col min="12808" max="12808" width="10.88671875" style="417" customWidth="1"/>
    <col min="12809" max="12811" width="9" style="417"/>
    <col min="12812" max="12812" width="11.44140625" style="417" customWidth="1"/>
    <col min="12813" max="12817" width="11.33203125" style="417" bestFit="1" customWidth="1"/>
    <col min="12818" max="13056" width="9" style="417"/>
    <col min="13057" max="13057" width="13.33203125" style="417" customWidth="1"/>
    <col min="13058" max="13058" width="7.6640625" style="417" customWidth="1"/>
    <col min="13059" max="13059" width="6.109375" style="417" customWidth="1"/>
    <col min="13060" max="13060" width="56.109375" style="417" customWidth="1"/>
    <col min="13061" max="13061" width="9.33203125" style="417" customWidth="1"/>
    <col min="13062" max="13063" width="12.44140625" style="417" customWidth="1"/>
    <col min="13064" max="13064" width="10.88671875" style="417" customWidth="1"/>
    <col min="13065" max="13067" width="9" style="417"/>
    <col min="13068" max="13068" width="11.44140625" style="417" customWidth="1"/>
    <col min="13069" max="13073" width="11.33203125" style="417" bestFit="1" customWidth="1"/>
    <col min="13074" max="13312" width="9" style="417"/>
    <col min="13313" max="13313" width="13.33203125" style="417" customWidth="1"/>
    <col min="13314" max="13314" width="7.6640625" style="417" customWidth="1"/>
    <col min="13315" max="13315" width="6.109375" style="417" customWidth="1"/>
    <col min="13316" max="13316" width="56.109375" style="417" customWidth="1"/>
    <col min="13317" max="13317" width="9.33203125" style="417" customWidth="1"/>
    <col min="13318" max="13319" width="12.44140625" style="417" customWidth="1"/>
    <col min="13320" max="13320" width="10.88671875" style="417" customWidth="1"/>
    <col min="13321" max="13323" width="9" style="417"/>
    <col min="13324" max="13324" width="11.44140625" style="417" customWidth="1"/>
    <col min="13325" max="13329" width="11.33203125" style="417" bestFit="1" customWidth="1"/>
    <col min="13330" max="13568" width="9" style="417"/>
    <col min="13569" max="13569" width="13.33203125" style="417" customWidth="1"/>
    <col min="13570" max="13570" width="7.6640625" style="417" customWidth="1"/>
    <col min="13571" max="13571" width="6.109375" style="417" customWidth="1"/>
    <col min="13572" max="13572" width="56.109375" style="417" customWidth="1"/>
    <col min="13573" max="13573" width="9.33203125" style="417" customWidth="1"/>
    <col min="13574" max="13575" width="12.44140625" style="417" customWidth="1"/>
    <col min="13576" max="13576" width="10.88671875" style="417" customWidth="1"/>
    <col min="13577" max="13579" width="9" style="417"/>
    <col min="13580" max="13580" width="11.44140625" style="417" customWidth="1"/>
    <col min="13581" max="13585" width="11.33203125" style="417" bestFit="1" customWidth="1"/>
    <col min="13586" max="13824" width="9" style="417"/>
    <col min="13825" max="13825" width="13.33203125" style="417" customWidth="1"/>
    <col min="13826" max="13826" width="7.6640625" style="417" customWidth="1"/>
    <col min="13827" max="13827" width="6.109375" style="417" customWidth="1"/>
    <col min="13828" max="13828" width="56.109375" style="417" customWidth="1"/>
    <col min="13829" max="13829" width="9.33203125" style="417" customWidth="1"/>
    <col min="13830" max="13831" width="12.44140625" style="417" customWidth="1"/>
    <col min="13832" max="13832" width="10.88671875" style="417" customWidth="1"/>
    <col min="13833" max="13835" width="9" style="417"/>
    <col min="13836" max="13836" width="11.44140625" style="417" customWidth="1"/>
    <col min="13837" max="13841" width="11.33203125" style="417" bestFit="1" customWidth="1"/>
    <col min="13842" max="14080" width="9" style="417"/>
    <col min="14081" max="14081" width="13.33203125" style="417" customWidth="1"/>
    <col min="14082" max="14082" width="7.6640625" style="417" customWidth="1"/>
    <col min="14083" max="14083" width="6.109375" style="417" customWidth="1"/>
    <col min="14084" max="14084" width="56.109375" style="417" customWidth="1"/>
    <col min="14085" max="14085" width="9.33203125" style="417" customWidth="1"/>
    <col min="14086" max="14087" width="12.44140625" style="417" customWidth="1"/>
    <col min="14088" max="14088" width="10.88671875" style="417" customWidth="1"/>
    <col min="14089" max="14091" width="9" style="417"/>
    <col min="14092" max="14092" width="11.44140625" style="417" customWidth="1"/>
    <col min="14093" max="14097" width="11.33203125" style="417" bestFit="1" customWidth="1"/>
    <col min="14098" max="14336" width="9" style="417"/>
    <col min="14337" max="14337" width="13.33203125" style="417" customWidth="1"/>
    <col min="14338" max="14338" width="7.6640625" style="417" customWidth="1"/>
    <col min="14339" max="14339" width="6.109375" style="417" customWidth="1"/>
    <col min="14340" max="14340" width="56.109375" style="417" customWidth="1"/>
    <col min="14341" max="14341" width="9.33203125" style="417" customWidth="1"/>
    <col min="14342" max="14343" width="12.44140625" style="417" customWidth="1"/>
    <col min="14344" max="14344" width="10.88671875" style="417" customWidth="1"/>
    <col min="14345" max="14347" width="9" style="417"/>
    <col min="14348" max="14348" width="11.44140625" style="417" customWidth="1"/>
    <col min="14349" max="14353" width="11.33203125" style="417" bestFit="1" customWidth="1"/>
    <col min="14354" max="14592" width="9" style="417"/>
    <col min="14593" max="14593" width="13.33203125" style="417" customWidth="1"/>
    <col min="14594" max="14594" width="7.6640625" style="417" customWidth="1"/>
    <col min="14595" max="14595" width="6.109375" style="417" customWidth="1"/>
    <col min="14596" max="14596" width="56.109375" style="417" customWidth="1"/>
    <col min="14597" max="14597" width="9.33203125" style="417" customWidth="1"/>
    <col min="14598" max="14599" width="12.44140625" style="417" customWidth="1"/>
    <col min="14600" max="14600" width="10.88671875" style="417" customWidth="1"/>
    <col min="14601" max="14603" width="9" style="417"/>
    <col min="14604" max="14604" width="11.44140625" style="417" customWidth="1"/>
    <col min="14605" max="14609" width="11.33203125" style="417" bestFit="1" customWidth="1"/>
    <col min="14610" max="14848" width="9" style="417"/>
    <col min="14849" max="14849" width="13.33203125" style="417" customWidth="1"/>
    <col min="14850" max="14850" width="7.6640625" style="417" customWidth="1"/>
    <col min="14851" max="14851" width="6.109375" style="417" customWidth="1"/>
    <col min="14852" max="14852" width="56.109375" style="417" customWidth="1"/>
    <col min="14853" max="14853" width="9.33203125" style="417" customWidth="1"/>
    <col min="14854" max="14855" width="12.44140625" style="417" customWidth="1"/>
    <col min="14856" max="14856" width="10.88671875" style="417" customWidth="1"/>
    <col min="14857" max="14859" width="9" style="417"/>
    <col min="14860" max="14860" width="11.44140625" style="417" customWidth="1"/>
    <col min="14861" max="14865" width="11.33203125" style="417" bestFit="1" customWidth="1"/>
    <col min="14866" max="15104" width="9" style="417"/>
    <col min="15105" max="15105" width="13.33203125" style="417" customWidth="1"/>
    <col min="15106" max="15106" width="7.6640625" style="417" customWidth="1"/>
    <col min="15107" max="15107" width="6.109375" style="417" customWidth="1"/>
    <col min="15108" max="15108" width="56.109375" style="417" customWidth="1"/>
    <col min="15109" max="15109" width="9.33203125" style="417" customWidth="1"/>
    <col min="15110" max="15111" width="12.44140625" style="417" customWidth="1"/>
    <col min="15112" max="15112" width="10.88671875" style="417" customWidth="1"/>
    <col min="15113" max="15115" width="9" style="417"/>
    <col min="15116" max="15116" width="11.44140625" style="417" customWidth="1"/>
    <col min="15117" max="15121" width="11.33203125" style="417" bestFit="1" customWidth="1"/>
    <col min="15122" max="15360" width="9" style="417"/>
    <col min="15361" max="15361" width="13.33203125" style="417" customWidth="1"/>
    <col min="15362" max="15362" width="7.6640625" style="417" customWidth="1"/>
    <col min="15363" max="15363" width="6.109375" style="417" customWidth="1"/>
    <col min="15364" max="15364" width="56.109375" style="417" customWidth="1"/>
    <col min="15365" max="15365" width="9.33203125" style="417" customWidth="1"/>
    <col min="15366" max="15367" width="12.44140625" style="417" customWidth="1"/>
    <col min="15368" max="15368" width="10.88671875" style="417" customWidth="1"/>
    <col min="15369" max="15371" width="9" style="417"/>
    <col min="15372" max="15372" width="11.44140625" style="417" customWidth="1"/>
    <col min="15373" max="15377" width="11.33203125" style="417" bestFit="1" customWidth="1"/>
    <col min="15378" max="15616" width="9" style="417"/>
    <col min="15617" max="15617" width="13.33203125" style="417" customWidth="1"/>
    <col min="15618" max="15618" width="7.6640625" style="417" customWidth="1"/>
    <col min="15619" max="15619" width="6.109375" style="417" customWidth="1"/>
    <col min="15620" max="15620" width="56.109375" style="417" customWidth="1"/>
    <col min="15621" max="15621" width="9.33203125" style="417" customWidth="1"/>
    <col min="15622" max="15623" width="12.44140625" style="417" customWidth="1"/>
    <col min="15624" max="15624" width="10.88671875" style="417" customWidth="1"/>
    <col min="15625" max="15627" width="9" style="417"/>
    <col min="15628" max="15628" width="11.44140625" style="417" customWidth="1"/>
    <col min="15629" max="15633" width="11.33203125" style="417" bestFit="1" customWidth="1"/>
    <col min="15634" max="15872" width="9" style="417"/>
    <col min="15873" max="15873" width="13.33203125" style="417" customWidth="1"/>
    <col min="15874" max="15874" width="7.6640625" style="417" customWidth="1"/>
    <col min="15875" max="15875" width="6.109375" style="417" customWidth="1"/>
    <col min="15876" max="15876" width="56.109375" style="417" customWidth="1"/>
    <col min="15877" max="15877" width="9.33203125" style="417" customWidth="1"/>
    <col min="15878" max="15879" width="12.44140625" style="417" customWidth="1"/>
    <col min="15880" max="15880" width="10.88671875" style="417" customWidth="1"/>
    <col min="15881" max="15883" width="9" style="417"/>
    <col min="15884" max="15884" width="11.44140625" style="417" customWidth="1"/>
    <col min="15885" max="15889" width="11.33203125" style="417" bestFit="1" customWidth="1"/>
    <col min="15890" max="16128" width="9" style="417"/>
    <col min="16129" max="16129" width="13.33203125" style="417" customWidth="1"/>
    <col min="16130" max="16130" width="7.6640625" style="417" customWidth="1"/>
    <col min="16131" max="16131" width="6.109375" style="417" customWidth="1"/>
    <col min="16132" max="16132" width="56.109375" style="417" customWidth="1"/>
    <col min="16133" max="16133" width="9.33203125" style="417" customWidth="1"/>
    <col min="16134" max="16135" width="12.44140625" style="417" customWidth="1"/>
    <col min="16136" max="16136" width="10.88671875" style="417" customWidth="1"/>
    <col min="16137" max="16139" width="9" style="417"/>
    <col min="16140" max="16140" width="11.44140625" style="417" customWidth="1"/>
    <col min="16141" max="16145" width="11.33203125" style="417" bestFit="1" customWidth="1"/>
    <col min="16146" max="16384" width="9" style="417"/>
  </cols>
  <sheetData>
    <row r="1" spans="1:18" s="363" customFormat="1" ht="12.75" customHeight="1" x14ac:dyDescent="0.3">
      <c r="A1" s="565"/>
      <c r="B1" s="566" t="str">
        <f>INSTRUÇÕES!B1</f>
        <v>Tribunal Regional Federal da 6ª Região</v>
      </c>
      <c r="C1" s="567"/>
      <c r="D1" s="568"/>
      <c r="E1" s="360"/>
      <c r="F1" s="359"/>
      <c r="G1" s="361"/>
      <c r="H1" s="362"/>
      <c r="L1" s="1148" t="s">
        <v>69</v>
      </c>
      <c r="M1" s="1148"/>
      <c r="N1" s="1148"/>
      <c r="O1" s="1148"/>
      <c r="P1" s="1148"/>
      <c r="Q1" s="1148"/>
    </row>
    <row r="2" spans="1:18" s="363" customFormat="1" ht="12.75" customHeight="1" x14ac:dyDescent="0.3">
      <c r="A2" s="569"/>
      <c r="B2" s="570" t="str">
        <f>INSTRUÇÕES!B2</f>
        <v>Seção Judiciária de Minas Gerais</v>
      </c>
      <c r="C2" s="571"/>
      <c r="D2" s="572"/>
      <c r="F2" s="364"/>
      <c r="G2" s="365"/>
      <c r="H2" s="366"/>
      <c r="L2" s="1148"/>
      <c r="M2" s="1148"/>
      <c r="N2" s="1148"/>
      <c r="O2" s="1148"/>
      <c r="P2" s="1148"/>
      <c r="Q2" s="1148"/>
    </row>
    <row r="3" spans="1:18" s="368" customFormat="1" ht="15" thickBot="1" x14ac:dyDescent="0.35">
      <c r="A3" s="569"/>
      <c r="B3" s="604" t="str">
        <f>INSTRUÇÕES!B3</f>
        <v>Subseção Judiciária de Sete Lagoas</v>
      </c>
      <c r="C3" s="605"/>
      <c r="D3" s="606"/>
      <c r="F3" s="607"/>
      <c r="G3" s="608"/>
      <c r="H3" s="609"/>
      <c r="L3" s="1148"/>
      <c r="M3" s="1148"/>
      <c r="N3" s="1148"/>
      <c r="O3" s="1148"/>
      <c r="P3" s="1148"/>
      <c r="Q3" s="1148"/>
    </row>
    <row r="4" spans="1:18" s="433" customFormat="1" ht="16.2" thickBot="1" x14ac:dyDescent="0.35">
      <c r="A4" s="1149" t="s">
        <v>731</v>
      </c>
      <c r="B4" s="1150"/>
      <c r="C4" s="1150"/>
      <c r="D4" s="1150"/>
      <c r="E4" s="1150"/>
      <c r="F4" s="1150"/>
      <c r="G4" s="1150"/>
      <c r="H4" s="1151"/>
      <c r="L4" s="1148"/>
      <c r="M4" s="1148"/>
      <c r="N4" s="1148"/>
      <c r="O4" s="1148"/>
      <c r="P4" s="1148"/>
      <c r="Q4" s="1148"/>
    </row>
    <row r="5" spans="1:18" s="363" customFormat="1" ht="27" customHeight="1" x14ac:dyDescent="0.3">
      <c r="A5" s="1152" t="s">
        <v>493</v>
      </c>
      <c r="B5" s="1153"/>
      <c r="C5" s="1153"/>
      <c r="D5" s="1153"/>
      <c r="E5" s="1153"/>
      <c r="F5" s="1153"/>
      <c r="G5" s="1153"/>
      <c r="H5" s="1154"/>
      <c r="L5" s="1155" t="s">
        <v>79</v>
      </c>
      <c r="M5" s="1156" t="s">
        <v>80</v>
      </c>
      <c r="N5" s="1156" t="s">
        <v>81</v>
      </c>
      <c r="O5" s="1156" t="s">
        <v>82</v>
      </c>
      <c r="P5" s="1156" t="s">
        <v>83</v>
      </c>
      <c r="Q5" s="1156" t="s">
        <v>84</v>
      </c>
    </row>
    <row r="6" spans="1:18" s="363" customFormat="1" ht="15.75" customHeight="1" x14ac:dyDescent="0.3">
      <c r="A6" s="1157" t="s">
        <v>538</v>
      </c>
      <c r="B6" s="1158"/>
      <c r="C6" s="1158"/>
      <c r="D6" s="1158"/>
      <c r="E6" s="1158"/>
      <c r="F6" s="1158"/>
      <c r="G6" s="1158"/>
      <c r="H6" s="1159"/>
      <c r="J6" s="368"/>
      <c r="L6" s="1155"/>
      <c r="M6" s="1156"/>
      <c r="N6" s="1156"/>
      <c r="O6" s="1156"/>
      <c r="P6" s="1156"/>
      <c r="Q6" s="1156"/>
    </row>
    <row r="7" spans="1:18" s="363" customFormat="1" ht="15.75" customHeight="1" x14ac:dyDescent="0.3">
      <c r="A7" s="369"/>
      <c r="B7" s="367"/>
      <c r="C7" s="370"/>
      <c r="D7" s="367"/>
      <c r="E7" s="367"/>
      <c r="F7" s="370"/>
      <c r="G7" s="371"/>
      <c r="H7" s="372"/>
      <c r="J7" s="368"/>
      <c r="L7" s="1155"/>
      <c r="M7" s="1156"/>
      <c r="N7" s="1156"/>
      <c r="O7" s="1156"/>
      <c r="P7" s="1156"/>
      <c r="Q7" s="1156"/>
    </row>
    <row r="8" spans="1:18" s="363" customFormat="1" ht="27.6" x14ac:dyDescent="0.3">
      <c r="A8" s="373" t="s">
        <v>517</v>
      </c>
      <c r="B8" s="374" t="s">
        <v>361</v>
      </c>
      <c r="C8" s="375" t="s">
        <v>539</v>
      </c>
      <c r="D8" s="376" t="s">
        <v>540</v>
      </c>
      <c r="E8" s="376" t="s">
        <v>541</v>
      </c>
      <c r="F8" s="377" t="s">
        <v>542</v>
      </c>
      <c r="G8" s="378" t="s">
        <v>504</v>
      </c>
      <c r="H8" s="379" t="s">
        <v>310</v>
      </c>
      <c r="J8" s="368"/>
      <c r="K8" s="368"/>
      <c r="L8" s="1155"/>
      <c r="M8" s="1156"/>
      <c r="N8" s="1156"/>
      <c r="O8" s="1156"/>
      <c r="P8" s="1156"/>
      <c r="Q8" s="1156"/>
      <c r="R8" s="299" t="s">
        <v>85</v>
      </c>
    </row>
    <row r="9" spans="1:18" s="368" customFormat="1" ht="41.4" x14ac:dyDescent="0.3">
      <c r="A9" s="1160" t="s">
        <v>543</v>
      </c>
      <c r="B9" s="109" t="s">
        <v>544</v>
      </c>
      <c r="C9" s="113">
        <v>2</v>
      </c>
      <c r="D9" s="380" t="s">
        <v>545</v>
      </c>
      <c r="E9" s="381" t="s">
        <v>546</v>
      </c>
      <c r="F9" s="113">
        <f>C9*$A$12</f>
        <v>4</v>
      </c>
      <c r="G9" s="126">
        <v>61.59</v>
      </c>
      <c r="H9" s="117">
        <f>ROUND(F9*G9,2)</f>
        <v>246.36</v>
      </c>
      <c r="L9" s="550">
        <v>61.59</v>
      </c>
      <c r="M9" s="382">
        <f>ROUND(IF(Dados!$I$61="SIM",L9*Dados!$N$61,L9),2)</f>
        <v>61.59</v>
      </c>
      <c r="N9" s="382">
        <f>ROUND(IF(Dados!$I$62="SIM",M9*Dados!$N$62,M9),2)</f>
        <v>61.59</v>
      </c>
      <c r="O9" s="382">
        <f>ROUND(IF(Dados!$I$63="SIM",N9*Dados!$N$63,N9),2)</f>
        <v>61.59</v>
      </c>
      <c r="P9" s="382">
        <f>ROUND(IF(Dados!$I$64="SIM",O9*Dados!$N$64,O9),2)</f>
        <v>61.59</v>
      </c>
      <c r="Q9" s="382">
        <f>ROUND(IF(Dados!$I$65="SIM",P9*Dados!$N$65,P9),2)</f>
        <v>61.59</v>
      </c>
      <c r="R9" s="3">
        <f>IF(Dados!$D$68="INICIAL",L9,IF(Dados!$D$68="1º IPCA",M9,IF(Dados!$D$68="2º IPCA",N9,IF(Dados!$D$68="3º IPCA",O9,IF(Dados!$D$68="4º IPCA",P9,IF(Dados!$D$68="5º IPCA",Q9,))))))</f>
        <v>61.59</v>
      </c>
    </row>
    <row r="10" spans="1:18" s="368" customFormat="1" ht="27.6" x14ac:dyDescent="0.3">
      <c r="A10" s="1161"/>
      <c r="B10" s="109" t="s">
        <v>547</v>
      </c>
      <c r="C10" s="113">
        <v>3</v>
      </c>
      <c r="D10" s="380" t="s">
        <v>548</v>
      </c>
      <c r="E10" s="381" t="s">
        <v>549</v>
      </c>
      <c r="F10" s="113">
        <f t="shared" ref="F10:F12" si="0">C10*$A$12</f>
        <v>6</v>
      </c>
      <c r="G10" s="126">
        <v>95.82</v>
      </c>
      <c r="H10" s="117">
        <f t="shared" ref="H10:H12" si="1">ROUND(F10*G10,2)</f>
        <v>574.91999999999996</v>
      </c>
      <c r="L10" s="550">
        <v>95.82</v>
      </c>
      <c r="M10" s="382">
        <f>ROUND(IF(Dados!$I$61="SIM",L10*Dados!$N$61,L10),2)</f>
        <v>95.82</v>
      </c>
      <c r="N10" s="382">
        <f>ROUND(IF(Dados!$I$62="SIM",M10*Dados!$N$62,M10),2)</f>
        <v>95.82</v>
      </c>
      <c r="O10" s="382">
        <f>ROUND(IF(Dados!$I$63="SIM",N10*Dados!$N$63,N10),2)</f>
        <v>95.82</v>
      </c>
      <c r="P10" s="382">
        <f>ROUND(IF(Dados!$I$64="SIM",O10*Dados!$N$64,O10),2)</f>
        <v>95.82</v>
      </c>
      <c r="Q10" s="382">
        <f>ROUND(IF(Dados!$I$65="SIM",P10*Dados!$N$65,P10),2)</f>
        <v>95.82</v>
      </c>
      <c r="R10" s="3">
        <f>IF(Dados!$D$68="INICIAL",L10,IF(Dados!$D$68="1º IPCA",M10,IF(Dados!$D$68="2º IPCA",N10,IF(Dados!$D$68="3º IPCA",O10,IF(Dados!$D$68="4º IPCA",P10,IF(Dados!$D$68="5º IPCA",Q10,))))))</f>
        <v>95.82</v>
      </c>
    </row>
    <row r="11" spans="1:18" s="368" customFormat="1" ht="27.6" x14ac:dyDescent="0.3">
      <c r="A11" s="383" t="s">
        <v>550</v>
      </c>
      <c r="B11" s="384" t="s">
        <v>551</v>
      </c>
      <c r="C11" s="113">
        <v>1</v>
      </c>
      <c r="D11" s="380" t="s">
        <v>552</v>
      </c>
      <c r="E11" s="109" t="s">
        <v>553</v>
      </c>
      <c r="F11" s="113">
        <f t="shared" si="0"/>
        <v>2</v>
      </c>
      <c r="G11" s="126">
        <v>50.53</v>
      </c>
      <c r="H11" s="117">
        <f t="shared" si="1"/>
        <v>101.06</v>
      </c>
      <c r="L11" s="550">
        <v>50.53</v>
      </c>
      <c r="M11" s="382">
        <f>ROUND(IF(Dados!$I$61="SIM",L11*Dados!$N$61,L11),2)</f>
        <v>50.53</v>
      </c>
      <c r="N11" s="382">
        <f>ROUND(IF(Dados!$I$62="SIM",M11*Dados!$N$62,M11),2)</f>
        <v>50.53</v>
      </c>
      <c r="O11" s="382">
        <f>ROUND(IF(Dados!$I$63="SIM",N11*Dados!$N$63,N11),2)</f>
        <v>50.53</v>
      </c>
      <c r="P11" s="382">
        <f>ROUND(IF(Dados!$I$64="SIM",O11*Dados!$N$64,O11),2)</f>
        <v>50.53</v>
      </c>
      <c r="Q11" s="382">
        <f>ROUND(IF(Dados!$I$65="SIM",P11*Dados!$N$65,P11),2)</f>
        <v>50.53</v>
      </c>
      <c r="R11" s="3">
        <f>IF(Dados!$D$68="INICIAL",L11,IF(Dados!$D$68="1º IPCA",M11,IF(Dados!$D$68="2º IPCA",N11,IF(Dados!$D$68="3º IPCA",O11,IF(Dados!$D$68="4º IPCA",P11,IF(Dados!$D$68="5º IPCA",Q11,))))))</f>
        <v>50.53</v>
      </c>
    </row>
    <row r="12" spans="1:18" s="368" customFormat="1" ht="27.6" x14ac:dyDescent="0.3">
      <c r="A12" s="385">
        <f>Dados!B7+Dados!B8</f>
        <v>2</v>
      </c>
      <c r="B12" s="109" t="s">
        <v>554</v>
      </c>
      <c r="C12" s="113">
        <v>1</v>
      </c>
      <c r="D12" s="380" t="s">
        <v>555</v>
      </c>
      <c r="E12" s="109" t="s">
        <v>553</v>
      </c>
      <c r="F12" s="113">
        <f t="shared" si="0"/>
        <v>2</v>
      </c>
      <c r="G12" s="126">
        <v>50.85</v>
      </c>
      <c r="H12" s="117">
        <f t="shared" si="1"/>
        <v>101.7</v>
      </c>
      <c r="L12" s="550">
        <v>50.85</v>
      </c>
      <c r="M12" s="382">
        <f>ROUND(IF(Dados!$I$61="SIM",L12*Dados!$N$61,L12),2)</f>
        <v>50.85</v>
      </c>
      <c r="N12" s="382">
        <f>ROUND(IF(Dados!$I$62="SIM",M12*Dados!$N$62,M12),2)</f>
        <v>50.85</v>
      </c>
      <c r="O12" s="382">
        <f>ROUND(IF(Dados!$I$63="SIM",N12*Dados!$N$63,N12),2)</f>
        <v>50.85</v>
      </c>
      <c r="P12" s="382">
        <f>ROUND(IF(Dados!$I$64="SIM",O12*Dados!$N$64,O12),2)</f>
        <v>50.85</v>
      </c>
      <c r="Q12" s="382">
        <f>ROUND(IF(Dados!$I$65="SIM",P12*Dados!$N$65,P12),2)</f>
        <v>50.85</v>
      </c>
      <c r="R12" s="3">
        <f>IF(Dados!$D$68="INICIAL",L12,IF(Dados!$D$68="1º IPCA",M12,IF(Dados!$D$68="2º IPCA",N12,IF(Dados!$D$68="3º IPCA",O12,IF(Dados!$D$68="4º IPCA",P12,IF(Dados!$D$68="5º IPCA",Q12,))))))</f>
        <v>50.85</v>
      </c>
    </row>
    <row r="13" spans="1:18" s="368" customFormat="1" x14ac:dyDescent="0.3">
      <c r="A13" s="1162" t="s">
        <v>556</v>
      </c>
      <c r="B13" s="1163"/>
      <c r="C13" s="1163"/>
      <c r="D13" s="1163"/>
      <c r="E13" s="1163"/>
      <c r="F13" s="1163"/>
      <c r="G13" s="1164"/>
      <c r="H13" s="118">
        <f>SUM(H9:H12)</f>
        <v>1024.04</v>
      </c>
      <c r="L13" s="386"/>
      <c r="M13" s="386"/>
      <c r="N13" s="386"/>
      <c r="O13" s="386"/>
      <c r="P13" s="386"/>
      <c r="Q13" s="386"/>
    </row>
    <row r="14" spans="1:18" s="368" customFormat="1" ht="16.2" thickBot="1" x14ac:dyDescent="0.35">
      <c r="A14" s="1165" t="s">
        <v>557</v>
      </c>
      <c r="B14" s="1166"/>
      <c r="C14" s="1166"/>
      <c r="D14" s="1166"/>
      <c r="E14" s="1166"/>
      <c r="F14" s="1166"/>
      <c r="G14" s="387"/>
      <c r="H14" s="125">
        <f>ROUND(H13/$A$12/12,2)</f>
        <v>42.67</v>
      </c>
      <c r="L14" s="386"/>
      <c r="M14" s="386"/>
      <c r="N14" s="386"/>
      <c r="O14" s="386"/>
      <c r="P14" s="386"/>
      <c r="Q14" s="386"/>
    </row>
    <row r="15" spans="1:18" s="368" customFormat="1" x14ac:dyDescent="0.3">
      <c r="A15" s="388"/>
      <c r="B15" s="389"/>
      <c r="C15" s="114"/>
      <c r="D15" s="390"/>
      <c r="E15" s="390"/>
      <c r="F15" s="114"/>
      <c r="G15" s="112"/>
      <c r="H15" s="119"/>
      <c r="L15" s="386"/>
      <c r="M15" s="386"/>
      <c r="N15" s="386"/>
      <c r="O15" s="386"/>
      <c r="P15" s="386"/>
      <c r="Q15" s="386"/>
    </row>
    <row r="16" spans="1:18" s="368" customFormat="1" ht="69" x14ac:dyDescent="0.3">
      <c r="A16" s="391" t="s">
        <v>517</v>
      </c>
      <c r="B16" s="392" t="s">
        <v>361</v>
      </c>
      <c r="C16" s="393" t="s">
        <v>539</v>
      </c>
      <c r="D16" s="394" t="s">
        <v>540</v>
      </c>
      <c r="E16" s="394" t="s">
        <v>541</v>
      </c>
      <c r="F16" s="395" t="s">
        <v>542</v>
      </c>
      <c r="G16" s="396" t="s">
        <v>504</v>
      </c>
      <c r="H16" s="397" t="s">
        <v>310</v>
      </c>
      <c r="L16" s="551" t="s">
        <v>79</v>
      </c>
      <c r="M16" s="398" t="s">
        <v>80</v>
      </c>
      <c r="N16" s="398" t="s">
        <v>81</v>
      </c>
      <c r="O16" s="398" t="s">
        <v>82</v>
      </c>
      <c r="P16" s="398" t="s">
        <v>83</v>
      </c>
      <c r="Q16" s="398" t="s">
        <v>84</v>
      </c>
    </row>
    <row r="17" spans="1:18" s="368" customFormat="1" x14ac:dyDescent="0.3">
      <c r="A17" s="1167" t="s">
        <v>558</v>
      </c>
      <c r="B17" s="399" t="s">
        <v>544</v>
      </c>
      <c r="C17" s="115">
        <v>1</v>
      </c>
      <c r="D17" s="110" t="s">
        <v>559</v>
      </c>
      <c r="E17" s="400" t="s">
        <v>560</v>
      </c>
      <c r="F17" s="113">
        <f>C17*$A$22</f>
        <v>1</v>
      </c>
      <c r="G17" s="422">
        <v>78.5</v>
      </c>
      <c r="H17" s="117">
        <f t="shared" ref="H17:H22" si="2">ROUND(F17*G17,2)</f>
        <v>78.5</v>
      </c>
      <c r="L17" s="550">
        <v>78.5</v>
      </c>
      <c r="M17" s="382">
        <f>ROUND(IF(Dados!$I$61="SIM",L17*Dados!$N$61,L17),2)</f>
        <v>78.5</v>
      </c>
      <c r="N17" s="382">
        <f>ROUND(IF(Dados!$I$62="SIM",M17*Dados!$N$62,M17),2)</f>
        <v>78.5</v>
      </c>
      <c r="O17" s="382">
        <f>ROUND(IF(Dados!$I$63="SIM",N17*Dados!$N$63,N17),2)</f>
        <v>78.5</v>
      </c>
      <c r="P17" s="382">
        <f>ROUND(IF(Dados!$I$64="SIM",O17*Dados!$N$64,O17),2)</f>
        <v>78.5</v>
      </c>
      <c r="Q17" s="382">
        <f>ROUND(IF(Dados!$I$65="SIM",P17*Dados!$N$65,P17),2)</f>
        <v>78.5</v>
      </c>
      <c r="R17" s="3">
        <f>IF(Dados!$D$68="INICIAL",L17,IF(Dados!$D$68="1º IPCA",M17,IF(Dados!$D$68="2º IPCA",N17,IF(Dados!$D$68="3º IPCA",O17,IF(Dados!$D$68="4º IPCA",P17,IF(Dados!$D$68="5º IPCA",Q17,))))))</f>
        <v>78.5</v>
      </c>
    </row>
    <row r="18" spans="1:18" s="368" customFormat="1" ht="27.6" x14ac:dyDescent="0.3">
      <c r="A18" s="1167"/>
      <c r="B18" s="399" t="s">
        <v>544</v>
      </c>
      <c r="C18" s="115">
        <v>1</v>
      </c>
      <c r="D18" s="111" t="s">
        <v>545</v>
      </c>
      <c r="E18" s="400" t="s">
        <v>553</v>
      </c>
      <c r="F18" s="113">
        <f t="shared" ref="F18:F22" si="3">C18*$A$22</f>
        <v>1</v>
      </c>
      <c r="G18" s="422">
        <v>61.59</v>
      </c>
      <c r="H18" s="117">
        <f t="shared" si="2"/>
        <v>61.59</v>
      </c>
      <c r="L18" s="550">
        <v>61.59</v>
      </c>
      <c r="M18" s="382">
        <f>ROUND(IF(Dados!$I$61="SIM",L18*Dados!$N$61,L18),2)</f>
        <v>61.59</v>
      </c>
      <c r="N18" s="382">
        <f>ROUND(IF(Dados!$I$62="SIM",M18*Dados!$N$62,M18),2)</f>
        <v>61.59</v>
      </c>
      <c r="O18" s="382">
        <f>ROUND(IF(Dados!$I$63="SIM",N18*Dados!$N$63,N18),2)</f>
        <v>61.59</v>
      </c>
      <c r="P18" s="382">
        <f>ROUND(IF(Dados!$I$64="SIM",O18*Dados!$N$64,O18),2)</f>
        <v>61.59</v>
      </c>
      <c r="Q18" s="382">
        <f>ROUND(IF(Dados!$I$65="SIM",P18*Dados!$N$65,P18),2)</f>
        <v>61.59</v>
      </c>
      <c r="R18" s="3">
        <f>IF(Dados!$D$68="INICIAL",L18,IF(Dados!$D$68="1º IPCA",M18,IF(Dados!$D$68="2º IPCA",N18,IF(Dados!$D$68="3º IPCA",O18,IF(Dados!$D$68="4º IPCA",P18,IF(Dados!$D$68="5º IPCA",Q18,))))))</f>
        <v>61.59</v>
      </c>
    </row>
    <row r="19" spans="1:18" s="368" customFormat="1" ht="27.6" x14ac:dyDescent="0.3">
      <c r="A19" s="1167"/>
      <c r="B19" s="399" t="s">
        <v>547</v>
      </c>
      <c r="C19" s="115">
        <v>3</v>
      </c>
      <c r="D19" s="111" t="s">
        <v>548</v>
      </c>
      <c r="E19" s="399" t="s">
        <v>561</v>
      </c>
      <c r="F19" s="113">
        <f t="shared" si="3"/>
        <v>3</v>
      </c>
      <c r="G19" s="422">
        <v>95.82</v>
      </c>
      <c r="H19" s="117">
        <f t="shared" si="2"/>
        <v>287.45999999999998</v>
      </c>
      <c r="L19" s="550">
        <v>95.82</v>
      </c>
      <c r="M19" s="382">
        <f>ROUND(IF(Dados!$I$61="SIM",L19*Dados!$N$61,L19),2)</f>
        <v>95.82</v>
      </c>
      <c r="N19" s="382">
        <f>ROUND(IF(Dados!$I$62="SIM",M19*Dados!$N$62,M19),2)</f>
        <v>95.82</v>
      </c>
      <c r="O19" s="382">
        <f>ROUND(IF(Dados!$I$63="SIM",N19*Dados!$N$63,N19),2)</f>
        <v>95.82</v>
      </c>
      <c r="P19" s="382">
        <f>ROUND(IF(Dados!$I$64="SIM",O19*Dados!$N$64,O19),2)</f>
        <v>95.82</v>
      </c>
      <c r="Q19" s="382">
        <f>ROUND(IF(Dados!$I$65="SIM",P19*Dados!$N$65,P19),2)</f>
        <v>95.82</v>
      </c>
      <c r="R19" s="3">
        <f>IF(Dados!$D$68="INICIAL",L19,IF(Dados!$D$68="1º IPCA",M19,IF(Dados!$D$68="2º IPCA",N19,IF(Dados!$D$68="3º IPCA",O19,IF(Dados!$D$68="4º IPCA",P19,IF(Dados!$D$68="5º IPCA",Q19,))))))</f>
        <v>95.82</v>
      </c>
    </row>
    <row r="20" spans="1:18" s="368" customFormat="1" x14ac:dyDescent="0.3">
      <c r="A20" s="1167"/>
      <c r="B20" s="399" t="s">
        <v>562</v>
      </c>
      <c r="C20" s="115">
        <v>1</v>
      </c>
      <c r="D20" s="110" t="s">
        <v>563</v>
      </c>
      <c r="E20" s="399" t="s">
        <v>564</v>
      </c>
      <c r="F20" s="113">
        <f t="shared" si="3"/>
        <v>1</v>
      </c>
      <c r="G20" s="422">
        <v>22.76</v>
      </c>
      <c r="H20" s="117">
        <f t="shared" si="2"/>
        <v>22.76</v>
      </c>
      <c r="L20" s="550">
        <v>22.76</v>
      </c>
      <c r="M20" s="382">
        <f>ROUND(IF(Dados!$I$61="SIM",L20*Dados!$N$61,L20),2)</f>
        <v>22.76</v>
      </c>
      <c r="N20" s="382">
        <f>ROUND(IF(Dados!$I$62="SIM",M20*Dados!$N$62,M20),2)</f>
        <v>22.76</v>
      </c>
      <c r="O20" s="382">
        <f>ROUND(IF(Dados!$I$63="SIM",N20*Dados!$N$63,N20),2)</f>
        <v>22.76</v>
      </c>
      <c r="P20" s="382">
        <f>ROUND(IF(Dados!$I$64="SIM",O20*Dados!$N$64,O20),2)</f>
        <v>22.76</v>
      </c>
      <c r="Q20" s="382">
        <f>ROUND(IF(Dados!$I$65="SIM",P20*Dados!$N$65,P20),2)</f>
        <v>22.76</v>
      </c>
      <c r="R20" s="3">
        <f>IF(Dados!$D$68="INICIAL",L20,IF(Dados!$D$68="1º IPCA",M20,IF(Dados!$D$68="2º IPCA",N20,IF(Dados!$D$68="3º IPCA",O20,IF(Dados!$D$68="4º IPCA",P20,IF(Dados!$D$68="5º IPCA",Q20,))))))</f>
        <v>22.76</v>
      </c>
    </row>
    <row r="21" spans="1:18" s="368" customFormat="1" ht="27.6" x14ac:dyDescent="0.3">
      <c r="A21" s="401" t="s">
        <v>550</v>
      </c>
      <c r="B21" s="402" t="s">
        <v>565</v>
      </c>
      <c r="C21" s="116">
        <v>2</v>
      </c>
      <c r="D21" s="403" t="s">
        <v>566</v>
      </c>
      <c r="E21" s="402" t="s">
        <v>553</v>
      </c>
      <c r="F21" s="113">
        <f t="shared" si="3"/>
        <v>2</v>
      </c>
      <c r="G21" s="423">
        <v>16.41</v>
      </c>
      <c r="H21" s="117">
        <f t="shared" si="2"/>
        <v>32.82</v>
      </c>
      <c r="L21" s="550">
        <v>16.41</v>
      </c>
      <c r="M21" s="382">
        <f>ROUND(IF(Dados!$I$61="SIM",L21*Dados!$N$61,L21),2)</f>
        <v>16.41</v>
      </c>
      <c r="N21" s="382">
        <f>ROUND(IF(Dados!$I$62="SIM",M21*Dados!$N$62,M21),2)</f>
        <v>16.41</v>
      </c>
      <c r="O21" s="382">
        <f>ROUND(IF(Dados!$I$63="SIM",N21*Dados!$N$63,N21),2)</f>
        <v>16.41</v>
      </c>
      <c r="P21" s="382">
        <f>ROUND(IF(Dados!$I$64="SIM",O21*Dados!$N$64,O21),2)</f>
        <v>16.41</v>
      </c>
      <c r="Q21" s="382">
        <f>ROUND(IF(Dados!$I$65="SIM",P21*Dados!$N$65,P21),2)</f>
        <v>16.41</v>
      </c>
      <c r="R21" s="3">
        <f>IF(Dados!$D$68="INICIAL",L21,IF(Dados!$D$68="1º IPCA",M21,IF(Dados!$D$68="2º IPCA",N21,IF(Dados!$D$68="3º IPCA",O21,IF(Dados!$D$68="4º IPCA",P21,IF(Dados!$D$68="5º IPCA",Q21,))))))</f>
        <v>16.41</v>
      </c>
    </row>
    <row r="22" spans="1:18" s="368" customFormat="1" ht="36.6" x14ac:dyDescent="0.3">
      <c r="A22" s="404">
        <f>Dados!B9</f>
        <v>1</v>
      </c>
      <c r="B22" s="384" t="s">
        <v>551</v>
      </c>
      <c r="C22" s="113">
        <v>1</v>
      </c>
      <c r="D22" s="380" t="s">
        <v>567</v>
      </c>
      <c r="E22" s="109" t="s">
        <v>564</v>
      </c>
      <c r="F22" s="113">
        <f t="shared" si="3"/>
        <v>1</v>
      </c>
      <c r="G22" s="424">
        <v>61.29</v>
      </c>
      <c r="H22" s="117">
        <f t="shared" si="2"/>
        <v>61.29</v>
      </c>
      <c r="L22" s="550">
        <v>61.29</v>
      </c>
      <c r="M22" s="382">
        <f>ROUND(IF(Dados!$I$61="SIM",L22*Dados!$N$61,L22),2)</f>
        <v>61.29</v>
      </c>
      <c r="N22" s="382">
        <f>ROUND(IF(Dados!$I$62="SIM",M22*Dados!$N$62,M22),2)</f>
        <v>61.29</v>
      </c>
      <c r="O22" s="382">
        <f>ROUND(IF(Dados!$I$63="SIM",N22*Dados!$N$63,N22),2)</f>
        <v>61.29</v>
      </c>
      <c r="P22" s="382">
        <f>ROUND(IF(Dados!$I$64="SIM",O22*Dados!$N$64,O22),2)</f>
        <v>61.29</v>
      </c>
      <c r="Q22" s="382">
        <f>ROUND(IF(Dados!$I$65="SIM",P22*Dados!$N$65,P22),2)</f>
        <v>61.29</v>
      </c>
      <c r="R22" s="3">
        <f>IF(Dados!$D$68="INICIAL",L22,IF(Dados!$D$68="1º IPCA",M22,IF(Dados!$D$68="2º IPCA",N22,IF(Dados!$D$68="3º IPCA",O22,IF(Dados!$D$68="4º IPCA",P22,IF(Dados!$D$68="5º IPCA",Q22,))))))</f>
        <v>61.29</v>
      </c>
    </row>
    <row r="23" spans="1:18" s="368" customFormat="1" ht="36" customHeight="1" thickBot="1" x14ac:dyDescent="0.35">
      <c r="A23" s="1168" t="s">
        <v>556</v>
      </c>
      <c r="B23" s="1169"/>
      <c r="C23" s="1169"/>
      <c r="D23" s="1169"/>
      <c r="E23" s="1169"/>
      <c r="F23" s="1169"/>
      <c r="G23" s="1170"/>
      <c r="H23" s="120">
        <f>SUM(H17:H22)</f>
        <v>544.41999999999996</v>
      </c>
      <c r="L23" s="386"/>
      <c r="M23" s="386"/>
      <c r="N23" s="386"/>
      <c r="O23" s="386"/>
      <c r="P23" s="386"/>
      <c r="Q23" s="386"/>
    </row>
    <row r="24" spans="1:18" s="368" customFormat="1" ht="16.2" thickBot="1" x14ac:dyDescent="0.35">
      <c r="A24" s="1146" t="s">
        <v>568</v>
      </c>
      <c r="B24" s="1147"/>
      <c r="C24" s="1147"/>
      <c r="D24" s="1147"/>
      <c r="E24" s="1147"/>
      <c r="F24" s="1147"/>
      <c r="G24" s="405"/>
      <c r="H24" s="125">
        <f>ROUND(H23/A22/12,2)</f>
        <v>45.37</v>
      </c>
      <c r="L24" s="386"/>
      <c r="M24" s="386"/>
      <c r="N24" s="386"/>
      <c r="O24" s="386"/>
      <c r="P24" s="386"/>
      <c r="Q24" s="386"/>
    </row>
    <row r="25" spans="1:18" s="368" customFormat="1" ht="15.6" x14ac:dyDescent="0.3">
      <c r="A25" s="406"/>
      <c r="B25" s="407"/>
      <c r="C25" s="408"/>
      <c r="D25" s="407"/>
      <c r="E25" s="407"/>
      <c r="F25" s="408"/>
      <c r="G25" s="409"/>
      <c r="H25" s="121"/>
      <c r="L25" s="386"/>
      <c r="M25" s="386"/>
      <c r="N25" s="386"/>
      <c r="O25" s="386"/>
      <c r="P25" s="386"/>
      <c r="Q25" s="386"/>
    </row>
    <row r="26" spans="1:18" s="368" customFormat="1" ht="69" x14ac:dyDescent="0.3">
      <c r="A26" s="391" t="s">
        <v>517</v>
      </c>
      <c r="B26" s="392" t="s">
        <v>361</v>
      </c>
      <c r="C26" s="393" t="s">
        <v>539</v>
      </c>
      <c r="D26" s="394" t="s">
        <v>540</v>
      </c>
      <c r="E26" s="394" t="s">
        <v>541</v>
      </c>
      <c r="F26" s="395" t="s">
        <v>542</v>
      </c>
      <c r="G26" s="396" t="s">
        <v>504</v>
      </c>
      <c r="H26" s="397" t="s">
        <v>310</v>
      </c>
      <c r="L26" s="551" t="s">
        <v>79</v>
      </c>
      <c r="M26" s="398" t="s">
        <v>80</v>
      </c>
      <c r="N26" s="398" t="s">
        <v>81</v>
      </c>
      <c r="O26" s="398" t="s">
        <v>82</v>
      </c>
      <c r="P26" s="398" t="s">
        <v>83</v>
      </c>
      <c r="Q26" s="398" t="s">
        <v>84</v>
      </c>
    </row>
    <row r="27" spans="1:18" s="368" customFormat="1" ht="27.6" x14ac:dyDescent="0.3">
      <c r="A27" s="383" t="s">
        <v>524</v>
      </c>
      <c r="B27" s="399" t="s">
        <v>544</v>
      </c>
      <c r="C27" s="115">
        <v>2</v>
      </c>
      <c r="D27" s="111" t="s">
        <v>569</v>
      </c>
      <c r="E27" s="400" t="s">
        <v>570</v>
      </c>
      <c r="F27" s="113">
        <f>C27*$A$29</f>
        <v>2</v>
      </c>
      <c r="G27" s="422">
        <v>77.72</v>
      </c>
      <c r="H27" s="117">
        <f t="shared" ref="H27:H29" si="4">ROUND(F27*G27,2)</f>
        <v>155.44</v>
      </c>
      <c r="L27" s="550">
        <v>77.72</v>
      </c>
      <c r="M27" s="382">
        <f>ROUND(IF(Dados!$I$61="SIM",L27*Dados!$N$61,L27),2)</f>
        <v>77.72</v>
      </c>
      <c r="N27" s="382">
        <f>ROUND(IF(Dados!$I$62="SIM",M27*Dados!$N$62,M27),2)</f>
        <v>77.72</v>
      </c>
      <c r="O27" s="382">
        <f>ROUND(IF(Dados!$I$63="SIM",N27*Dados!$N$63,N27),2)</f>
        <v>77.72</v>
      </c>
      <c r="P27" s="382">
        <f>ROUND(IF(Dados!$I$64="SIM",O27*Dados!$N$64,O27),2)</f>
        <v>77.72</v>
      </c>
      <c r="Q27" s="382">
        <f>ROUND(IF(Dados!$I$65="SIM",P27*Dados!$N$65,P27),2)</f>
        <v>77.72</v>
      </c>
      <c r="R27" s="3">
        <f>IF(Dados!$D$68="INICIAL",L27,IF(Dados!$D$68="1º IPCA",M27,IF(Dados!$D$68="2º IPCA",N27,IF(Dados!$D$68="3º IPCA",O27,IF(Dados!$D$68="4º IPCA",P27,IF(Dados!$D$68="5º IPCA",Q27,))))))</f>
        <v>77.72</v>
      </c>
    </row>
    <row r="28" spans="1:18" s="368" customFormat="1" ht="27.6" x14ac:dyDescent="0.3">
      <c r="A28" s="383" t="s">
        <v>550</v>
      </c>
      <c r="B28" s="399" t="s">
        <v>547</v>
      </c>
      <c r="C28" s="115">
        <v>3</v>
      </c>
      <c r="D28" s="111" t="s">
        <v>548</v>
      </c>
      <c r="E28" s="400" t="s">
        <v>571</v>
      </c>
      <c r="F28" s="113">
        <f t="shared" ref="F28:F29" si="5">C28*$A$29</f>
        <v>3</v>
      </c>
      <c r="G28" s="422">
        <v>95.82</v>
      </c>
      <c r="H28" s="117">
        <f t="shared" si="4"/>
        <v>287.45999999999998</v>
      </c>
      <c r="L28" s="550">
        <v>95.82</v>
      </c>
      <c r="M28" s="382">
        <f>ROUND(IF(Dados!$I$61="SIM",L28*Dados!$N$61,L28),2)</f>
        <v>95.82</v>
      </c>
      <c r="N28" s="382">
        <f>ROUND(IF(Dados!$I$62="SIM",M28*Dados!$N$62,M28),2)</f>
        <v>95.82</v>
      </c>
      <c r="O28" s="382">
        <f>ROUND(IF(Dados!$I$63="SIM",N28*Dados!$N$63,N28),2)</f>
        <v>95.82</v>
      </c>
      <c r="P28" s="382">
        <f>ROUND(IF(Dados!$I$64="SIM",O28*Dados!$N$64,O28),2)</f>
        <v>95.82</v>
      </c>
      <c r="Q28" s="382">
        <f>ROUND(IF(Dados!$I$65="SIM",P28*Dados!$N$65,P28),2)</f>
        <v>95.82</v>
      </c>
      <c r="R28" s="3">
        <f>IF(Dados!$D$68="INICIAL",L28,IF(Dados!$D$68="1º IPCA",M28,IF(Dados!$D$68="2º IPCA",N28,IF(Dados!$D$68="3º IPCA",O28,IF(Dados!$D$68="4º IPCA",P28,IF(Dados!$D$68="5º IPCA",Q28,))))))</f>
        <v>95.82</v>
      </c>
    </row>
    <row r="29" spans="1:18" s="368" customFormat="1" ht="36.6" x14ac:dyDescent="0.3">
      <c r="A29" s="410">
        <f>Dados!B10</f>
        <v>1</v>
      </c>
      <c r="B29" s="399" t="s">
        <v>551</v>
      </c>
      <c r="C29" s="115">
        <v>1</v>
      </c>
      <c r="D29" s="111" t="s">
        <v>552</v>
      </c>
      <c r="E29" s="399" t="s">
        <v>553</v>
      </c>
      <c r="F29" s="113">
        <f t="shared" si="5"/>
        <v>1</v>
      </c>
      <c r="G29" s="422">
        <v>50.53</v>
      </c>
      <c r="H29" s="117">
        <f t="shared" si="4"/>
        <v>50.53</v>
      </c>
      <c r="L29" s="550">
        <v>50.53</v>
      </c>
      <c r="M29" s="382">
        <f>ROUND(IF(Dados!$I$61="SIM",L29*Dados!$N$61,L29),2)</f>
        <v>50.53</v>
      </c>
      <c r="N29" s="382">
        <f>ROUND(IF(Dados!$I$62="SIM",M29*Dados!$N$62,M29),2)</f>
        <v>50.53</v>
      </c>
      <c r="O29" s="382">
        <f>ROUND(IF(Dados!$I$63="SIM",N29*Dados!$N$63,N29),2)</f>
        <v>50.53</v>
      </c>
      <c r="P29" s="382">
        <f>ROUND(IF(Dados!$I$64="SIM",O29*Dados!$N$64,O29),2)</f>
        <v>50.53</v>
      </c>
      <c r="Q29" s="382">
        <f>ROUND(IF(Dados!$I$65="SIM",P29*Dados!$N$65,P29),2)</f>
        <v>50.53</v>
      </c>
      <c r="R29" s="3">
        <f>IF(Dados!$D$68="INICIAL",L29,IF(Dados!$D$68="1º IPCA",M29,IF(Dados!$D$68="2º IPCA",N29,IF(Dados!$D$68="3º IPCA",O29,IF(Dados!$D$68="4º IPCA",P29,IF(Dados!$D$68="5º IPCA",Q29,))))))</f>
        <v>50.53</v>
      </c>
    </row>
    <row r="30" spans="1:18" s="368" customFormat="1" ht="36" customHeight="1" thickBot="1" x14ac:dyDescent="0.35">
      <c r="A30" s="1171" t="s">
        <v>556</v>
      </c>
      <c r="B30" s="1172"/>
      <c r="C30" s="1172"/>
      <c r="D30" s="1172"/>
      <c r="E30" s="1172"/>
      <c r="F30" s="1172"/>
      <c r="G30" s="1173"/>
      <c r="H30" s="122">
        <f>SUM(H27:H29)</f>
        <v>493.42999999999995</v>
      </c>
      <c r="L30" s="386"/>
      <c r="M30" s="386"/>
      <c r="N30" s="386"/>
      <c r="O30" s="386"/>
      <c r="P30" s="386"/>
      <c r="Q30" s="386"/>
    </row>
    <row r="31" spans="1:18" s="368" customFormat="1" ht="16.2" thickBot="1" x14ac:dyDescent="0.35">
      <c r="A31" s="1146" t="s">
        <v>572</v>
      </c>
      <c r="B31" s="1147"/>
      <c r="C31" s="1147"/>
      <c r="D31" s="1147"/>
      <c r="E31" s="1147"/>
      <c r="F31" s="1147"/>
      <c r="G31" s="405"/>
      <c r="H31" s="125">
        <f>ROUND(H30/A29/12,2)</f>
        <v>41.12</v>
      </c>
      <c r="L31" s="386"/>
      <c r="M31" s="386"/>
      <c r="N31" s="386"/>
      <c r="O31" s="386"/>
      <c r="P31" s="386"/>
      <c r="Q31" s="386"/>
    </row>
    <row r="32" spans="1:18" s="368" customFormat="1" ht="15.6" x14ac:dyDescent="0.3">
      <c r="A32" s="411"/>
      <c r="B32" s="412"/>
      <c r="C32" s="413"/>
      <c r="D32" s="412"/>
      <c r="E32" s="412"/>
      <c r="F32" s="413"/>
      <c r="G32" s="414"/>
      <c r="H32" s="123"/>
      <c r="L32" s="386"/>
      <c r="M32" s="386"/>
      <c r="N32" s="386"/>
      <c r="O32" s="386"/>
      <c r="P32" s="386"/>
      <c r="Q32" s="386"/>
    </row>
    <row r="33" spans="1:18" s="368" customFormat="1" ht="69" x14ac:dyDescent="0.3">
      <c r="A33" s="391" t="s">
        <v>517</v>
      </c>
      <c r="B33" s="392" t="s">
        <v>361</v>
      </c>
      <c r="C33" s="393" t="s">
        <v>539</v>
      </c>
      <c r="D33" s="394" t="s">
        <v>540</v>
      </c>
      <c r="E33" s="394" t="s">
        <v>541</v>
      </c>
      <c r="F33" s="395" t="s">
        <v>542</v>
      </c>
      <c r="G33" s="396" t="s">
        <v>504</v>
      </c>
      <c r="H33" s="397" t="s">
        <v>310</v>
      </c>
      <c r="L33" s="551" t="s">
        <v>79</v>
      </c>
      <c r="M33" s="398" t="s">
        <v>80</v>
      </c>
      <c r="N33" s="398" t="s">
        <v>81</v>
      </c>
      <c r="O33" s="398" t="s">
        <v>82</v>
      </c>
      <c r="P33" s="398" t="s">
        <v>83</v>
      </c>
      <c r="Q33" s="398" t="s">
        <v>84</v>
      </c>
    </row>
    <row r="34" spans="1:18" s="368" customFormat="1" ht="55.2" x14ac:dyDescent="0.3">
      <c r="A34" s="383" t="s">
        <v>573</v>
      </c>
      <c r="B34" s="415" t="s">
        <v>562</v>
      </c>
      <c r="C34" s="416">
        <v>1</v>
      </c>
      <c r="D34" s="415" t="s">
        <v>574</v>
      </c>
      <c r="E34" s="415" t="s">
        <v>575</v>
      </c>
      <c r="F34" s="113">
        <f>C34*$A$35</f>
        <v>1</v>
      </c>
      <c r="G34" s="425">
        <v>16.28</v>
      </c>
      <c r="H34" s="117">
        <f t="shared" ref="H34:H35" si="6">ROUND(F34*G34,2)</f>
        <v>16.28</v>
      </c>
      <c r="L34" s="550">
        <v>16.28</v>
      </c>
      <c r="M34" s="382">
        <f>ROUND(IF(Dados!$I$61="SIM",L34*Dados!$N$61,L34),2)</f>
        <v>16.28</v>
      </c>
      <c r="N34" s="382">
        <f>ROUND(IF(Dados!$I$62="SIM",M34*Dados!$N$62,M34),2)</f>
        <v>16.28</v>
      </c>
      <c r="O34" s="382">
        <f>ROUND(IF(Dados!$I$63="SIM",N34*Dados!$N$63,N34),2)</f>
        <v>16.28</v>
      </c>
      <c r="P34" s="382">
        <f>ROUND(IF(Dados!$I$64="SIM",O34*Dados!$N$64,O34),2)</f>
        <v>16.28</v>
      </c>
      <c r="Q34" s="382">
        <f>ROUND(IF(Dados!$I$65="SIM",P34*Dados!$N$65,P34),2)</f>
        <v>16.28</v>
      </c>
      <c r="R34" s="3">
        <f>IF(Dados!$D$68="INICIAL",L34,IF(Dados!$D$68="1º IPCA",M34,IF(Dados!$D$68="2º IPCA",N34,IF(Dados!$D$68="3º IPCA",O34,IF(Dados!$D$68="4º IPCA",P34,IF(Dados!$D$68="5º IPCA",Q34,))))))</f>
        <v>16.28</v>
      </c>
    </row>
    <row r="35" spans="1:18" s="368" customFormat="1" ht="36.6" x14ac:dyDescent="0.3">
      <c r="A35" s="410">
        <f>Dados!B10</f>
        <v>1</v>
      </c>
      <c r="B35" s="415" t="s">
        <v>554</v>
      </c>
      <c r="C35" s="416">
        <v>1</v>
      </c>
      <c r="D35" s="415" t="s">
        <v>555</v>
      </c>
      <c r="E35" s="415" t="s">
        <v>553</v>
      </c>
      <c r="F35" s="113">
        <f>C35*$A$35</f>
        <v>1</v>
      </c>
      <c r="G35" s="425">
        <v>50.85</v>
      </c>
      <c r="H35" s="117">
        <f t="shared" si="6"/>
        <v>50.85</v>
      </c>
      <c r="J35" s="417"/>
      <c r="L35" s="550">
        <v>50.85</v>
      </c>
      <c r="M35" s="382">
        <f>ROUND(IF(Dados!$I$61="SIM",L35*Dados!$N$61,L35),2)</f>
        <v>50.85</v>
      </c>
      <c r="N35" s="382">
        <f>ROUND(IF(Dados!$I$62="SIM",M35*Dados!$N$62,M35),2)</f>
        <v>50.85</v>
      </c>
      <c r="O35" s="382">
        <f>ROUND(IF(Dados!$I$63="SIM",N35*Dados!$N$63,N35),2)</f>
        <v>50.85</v>
      </c>
      <c r="P35" s="382">
        <f>ROUND(IF(Dados!$I$64="SIM",O35*Dados!$N$64,O35),2)</f>
        <v>50.85</v>
      </c>
      <c r="Q35" s="382">
        <f>ROUND(IF(Dados!$I$65="SIM",P35*Dados!$N$65,P35),2)</f>
        <v>50.85</v>
      </c>
      <c r="R35" s="3">
        <f>IF(Dados!$D$68="INICIAL",L35,IF(Dados!$D$68="1º IPCA",M35,IF(Dados!$D$68="2º IPCA",N35,IF(Dados!$D$68="3º IPCA",O35,IF(Dados!$D$68="4º IPCA",P35,IF(Dados!$D$68="5º IPCA",Q35,))))))</f>
        <v>50.85</v>
      </c>
    </row>
    <row r="36" spans="1:18" s="368" customFormat="1" ht="15.6" x14ac:dyDescent="0.3">
      <c r="A36" s="1174" t="s">
        <v>556</v>
      </c>
      <c r="B36" s="1175"/>
      <c r="C36" s="1175"/>
      <c r="D36" s="1175"/>
      <c r="E36" s="1175"/>
      <c r="F36" s="1175"/>
      <c r="G36" s="1175"/>
      <c r="H36" s="124">
        <f>SUM(H34:H35)</f>
        <v>67.13</v>
      </c>
      <c r="J36" s="417"/>
      <c r="L36" s="386"/>
      <c r="M36" s="386"/>
      <c r="N36" s="386"/>
      <c r="O36" s="386"/>
      <c r="P36" s="386"/>
      <c r="Q36" s="386"/>
    </row>
    <row r="37" spans="1:18" s="368" customFormat="1" ht="16.2" thickBot="1" x14ac:dyDescent="0.35">
      <c r="A37" s="1176" t="s">
        <v>576</v>
      </c>
      <c r="B37" s="1177"/>
      <c r="C37" s="1177"/>
      <c r="D37" s="1177"/>
      <c r="E37" s="1177"/>
      <c r="F37" s="1177"/>
      <c r="G37" s="1177"/>
      <c r="H37" s="125">
        <f>ROUND(H36/A35/12,2)</f>
        <v>5.59</v>
      </c>
      <c r="J37" s="417"/>
      <c r="L37" s="386"/>
      <c r="M37" s="386"/>
      <c r="N37" s="386"/>
      <c r="O37" s="386"/>
      <c r="P37" s="386"/>
      <c r="Q37" s="386"/>
    </row>
    <row r="38" spans="1:18" s="368" customFormat="1" ht="15.6" x14ac:dyDescent="0.3">
      <c r="A38" s="1178"/>
      <c r="B38" s="1179"/>
      <c r="C38" s="1179"/>
      <c r="D38" s="1179"/>
      <c r="E38" s="1179"/>
      <c r="F38" s="1179"/>
      <c r="G38" s="1179"/>
      <c r="H38" s="1180"/>
      <c r="J38" s="417"/>
      <c r="L38" s="386"/>
      <c r="M38" s="386"/>
      <c r="N38" s="386"/>
      <c r="O38" s="386"/>
      <c r="P38" s="386"/>
      <c r="Q38" s="386"/>
    </row>
    <row r="39" spans="1:18" ht="69" x14ac:dyDescent="0.3">
      <c r="A39" s="391" t="s">
        <v>517</v>
      </c>
      <c r="B39" s="392" t="s">
        <v>361</v>
      </c>
      <c r="C39" s="393" t="s">
        <v>539</v>
      </c>
      <c r="D39" s="394" t="s">
        <v>540</v>
      </c>
      <c r="E39" s="394" t="s">
        <v>541</v>
      </c>
      <c r="F39" s="395" t="s">
        <v>542</v>
      </c>
      <c r="G39" s="396" t="s">
        <v>504</v>
      </c>
      <c r="H39" s="397" t="s">
        <v>310</v>
      </c>
      <c r="L39" s="551" t="s">
        <v>79</v>
      </c>
      <c r="M39" s="398" t="s">
        <v>80</v>
      </c>
      <c r="N39" s="398" t="s">
        <v>81</v>
      </c>
      <c r="O39" s="398" t="s">
        <v>82</v>
      </c>
      <c r="P39" s="398" t="s">
        <v>83</v>
      </c>
      <c r="Q39" s="398" t="s">
        <v>84</v>
      </c>
    </row>
    <row r="40" spans="1:18" ht="27.6" x14ac:dyDescent="0.3">
      <c r="A40" s="383" t="s">
        <v>63</v>
      </c>
      <c r="B40" s="399" t="s">
        <v>544</v>
      </c>
      <c r="C40" s="115">
        <v>2</v>
      </c>
      <c r="D40" s="111" t="s">
        <v>577</v>
      </c>
      <c r="E40" s="400" t="s">
        <v>553</v>
      </c>
      <c r="F40" s="113">
        <f>C40*$A$42</f>
        <v>4</v>
      </c>
      <c r="G40" s="422">
        <v>78.5</v>
      </c>
      <c r="H40" s="117">
        <f t="shared" ref="H40:H42" si="7">ROUND(F40*G40,2)</f>
        <v>314</v>
      </c>
      <c r="L40" s="550">
        <v>78.5</v>
      </c>
      <c r="M40" s="382">
        <f>ROUND(IF(Dados!$I$61="SIM",L40*Dados!$N$61,L40),2)</f>
        <v>78.5</v>
      </c>
      <c r="N40" s="382">
        <f>ROUND(IF(Dados!$I$62="SIM",M40*Dados!$N$62,M40),2)</f>
        <v>78.5</v>
      </c>
      <c r="O40" s="382">
        <f>ROUND(IF(Dados!$I$63="SIM",N40*Dados!$N$63,N40),2)</f>
        <v>78.5</v>
      </c>
      <c r="P40" s="382">
        <f>ROUND(IF(Dados!$I$64="SIM",O40*Dados!$N$64,O40),2)</f>
        <v>78.5</v>
      </c>
      <c r="Q40" s="382">
        <f>ROUND(IF(Dados!$I$65="SIM",P40*Dados!$N$65,P40),2)</f>
        <v>78.5</v>
      </c>
      <c r="R40" s="3">
        <f>IF(Dados!$D$68="INICIAL",L40,IF(Dados!$D$68="1º IPCA",M40,IF(Dados!$D$68="2º IPCA",N40,IF(Dados!$D$68="3º IPCA",O40,IF(Dados!$D$68="4º IPCA",P40,IF(Dados!$D$68="5º IPCA",Q40,))))))</f>
        <v>78.5</v>
      </c>
    </row>
    <row r="41" spans="1:18" ht="27.6" x14ac:dyDescent="0.3">
      <c r="A41" s="383" t="s">
        <v>550</v>
      </c>
      <c r="B41" s="399" t="s">
        <v>547</v>
      </c>
      <c r="C41" s="115">
        <v>3</v>
      </c>
      <c r="D41" s="111" t="s">
        <v>548</v>
      </c>
      <c r="E41" s="400" t="s">
        <v>571</v>
      </c>
      <c r="F41" s="113">
        <f t="shared" ref="F41:F42" si="8">C41*$A$42</f>
        <v>6</v>
      </c>
      <c r="G41" s="422">
        <v>95.82</v>
      </c>
      <c r="H41" s="117">
        <f t="shared" si="7"/>
        <v>574.91999999999996</v>
      </c>
      <c r="L41" s="550">
        <v>95.82</v>
      </c>
      <c r="M41" s="382">
        <f>ROUND(IF(Dados!$I$61="SIM",L41*Dados!$N$61,L41),2)</f>
        <v>95.82</v>
      </c>
      <c r="N41" s="382">
        <f>ROUND(IF(Dados!$I$62="SIM",M41*Dados!$N$62,M41),2)</f>
        <v>95.82</v>
      </c>
      <c r="O41" s="382">
        <f>ROUND(IF(Dados!$I$63="SIM",N41*Dados!$N$63,N41),2)</f>
        <v>95.82</v>
      </c>
      <c r="P41" s="382">
        <f>ROUND(IF(Dados!$I$64="SIM",O41*Dados!$N$64,O41),2)</f>
        <v>95.82</v>
      </c>
      <c r="Q41" s="382">
        <f>ROUND(IF(Dados!$I$65="SIM",P41*Dados!$N$65,P41),2)</f>
        <v>95.82</v>
      </c>
      <c r="R41" s="3">
        <f>IF(Dados!$D$68="INICIAL",L41,IF(Dados!$D$68="1º IPCA",M41,IF(Dados!$D$68="2º IPCA",N41,IF(Dados!$D$68="3º IPCA",O41,IF(Dados!$D$68="4º IPCA",P41,IF(Dados!$D$68="5º IPCA",Q41,))))))</f>
        <v>95.82</v>
      </c>
    </row>
    <row r="42" spans="1:18" ht="36.6" x14ac:dyDescent="0.3">
      <c r="A42" s="410">
        <f>Dados!B11</f>
        <v>2</v>
      </c>
      <c r="B42" s="399" t="s">
        <v>551</v>
      </c>
      <c r="C42" s="115">
        <v>1</v>
      </c>
      <c r="D42" s="111" t="s">
        <v>578</v>
      </c>
      <c r="E42" s="399" t="s">
        <v>553</v>
      </c>
      <c r="F42" s="113">
        <f t="shared" si="8"/>
        <v>2</v>
      </c>
      <c r="G42" s="422">
        <v>55.94</v>
      </c>
      <c r="H42" s="117">
        <f t="shared" si="7"/>
        <v>111.88</v>
      </c>
      <c r="L42" s="550">
        <v>55.94</v>
      </c>
      <c r="M42" s="382">
        <f>ROUND(IF(Dados!$I$61="SIM",L42*Dados!$N$61,L42),2)</f>
        <v>55.94</v>
      </c>
      <c r="N42" s="382">
        <f>ROUND(IF(Dados!$I$62="SIM",M42*Dados!$N$62,M42),2)</f>
        <v>55.94</v>
      </c>
      <c r="O42" s="382">
        <f>ROUND(IF(Dados!$I$63="SIM",N42*Dados!$N$63,N42),2)</f>
        <v>55.94</v>
      </c>
      <c r="P42" s="382">
        <f>ROUND(IF(Dados!$I$64="SIM",O42*Dados!$N$64,O42),2)</f>
        <v>55.94</v>
      </c>
      <c r="Q42" s="382">
        <f>ROUND(IF(Dados!$I$65="SIM",P42*Dados!$N$65,P42),2)</f>
        <v>55.94</v>
      </c>
      <c r="R42" s="3">
        <f>IF(Dados!$D$68="INICIAL",L42,IF(Dados!$D$68="1º IPCA",M42,IF(Dados!$D$68="2º IPCA",N42,IF(Dados!$D$68="3º IPCA",O42,IF(Dados!$D$68="4º IPCA",P42,IF(Dados!$D$68="5º IPCA",Q42,))))))</f>
        <v>55.94</v>
      </c>
    </row>
    <row r="43" spans="1:18" x14ac:dyDescent="0.3">
      <c r="A43" s="1181" t="s">
        <v>556</v>
      </c>
      <c r="B43" s="1182"/>
      <c r="C43" s="1182"/>
      <c r="D43" s="1182"/>
      <c r="E43" s="1182"/>
      <c r="F43" s="1182"/>
      <c r="G43" s="1182"/>
      <c r="H43" s="418">
        <f>SUM(H40:H42)</f>
        <v>1000.8</v>
      </c>
      <c r="P43" s="386"/>
      <c r="Q43" s="386"/>
      <c r="R43" s="368"/>
    </row>
    <row r="44" spans="1:18" ht="16.2" thickBot="1" x14ac:dyDescent="0.35">
      <c r="A44" s="1165" t="s">
        <v>579</v>
      </c>
      <c r="B44" s="1166"/>
      <c r="C44" s="1166"/>
      <c r="D44" s="1166"/>
      <c r="E44" s="1166"/>
      <c r="F44" s="1166"/>
      <c r="G44" s="387"/>
      <c r="H44" s="125">
        <f>ROUND(H43/A42/12,2)</f>
        <v>41.7</v>
      </c>
    </row>
  </sheetData>
  <sheetProtection algorithmName="SHA-512" hashValue="rguQghmUblQonDUwVVTeaZSRmespZQmFFYW0dIjgCTc8W5RfeyhYnRnFkcSjujsNX9NBfsfId3ZFhkHsipRpuw==" saltValue="fo1DkFcKhYDrT4CVf1RHtw==" spinCount="100000" sheet="1" objects="1" scenarios="1"/>
  <mergeCells count="23">
    <mergeCell ref="A44:F44"/>
    <mergeCell ref="A30:G30"/>
    <mergeCell ref="A31:F31"/>
    <mergeCell ref="A36:G36"/>
    <mergeCell ref="A37:G37"/>
    <mergeCell ref="A38:H38"/>
    <mergeCell ref="A43:G43"/>
    <mergeCell ref="A24:F24"/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  <mergeCell ref="A9:A10"/>
    <mergeCell ref="A13:G13"/>
    <mergeCell ref="A14:F14"/>
    <mergeCell ref="A17:A20"/>
    <mergeCell ref="A23:G2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F31"/>
  <sheetViews>
    <sheetView showGridLines="0" view="pageBreakPreview" zoomScale="90" zoomScaleNormal="100" zoomScaleSheetLayoutView="90" workbookViewId="0">
      <selection activeCell="A26" sqref="A26:F26"/>
    </sheetView>
  </sheetViews>
  <sheetFormatPr defaultColWidth="11.44140625" defaultRowHeight="14.4" x14ac:dyDescent="0.3"/>
  <cols>
    <col min="1" max="1" width="11.44140625" style="593"/>
    <col min="3" max="3" width="18.5546875" style="460" customWidth="1"/>
    <col min="4" max="4" width="31.88671875" customWidth="1"/>
    <col min="5" max="5" width="16.33203125" customWidth="1"/>
    <col min="6" max="6" width="17.5546875" style="588" bestFit="1" customWidth="1"/>
    <col min="259" max="259" width="18.5546875" customWidth="1"/>
    <col min="260" max="260" width="31.88671875" customWidth="1"/>
    <col min="261" max="261" width="16.33203125" customWidth="1"/>
    <col min="262" max="262" width="33.44140625" customWidth="1"/>
    <col min="515" max="515" width="18.5546875" customWidth="1"/>
    <col min="516" max="516" width="31.88671875" customWidth="1"/>
    <col min="517" max="517" width="16.33203125" customWidth="1"/>
    <col min="518" max="518" width="33.44140625" customWidth="1"/>
    <col min="771" max="771" width="18.5546875" customWidth="1"/>
    <col min="772" max="772" width="31.88671875" customWidth="1"/>
    <col min="773" max="773" width="16.33203125" customWidth="1"/>
    <col min="774" max="774" width="33.44140625" customWidth="1"/>
    <col min="1027" max="1027" width="18.5546875" customWidth="1"/>
    <col min="1028" max="1028" width="31.88671875" customWidth="1"/>
    <col min="1029" max="1029" width="16.33203125" customWidth="1"/>
    <col min="1030" max="1030" width="33.44140625" customWidth="1"/>
    <col min="1283" max="1283" width="18.5546875" customWidth="1"/>
    <col min="1284" max="1284" width="31.88671875" customWidth="1"/>
    <col min="1285" max="1285" width="16.33203125" customWidth="1"/>
    <col min="1286" max="1286" width="33.44140625" customWidth="1"/>
    <col min="1539" max="1539" width="18.5546875" customWidth="1"/>
    <col min="1540" max="1540" width="31.88671875" customWidth="1"/>
    <col min="1541" max="1541" width="16.33203125" customWidth="1"/>
    <col min="1542" max="1542" width="33.44140625" customWidth="1"/>
    <col min="1795" max="1795" width="18.5546875" customWidth="1"/>
    <col min="1796" max="1796" width="31.88671875" customWidth="1"/>
    <col min="1797" max="1797" width="16.33203125" customWidth="1"/>
    <col min="1798" max="1798" width="33.44140625" customWidth="1"/>
    <col min="2051" max="2051" width="18.5546875" customWidth="1"/>
    <col min="2052" max="2052" width="31.88671875" customWidth="1"/>
    <col min="2053" max="2053" width="16.33203125" customWidth="1"/>
    <col min="2054" max="2054" width="33.44140625" customWidth="1"/>
    <col min="2307" max="2307" width="18.5546875" customWidth="1"/>
    <col min="2308" max="2308" width="31.88671875" customWidth="1"/>
    <col min="2309" max="2309" width="16.33203125" customWidth="1"/>
    <col min="2310" max="2310" width="33.44140625" customWidth="1"/>
    <col min="2563" max="2563" width="18.5546875" customWidth="1"/>
    <col min="2564" max="2564" width="31.88671875" customWidth="1"/>
    <col min="2565" max="2565" width="16.33203125" customWidth="1"/>
    <col min="2566" max="2566" width="33.44140625" customWidth="1"/>
    <col min="2819" max="2819" width="18.5546875" customWidth="1"/>
    <col min="2820" max="2820" width="31.88671875" customWidth="1"/>
    <col min="2821" max="2821" width="16.33203125" customWidth="1"/>
    <col min="2822" max="2822" width="33.44140625" customWidth="1"/>
    <col min="3075" max="3075" width="18.5546875" customWidth="1"/>
    <col min="3076" max="3076" width="31.88671875" customWidth="1"/>
    <col min="3077" max="3077" width="16.33203125" customWidth="1"/>
    <col min="3078" max="3078" width="33.44140625" customWidth="1"/>
    <col min="3331" max="3331" width="18.5546875" customWidth="1"/>
    <col min="3332" max="3332" width="31.88671875" customWidth="1"/>
    <col min="3333" max="3333" width="16.33203125" customWidth="1"/>
    <col min="3334" max="3334" width="33.44140625" customWidth="1"/>
    <col min="3587" max="3587" width="18.5546875" customWidth="1"/>
    <col min="3588" max="3588" width="31.88671875" customWidth="1"/>
    <col min="3589" max="3589" width="16.33203125" customWidth="1"/>
    <col min="3590" max="3590" width="33.44140625" customWidth="1"/>
    <col min="3843" max="3843" width="18.5546875" customWidth="1"/>
    <col min="3844" max="3844" width="31.88671875" customWidth="1"/>
    <col min="3845" max="3845" width="16.33203125" customWidth="1"/>
    <col min="3846" max="3846" width="33.44140625" customWidth="1"/>
    <col min="4099" max="4099" width="18.5546875" customWidth="1"/>
    <col min="4100" max="4100" width="31.88671875" customWidth="1"/>
    <col min="4101" max="4101" width="16.33203125" customWidth="1"/>
    <col min="4102" max="4102" width="33.44140625" customWidth="1"/>
    <col min="4355" max="4355" width="18.5546875" customWidth="1"/>
    <col min="4356" max="4356" width="31.88671875" customWidth="1"/>
    <col min="4357" max="4357" width="16.33203125" customWidth="1"/>
    <col min="4358" max="4358" width="33.44140625" customWidth="1"/>
    <col min="4611" max="4611" width="18.5546875" customWidth="1"/>
    <col min="4612" max="4612" width="31.88671875" customWidth="1"/>
    <col min="4613" max="4613" width="16.33203125" customWidth="1"/>
    <col min="4614" max="4614" width="33.44140625" customWidth="1"/>
    <col min="4867" max="4867" width="18.5546875" customWidth="1"/>
    <col min="4868" max="4868" width="31.88671875" customWidth="1"/>
    <col min="4869" max="4869" width="16.33203125" customWidth="1"/>
    <col min="4870" max="4870" width="33.44140625" customWidth="1"/>
    <col min="5123" max="5123" width="18.5546875" customWidth="1"/>
    <col min="5124" max="5124" width="31.88671875" customWidth="1"/>
    <col min="5125" max="5125" width="16.33203125" customWidth="1"/>
    <col min="5126" max="5126" width="33.44140625" customWidth="1"/>
    <col min="5379" max="5379" width="18.5546875" customWidth="1"/>
    <col min="5380" max="5380" width="31.88671875" customWidth="1"/>
    <col min="5381" max="5381" width="16.33203125" customWidth="1"/>
    <col min="5382" max="5382" width="33.44140625" customWidth="1"/>
    <col min="5635" max="5635" width="18.5546875" customWidth="1"/>
    <col min="5636" max="5636" width="31.88671875" customWidth="1"/>
    <col min="5637" max="5637" width="16.33203125" customWidth="1"/>
    <col min="5638" max="5638" width="33.44140625" customWidth="1"/>
    <col min="5891" max="5891" width="18.5546875" customWidth="1"/>
    <col min="5892" max="5892" width="31.88671875" customWidth="1"/>
    <col min="5893" max="5893" width="16.33203125" customWidth="1"/>
    <col min="5894" max="5894" width="33.44140625" customWidth="1"/>
    <col min="6147" max="6147" width="18.5546875" customWidth="1"/>
    <col min="6148" max="6148" width="31.88671875" customWidth="1"/>
    <col min="6149" max="6149" width="16.33203125" customWidth="1"/>
    <col min="6150" max="6150" width="33.44140625" customWidth="1"/>
    <col min="6403" max="6403" width="18.5546875" customWidth="1"/>
    <col min="6404" max="6404" width="31.88671875" customWidth="1"/>
    <col min="6405" max="6405" width="16.33203125" customWidth="1"/>
    <col min="6406" max="6406" width="33.44140625" customWidth="1"/>
    <col min="6659" max="6659" width="18.5546875" customWidth="1"/>
    <col min="6660" max="6660" width="31.88671875" customWidth="1"/>
    <col min="6661" max="6661" width="16.33203125" customWidth="1"/>
    <col min="6662" max="6662" width="33.44140625" customWidth="1"/>
    <col min="6915" max="6915" width="18.5546875" customWidth="1"/>
    <col min="6916" max="6916" width="31.88671875" customWidth="1"/>
    <col min="6917" max="6917" width="16.33203125" customWidth="1"/>
    <col min="6918" max="6918" width="33.44140625" customWidth="1"/>
    <col min="7171" max="7171" width="18.5546875" customWidth="1"/>
    <col min="7172" max="7172" width="31.88671875" customWidth="1"/>
    <col min="7173" max="7173" width="16.33203125" customWidth="1"/>
    <col min="7174" max="7174" width="33.44140625" customWidth="1"/>
    <col min="7427" max="7427" width="18.5546875" customWidth="1"/>
    <col min="7428" max="7428" width="31.88671875" customWidth="1"/>
    <col min="7429" max="7429" width="16.33203125" customWidth="1"/>
    <col min="7430" max="7430" width="33.44140625" customWidth="1"/>
    <col min="7683" max="7683" width="18.5546875" customWidth="1"/>
    <col min="7684" max="7684" width="31.88671875" customWidth="1"/>
    <col min="7685" max="7685" width="16.33203125" customWidth="1"/>
    <col min="7686" max="7686" width="33.44140625" customWidth="1"/>
    <col min="7939" max="7939" width="18.5546875" customWidth="1"/>
    <col min="7940" max="7940" width="31.88671875" customWidth="1"/>
    <col min="7941" max="7941" width="16.33203125" customWidth="1"/>
    <col min="7942" max="7942" width="33.44140625" customWidth="1"/>
    <col min="8195" max="8195" width="18.5546875" customWidth="1"/>
    <col min="8196" max="8196" width="31.88671875" customWidth="1"/>
    <col min="8197" max="8197" width="16.33203125" customWidth="1"/>
    <col min="8198" max="8198" width="33.44140625" customWidth="1"/>
    <col min="8451" max="8451" width="18.5546875" customWidth="1"/>
    <col min="8452" max="8452" width="31.88671875" customWidth="1"/>
    <col min="8453" max="8453" width="16.33203125" customWidth="1"/>
    <col min="8454" max="8454" width="33.44140625" customWidth="1"/>
    <col min="8707" max="8707" width="18.5546875" customWidth="1"/>
    <col min="8708" max="8708" width="31.88671875" customWidth="1"/>
    <col min="8709" max="8709" width="16.33203125" customWidth="1"/>
    <col min="8710" max="8710" width="33.44140625" customWidth="1"/>
    <col min="8963" max="8963" width="18.5546875" customWidth="1"/>
    <col min="8964" max="8964" width="31.88671875" customWidth="1"/>
    <col min="8965" max="8965" width="16.33203125" customWidth="1"/>
    <col min="8966" max="8966" width="33.44140625" customWidth="1"/>
    <col min="9219" max="9219" width="18.5546875" customWidth="1"/>
    <col min="9220" max="9220" width="31.88671875" customWidth="1"/>
    <col min="9221" max="9221" width="16.33203125" customWidth="1"/>
    <col min="9222" max="9222" width="33.44140625" customWidth="1"/>
    <col min="9475" max="9475" width="18.5546875" customWidth="1"/>
    <col min="9476" max="9476" width="31.88671875" customWidth="1"/>
    <col min="9477" max="9477" width="16.33203125" customWidth="1"/>
    <col min="9478" max="9478" width="33.44140625" customWidth="1"/>
    <col min="9731" max="9731" width="18.5546875" customWidth="1"/>
    <col min="9732" max="9732" width="31.88671875" customWidth="1"/>
    <col min="9733" max="9733" width="16.33203125" customWidth="1"/>
    <col min="9734" max="9734" width="33.44140625" customWidth="1"/>
    <col min="9987" max="9987" width="18.5546875" customWidth="1"/>
    <col min="9988" max="9988" width="31.88671875" customWidth="1"/>
    <col min="9989" max="9989" width="16.33203125" customWidth="1"/>
    <col min="9990" max="9990" width="33.44140625" customWidth="1"/>
    <col min="10243" max="10243" width="18.5546875" customWidth="1"/>
    <col min="10244" max="10244" width="31.88671875" customWidth="1"/>
    <col min="10245" max="10245" width="16.33203125" customWidth="1"/>
    <col min="10246" max="10246" width="33.44140625" customWidth="1"/>
    <col min="10499" max="10499" width="18.5546875" customWidth="1"/>
    <col min="10500" max="10500" width="31.88671875" customWidth="1"/>
    <col min="10501" max="10501" width="16.33203125" customWidth="1"/>
    <col min="10502" max="10502" width="33.44140625" customWidth="1"/>
    <col min="10755" max="10755" width="18.5546875" customWidth="1"/>
    <col min="10756" max="10756" width="31.88671875" customWidth="1"/>
    <col min="10757" max="10757" width="16.33203125" customWidth="1"/>
    <col min="10758" max="10758" width="33.44140625" customWidth="1"/>
    <col min="11011" max="11011" width="18.5546875" customWidth="1"/>
    <col min="11012" max="11012" width="31.88671875" customWidth="1"/>
    <col min="11013" max="11013" width="16.33203125" customWidth="1"/>
    <col min="11014" max="11014" width="33.44140625" customWidth="1"/>
    <col min="11267" max="11267" width="18.5546875" customWidth="1"/>
    <col min="11268" max="11268" width="31.88671875" customWidth="1"/>
    <col min="11269" max="11269" width="16.33203125" customWidth="1"/>
    <col min="11270" max="11270" width="33.44140625" customWidth="1"/>
    <col min="11523" max="11523" width="18.5546875" customWidth="1"/>
    <col min="11524" max="11524" width="31.88671875" customWidth="1"/>
    <col min="11525" max="11525" width="16.33203125" customWidth="1"/>
    <col min="11526" max="11526" width="33.44140625" customWidth="1"/>
    <col min="11779" max="11779" width="18.5546875" customWidth="1"/>
    <col min="11780" max="11780" width="31.88671875" customWidth="1"/>
    <col min="11781" max="11781" width="16.33203125" customWidth="1"/>
    <col min="11782" max="11782" width="33.44140625" customWidth="1"/>
    <col min="12035" max="12035" width="18.5546875" customWidth="1"/>
    <col min="12036" max="12036" width="31.88671875" customWidth="1"/>
    <col min="12037" max="12037" width="16.33203125" customWidth="1"/>
    <col min="12038" max="12038" width="33.44140625" customWidth="1"/>
    <col min="12291" max="12291" width="18.5546875" customWidth="1"/>
    <col min="12292" max="12292" width="31.88671875" customWidth="1"/>
    <col min="12293" max="12293" width="16.33203125" customWidth="1"/>
    <col min="12294" max="12294" width="33.44140625" customWidth="1"/>
    <col min="12547" max="12547" width="18.5546875" customWidth="1"/>
    <col min="12548" max="12548" width="31.88671875" customWidth="1"/>
    <col min="12549" max="12549" width="16.33203125" customWidth="1"/>
    <col min="12550" max="12550" width="33.44140625" customWidth="1"/>
    <col min="12803" max="12803" width="18.5546875" customWidth="1"/>
    <col min="12804" max="12804" width="31.88671875" customWidth="1"/>
    <col min="12805" max="12805" width="16.33203125" customWidth="1"/>
    <col min="12806" max="12806" width="33.44140625" customWidth="1"/>
    <col min="13059" max="13059" width="18.5546875" customWidth="1"/>
    <col min="13060" max="13060" width="31.88671875" customWidth="1"/>
    <col min="13061" max="13061" width="16.33203125" customWidth="1"/>
    <col min="13062" max="13062" width="33.44140625" customWidth="1"/>
    <col min="13315" max="13315" width="18.5546875" customWidth="1"/>
    <col min="13316" max="13316" width="31.88671875" customWidth="1"/>
    <col min="13317" max="13317" width="16.33203125" customWidth="1"/>
    <col min="13318" max="13318" width="33.44140625" customWidth="1"/>
    <col min="13571" max="13571" width="18.5546875" customWidth="1"/>
    <col min="13572" max="13572" width="31.88671875" customWidth="1"/>
    <col min="13573" max="13573" width="16.33203125" customWidth="1"/>
    <col min="13574" max="13574" width="33.44140625" customWidth="1"/>
    <col min="13827" max="13827" width="18.5546875" customWidth="1"/>
    <col min="13828" max="13828" width="31.88671875" customWidth="1"/>
    <col min="13829" max="13829" width="16.33203125" customWidth="1"/>
    <col min="13830" max="13830" width="33.44140625" customWidth="1"/>
    <col min="14083" max="14083" width="18.5546875" customWidth="1"/>
    <col min="14084" max="14084" width="31.88671875" customWidth="1"/>
    <col min="14085" max="14085" width="16.33203125" customWidth="1"/>
    <col min="14086" max="14086" width="33.44140625" customWidth="1"/>
    <col min="14339" max="14339" width="18.5546875" customWidth="1"/>
    <col min="14340" max="14340" width="31.88671875" customWidth="1"/>
    <col min="14341" max="14341" width="16.33203125" customWidth="1"/>
    <col min="14342" max="14342" width="33.44140625" customWidth="1"/>
    <col min="14595" max="14595" width="18.5546875" customWidth="1"/>
    <col min="14596" max="14596" width="31.88671875" customWidth="1"/>
    <col min="14597" max="14597" width="16.33203125" customWidth="1"/>
    <col min="14598" max="14598" width="33.44140625" customWidth="1"/>
    <col min="14851" max="14851" width="18.5546875" customWidth="1"/>
    <col min="14852" max="14852" width="31.88671875" customWidth="1"/>
    <col min="14853" max="14853" width="16.33203125" customWidth="1"/>
    <col min="14854" max="14854" width="33.44140625" customWidth="1"/>
    <col min="15107" max="15107" width="18.5546875" customWidth="1"/>
    <col min="15108" max="15108" width="31.88671875" customWidth="1"/>
    <col min="15109" max="15109" width="16.33203125" customWidth="1"/>
    <col min="15110" max="15110" width="33.44140625" customWidth="1"/>
    <col min="15363" max="15363" width="18.5546875" customWidth="1"/>
    <col min="15364" max="15364" width="31.88671875" customWidth="1"/>
    <col min="15365" max="15365" width="16.33203125" customWidth="1"/>
    <col min="15366" max="15366" width="33.44140625" customWidth="1"/>
    <col min="15619" max="15619" width="18.5546875" customWidth="1"/>
    <col min="15620" max="15620" width="31.88671875" customWidth="1"/>
    <col min="15621" max="15621" width="16.33203125" customWidth="1"/>
    <col min="15622" max="15622" width="33.44140625" customWidth="1"/>
    <col min="15875" max="15875" width="18.5546875" customWidth="1"/>
    <col min="15876" max="15876" width="31.88671875" customWidth="1"/>
    <col min="15877" max="15877" width="16.33203125" customWidth="1"/>
    <col min="15878" max="15878" width="33.44140625" customWidth="1"/>
    <col min="16131" max="16131" width="18.5546875" customWidth="1"/>
    <col min="16132" max="16132" width="31.88671875" customWidth="1"/>
    <col min="16133" max="16133" width="16.33203125" customWidth="1"/>
    <col min="16134" max="16134" width="33.44140625" customWidth="1"/>
  </cols>
  <sheetData>
    <row r="1" spans="1:6" x14ac:dyDescent="0.3">
      <c r="A1" s="589"/>
      <c r="B1" s="573" t="str">
        <f>INSTRUÇÕES!B1</f>
        <v>Tribunal Regional Federal da 6ª Região</v>
      </c>
      <c r="C1" s="587"/>
      <c r="D1" s="574"/>
      <c r="E1" s="127"/>
      <c r="F1" s="128"/>
    </row>
    <row r="2" spans="1:6" x14ac:dyDescent="0.3">
      <c r="A2" s="590"/>
      <c r="B2" s="564" t="str">
        <f>INSTRUÇÕES!B2</f>
        <v>Seção Judiciária de Minas Gerais</v>
      </c>
      <c r="C2" s="583"/>
      <c r="D2" s="575"/>
      <c r="E2" s="129"/>
      <c r="F2" s="130"/>
    </row>
    <row r="3" spans="1:6" s="586" customFormat="1" ht="19.5" customHeight="1" thickBot="1" x14ac:dyDescent="0.35">
      <c r="A3" s="590"/>
      <c r="B3" s="582" t="str">
        <f>INSTRUÇÕES!B3</f>
        <v>Subseção Judiciária de Sete Lagoas</v>
      </c>
      <c r="C3" s="583"/>
      <c r="D3" s="583"/>
      <c r="E3" s="584"/>
      <c r="F3" s="585"/>
    </row>
    <row r="4" spans="1:6" s="563" customFormat="1" ht="20.25" customHeight="1" thickBot="1" x14ac:dyDescent="0.35">
      <c r="A4" s="1183" t="s">
        <v>732</v>
      </c>
      <c r="B4" s="1184"/>
      <c r="C4" s="1184"/>
      <c r="D4" s="1184"/>
      <c r="E4" s="1184"/>
      <c r="F4" s="1185"/>
    </row>
    <row r="5" spans="1:6" ht="30" customHeight="1" thickBot="1" x14ac:dyDescent="0.35">
      <c r="A5" s="1186" t="s">
        <v>580</v>
      </c>
      <c r="B5" s="1187"/>
      <c r="C5" s="1187"/>
      <c r="D5" s="1187"/>
      <c r="E5" s="1187"/>
      <c r="F5" s="1188"/>
    </row>
    <row r="6" spans="1:6" x14ac:dyDescent="0.3">
      <c r="A6" s="134" t="s">
        <v>361</v>
      </c>
      <c r="B6" s="1189" t="s">
        <v>422</v>
      </c>
      <c r="C6" s="1189"/>
      <c r="D6" s="133" t="s">
        <v>581</v>
      </c>
      <c r="E6" s="133" t="s">
        <v>582</v>
      </c>
      <c r="F6" s="135" t="s">
        <v>583</v>
      </c>
    </row>
    <row r="7" spans="1:6" ht="45.75" customHeight="1" x14ac:dyDescent="0.3">
      <c r="A7" s="1190" t="s">
        <v>584</v>
      </c>
      <c r="B7" s="1191">
        <v>2</v>
      </c>
      <c r="C7" s="131" t="s">
        <v>585</v>
      </c>
      <c r="D7" s="110" t="s">
        <v>586</v>
      </c>
      <c r="E7" s="1191"/>
      <c r="F7" s="1192" t="s">
        <v>553</v>
      </c>
    </row>
    <row r="8" spans="1:6" x14ac:dyDescent="0.3">
      <c r="A8" s="1190"/>
      <c r="B8" s="1191"/>
      <c r="C8" s="131" t="s">
        <v>61</v>
      </c>
      <c r="D8" s="110" t="s">
        <v>587</v>
      </c>
      <c r="E8" s="1191"/>
      <c r="F8" s="1192"/>
    </row>
    <row r="9" spans="1:6" ht="27.6" x14ac:dyDescent="0.3">
      <c r="A9" s="1190"/>
      <c r="B9" s="1191"/>
      <c r="C9" s="131"/>
      <c r="D9" s="110" t="s">
        <v>588</v>
      </c>
      <c r="E9" s="1191"/>
      <c r="F9" s="1192"/>
    </row>
    <row r="10" spans="1:6" ht="45.75" customHeight="1" x14ac:dyDescent="0.3">
      <c r="A10" s="1190" t="s">
        <v>589</v>
      </c>
      <c r="B10" s="1191">
        <v>3</v>
      </c>
      <c r="C10" s="131" t="s">
        <v>585</v>
      </c>
      <c r="D10" s="110" t="s">
        <v>590</v>
      </c>
      <c r="E10" s="1191"/>
      <c r="F10" s="1192" t="s">
        <v>591</v>
      </c>
    </row>
    <row r="11" spans="1:6" x14ac:dyDescent="0.3">
      <c r="A11" s="1190"/>
      <c r="B11" s="1191"/>
      <c r="C11" s="131" t="s">
        <v>61</v>
      </c>
      <c r="D11" s="110" t="s">
        <v>587</v>
      </c>
      <c r="E11" s="1191"/>
      <c r="F11" s="1192"/>
    </row>
    <row r="12" spans="1:6" ht="27.6" x14ac:dyDescent="0.3">
      <c r="A12" s="1190"/>
      <c r="B12" s="1191"/>
      <c r="C12" s="131"/>
      <c r="D12" s="110" t="s">
        <v>592</v>
      </c>
      <c r="E12" s="1191"/>
      <c r="F12" s="1192"/>
    </row>
    <row r="13" spans="1:6" ht="75" customHeight="1" x14ac:dyDescent="0.3">
      <c r="A13" s="591" t="s">
        <v>562</v>
      </c>
      <c r="B13" s="131">
        <v>1</v>
      </c>
      <c r="C13" s="131" t="s">
        <v>61</v>
      </c>
      <c r="D13" s="110" t="s">
        <v>574</v>
      </c>
      <c r="E13" s="131"/>
      <c r="F13" s="610" t="s">
        <v>564</v>
      </c>
    </row>
    <row r="14" spans="1:6" ht="45.75" customHeight="1" x14ac:dyDescent="0.3">
      <c r="A14" s="1190" t="s">
        <v>565</v>
      </c>
      <c r="B14" s="1191">
        <v>2</v>
      </c>
      <c r="C14" s="131" t="s">
        <v>61</v>
      </c>
      <c r="D14" s="110" t="s">
        <v>593</v>
      </c>
      <c r="E14" s="1191"/>
      <c r="F14" s="1192" t="s">
        <v>553</v>
      </c>
    </row>
    <row r="15" spans="1:6" ht="45.75" customHeight="1" x14ac:dyDescent="0.3">
      <c r="A15" s="1190"/>
      <c r="B15" s="1191"/>
      <c r="C15" s="131"/>
      <c r="D15" s="110" t="s">
        <v>594</v>
      </c>
      <c r="E15" s="1191"/>
      <c r="F15" s="1192"/>
    </row>
    <row r="16" spans="1:6" ht="45.75" customHeight="1" x14ac:dyDescent="0.3">
      <c r="A16" s="1190" t="s">
        <v>544</v>
      </c>
      <c r="B16" s="1191">
        <v>2</v>
      </c>
      <c r="C16" s="1191" t="s">
        <v>524</v>
      </c>
      <c r="D16" s="132" t="s">
        <v>595</v>
      </c>
      <c r="E16" s="1193"/>
      <c r="F16" s="1192" t="s">
        <v>570</v>
      </c>
    </row>
    <row r="17" spans="1:6" ht="45.75" customHeight="1" x14ac:dyDescent="0.3">
      <c r="A17" s="1190"/>
      <c r="B17" s="1191"/>
      <c r="C17" s="1191"/>
      <c r="D17" s="132" t="s">
        <v>587</v>
      </c>
      <c r="E17" s="1193"/>
      <c r="F17" s="1192"/>
    </row>
    <row r="18" spans="1:6" ht="45.75" customHeight="1" x14ac:dyDescent="0.3">
      <c r="A18" s="1190" t="s">
        <v>544</v>
      </c>
      <c r="B18" s="1191">
        <v>2</v>
      </c>
      <c r="C18" s="1191" t="s">
        <v>63</v>
      </c>
      <c r="D18" s="111" t="s">
        <v>577</v>
      </c>
      <c r="E18" s="1193"/>
      <c r="F18" s="1192" t="s">
        <v>553</v>
      </c>
    </row>
    <row r="19" spans="1:6" ht="45.75" customHeight="1" x14ac:dyDescent="0.3">
      <c r="A19" s="1190"/>
      <c r="B19" s="1191"/>
      <c r="C19" s="1191"/>
      <c r="D19" s="132" t="s">
        <v>587</v>
      </c>
      <c r="E19" s="1193"/>
      <c r="F19" s="1192"/>
    </row>
    <row r="20" spans="1:6" ht="89.25" customHeight="1" x14ac:dyDescent="0.3">
      <c r="A20" s="591" t="s">
        <v>547</v>
      </c>
      <c r="B20" s="131">
        <v>3</v>
      </c>
      <c r="C20" s="131" t="s">
        <v>63</v>
      </c>
      <c r="D20" s="110" t="s">
        <v>590</v>
      </c>
      <c r="E20" s="131"/>
      <c r="F20" s="610" t="s">
        <v>571</v>
      </c>
    </row>
    <row r="21" spans="1:6" ht="89.25" customHeight="1" x14ac:dyDescent="0.3">
      <c r="A21" s="591" t="s">
        <v>547</v>
      </c>
      <c r="B21" s="131">
        <v>3</v>
      </c>
      <c r="C21" s="131" t="s">
        <v>524</v>
      </c>
      <c r="D21" s="110" t="s">
        <v>590</v>
      </c>
      <c r="E21" s="131"/>
      <c r="F21" s="610" t="s">
        <v>571</v>
      </c>
    </row>
    <row r="22" spans="1:6" ht="15" thickBot="1" x14ac:dyDescent="0.35">
      <c r="A22" s="592"/>
      <c r="F22" s="611"/>
    </row>
    <row r="23" spans="1:6" ht="15" thickBot="1" x14ac:dyDescent="0.35">
      <c r="A23" s="1200" t="s">
        <v>41</v>
      </c>
      <c r="B23" s="1201"/>
      <c r="C23" s="1201"/>
      <c r="D23" s="1201"/>
      <c r="E23" s="1201"/>
      <c r="F23" s="1202"/>
    </row>
    <row r="24" spans="1:6" x14ac:dyDescent="0.3">
      <c r="A24" s="1203" t="s">
        <v>596</v>
      </c>
      <c r="B24" s="1204"/>
      <c r="C24" s="1204"/>
      <c r="D24" s="1204"/>
      <c r="E24" s="1204"/>
      <c r="F24" s="1205"/>
    </row>
    <row r="25" spans="1:6" x14ac:dyDescent="0.3">
      <c r="A25" s="1194" t="s">
        <v>597</v>
      </c>
      <c r="B25" s="1195"/>
      <c r="C25" s="1195"/>
      <c r="D25" s="1195"/>
      <c r="E25" s="1195"/>
      <c r="F25" s="1196"/>
    </row>
    <row r="26" spans="1:6" ht="18.75" customHeight="1" x14ac:dyDescent="0.3">
      <c r="A26" s="1194" t="s">
        <v>598</v>
      </c>
      <c r="B26" s="1195"/>
      <c r="C26" s="1195"/>
      <c r="D26" s="1195"/>
      <c r="E26" s="1195"/>
      <c r="F26" s="1196"/>
    </row>
    <row r="27" spans="1:6" x14ac:dyDescent="0.3">
      <c r="A27" s="1194" t="s">
        <v>599</v>
      </c>
      <c r="B27" s="1195"/>
      <c r="C27" s="1195"/>
      <c r="D27" s="1195"/>
      <c r="E27" s="1195"/>
      <c r="F27" s="1196"/>
    </row>
    <row r="28" spans="1:6" x14ac:dyDescent="0.3">
      <c r="A28" s="1194" t="s">
        <v>600</v>
      </c>
      <c r="B28" s="1195"/>
      <c r="C28" s="1195"/>
      <c r="D28" s="1195"/>
      <c r="E28" s="1195"/>
      <c r="F28" s="1196"/>
    </row>
    <row r="29" spans="1:6" x14ac:dyDescent="0.3">
      <c r="A29" s="1194" t="s">
        <v>601</v>
      </c>
      <c r="B29" s="1195"/>
      <c r="C29" s="1195"/>
      <c r="D29" s="1195"/>
      <c r="E29" s="1195"/>
      <c r="F29" s="1196"/>
    </row>
    <row r="30" spans="1:6" ht="30.75" customHeight="1" x14ac:dyDescent="0.3">
      <c r="A30" s="1194" t="s">
        <v>602</v>
      </c>
      <c r="B30" s="1195"/>
      <c r="C30" s="1195"/>
      <c r="D30" s="1195"/>
      <c r="E30" s="1195"/>
      <c r="F30" s="1196"/>
    </row>
    <row r="31" spans="1:6" ht="25.5" customHeight="1" thickBot="1" x14ac:dyDescent="0.35">
      <c r="A31" s="1197" t="s">
        <v>603</v>
      </c>
      <c r="B31" s="1198"/>
      <c r="C31" s="1198"/>
      <c r="D31" s="1198"/>
      <c r="E31" s="1198"/>
      <c r="F31" s="1199"/>
    </row>
  </sheetData>
  <sheetProtection algorithmName="SHA-512" hashValue="3d2UBsF3jfxI0lSC9gwWLUz/lUDVFnRWSHKiZLNWKoc9CePlbU5qhrIyh1WVbq8L0RxJUxbnghWQSRZ9NJyscA==" saltValue="4i60qhb3NYc+olGbeTYe2Q==" spinCount="100000" sheet="1" objects="1" scenarios="1"/>
  <mergeCells count="34">
    <mergeCell ref="A29:F29"/>
    <mergeCell ref="A30:F30"/>
    <mergeCell ref="A31:F31"/>
    <mergeCell ref="A23:F23"/>
    <mergeCell ref="A24:F24"/>
    <mergeCell ref="A25:F25"/>
    <mergeCell ref="A26:F26"/>
    <mergeCell ref="A27:F27"/>
    <mergeCell ref="A28:F28"/>
    <mergeCell ref="A16:A17"/>
    <mergeCell ref="B16:B17"/>
    <mergeCell ref="C16:C17"/>
    <mergeCell ref="E16:E17"/>
    <mergeCell ref="F16:F17"/>
    <mergeCell ref="A18:A19"/>
    <mergeCell ref="B18:B19"/>
    <mergeCell ref="C18:C19"/>
    <mergeCell ref="E18:E19"/>
    <mergeCell ref="F18:F19"/>
    <mergeCell ref="A10:A12"/>
    <mergeCell ref="B10:B12"/>
    <mergeCell ref="E10:E12"/>
    <mergeCell ref="F10:F12"/>
    <mergeCell ref="A14:A15"/>
    <mergeCell ref="B14:B15"/>
    <mergeCell ref="E14:E15"/>
    <mergeCell ref="F14:F15"/>
    <mergeCell ref="A4:F4"/>
    <mergeCell ref="A5:F5"/>
    <mergeCell ref="B6:C6"/>
    <mergeCell ref="A7:A9"/>
    <mergeCell ref="B7:B9"/>
    <mergeCell ref="E7:E9"/>
    <mergeCell ref="F7:F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11</vt:i4>
      </vt:variant>
    </vt:vector>
  </HeadingPairs>
  <TitlesOfParts>
    <vt:vector size="28" baseType="lpstr">
      <vt:lpstr>Ocorrências Mensais - FAT</vt:lpstr>
      <vt:lpstr>INSTRUÇÕES</vt:lpstr>
      <vt:lpstr>Dados</vt:lpstr>
      <vt:lpstr>Encargos</vt:lpstr>
      <vt:lpstr>Mat</vt:lpstr>
      <vt:lpstr>EPI</vt:lpstr>
      <vt:lpstr>Equip</vt:lpstr>
      <vt:lpstr>Unif</vt:lpstr>
      <vt:lpstr>Especif</vt:lpstr>
      <vt:lpstr>Serv Ins</vt:lpstr>
      <vt:lpstr>Serv</vt:lpstr>
      <vt:lpstr>Copa</vt:lpstr>
      <vt:lpstr>Zel</vt:lpstr>
      <vt:lpstr>Aux</vt:lpstr>
      <vt:lpstr>Resumo</vt:lpstr>
      <vt:lpstr>Custo Estimado Substituto</vt:lpstr>
      <vt:lpstr>IPCA</vt:lpstr>
      <vt:lpstr>Aux!Area_de_impressao</vt:lpstr>
      <vt:lpstr>Copa!Area_de_impressao</vt:lpstr>
      <vt:lpstr>Dados!Area_de_impressao</vt:lpstr>
      <vt:lpstr>Encargos!Area_de_impressao</vt:lpstr>
      <vt:lpstr>EPI!Area_de_impressao</vt:lpstr>
      <vt:lpstr>Mat!Area_de_impressao</vt:lpstr>
      <vt:lpstr>Resumo!Area_de_impressao</vt:lpstr>
      <vt:lpstr>Serv!Area_de_impressao</vt:lpstr>
      <vt:lpstr>'Serv Ins'!Area_de_impressao</vt:lpstr>
      <vt:lpstr>Unif!Area_de_impressao</vt:lpstr>
      <vt:lpstr>Zel!Area_de_impressao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Lucas Gouveia dos Santos</dc:creator>
  <cp:lastModifiedBy>marcela.carmo87@gmail.com</cp:lastModifiedBy>
  <cp:lastPrinted>2023-07-14T20:33:19Z</cp:lastPrinted>
  <dcterms:created xsi:type="dcterms:W3CDTF">2015-06-05T18:17:20Z</dcterms:created>
  <dcterms:modified xsi:type="dcterms:W3CDTF">2023-08-22T14:44:22Z</dcterms:modified>
</cp:coreProperties>
</file>