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0.png" ContentType="image/png"/>
  <Override PartName="/xl/media/image36.jpeg" ContentType="image/jpeg"/>
  <Override PartName="/xl/media/image25.png" ContentType="image/png"/>
  <Override PartName="/xl/media/image31.png" ContentType="image/png"/>
  <Override PartName="/xl/media/image26.png" ContentType="image/png"/>
  <Override PartName="/xl/media/image32.png" ContentType="image/png"/>
  <Override PartName="/xl/media/image27.png" ContentType="image/png"/>
  <Override PartName="/xl/media/image33.png" ContentType="image/png"/>
  <Override PartName="/xl/media/image28.png" ContentType="image/png"/>
  <Override PartName="/xl/media/image29.png" ContentType="image/png"/>
  <Override PartName="/xl/media/image34.png" ContentType="image/png"/>
  <Override PartName="/xl/media/image35.jpeg" ContentType="image/jpe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_rels/drawing9.xml.rels" ContentType="application/vnd.openxmlformats-package.relationships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_rels/drawing10.xml.rels" ContentType="application/vnd.openxmlformats-package.relationships+xml"/>
  <Override PartName="/xl/drawings/_rels/drawing1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0"/>
  </bookViews>
  <sheets>
    <sheet name="Encargos" sheetId="1" state="visible" r:id="rId2"/>
    <sheet name="Uniformes" sheetId="2" state="visible" r:id="rId3"/>
    <sheet name="Equip" sheetId="3" state="visible" r:id="rId4"/>
    <sheet name="Limpeza" sheetId="4" state="visible" r:id="rId5"/>
    <sheet name="Copa" sheetId="5" state="visible" r:id="rId6"/>
    <sheet name="Dados" sheetId="6" state="visible" r:id="rId7"/>
    <sheet name="Aux. Administrativo 200h" sheetId="7" state="visible" r:id="rId8"/>
    <sheet name="Servente 200h - Acum. Copeira" sheetId="8" state="visible" r:id="rId9"/>
    <sheet name="Servente 200h(40%)" sheetId="9" state="visible" r:id="rId10"/>
    <sheet name="Substituição" sheetId="10" state="visible" r:id="rId11"/>
    <sheet name="Resumo" sheetId="11" state="visible" r:id="rId12"/>
  </sheets>
  <externalReferences>
    <externalReference r:id="rId13"/>
    <externalReference r:id="rId14"/>
    <externalReference r:id="rId15"/>
    <externalReference r:id="rId16"/>
  </externalReferences>
  <definedNames>
    <definedName function="false" hidden="false" localSheetId="6" name="_xlnm.Print_Area" vbProcedure="false">'Aux. Administrativo 200h'!$A$1:$H$38</definedName>
    <definedName function="false" hidden="false" localSheetId="7" name="_xlnm.Print_Area" vbProcedure="false">'Servente 200h - Acum. Copeira'!$A$1:$H$40</definedName>
    <definedName function="false" hidden="false" name="AT" vbProcedure="false">'[1]Base CCT-2016-2017'!$A$20:$AU$66</definedName>
    <definedName function="false" hidden="false" name="BASE" vbProcedure="false">[2]base!$A$4:$P$5</definedName>
    <definedName function="false" hidden="false" name="BS" vbProcedure="false">#REF!</definedName>
    <definedName function="false" hidden="false" name="BT" vbProcedure="false">#REF!</definedName>
    <definedName function="false" hidden="false" name="CH" vbProcedure="false">'[3]Base CCT-2016-2017'!$B$81:$B$86</definedName>
    <definedName function="false" hidden="false" name="Cid" vbProcedure="false">'[3]Cidades VT PAF ISS'!$A$4:$K$999</definedName>
    <definedName function="false" hidden="false" name="Cidad" vbProcedure="false">'[3]Cidades VT PAF ISS'!$A$4:$A$999</definedName>
    <definedName function="false" hidden="false" name="CIDADE" vbProcedure="false">#REF!</definedName>
    <definedName function="false" hidden="false" name="CIDADES" vbProcedure="false">[4]Plan1!$A$2:$A$891</definedName>
    <definedName function="false" hidden="false" name="d" vbProcedure="false">#REF!</definedName>
    <definedName function="false" hidden="false" name="DF" vbProcedure="false">'[3]Base CCT-2016-2017'!$A$20:$AJ$72</definedName>
    <definedName function="false" hidden="false" name="ENCARGOS" vbProcedure="false">#REF!</definedName>
    <definedName function="false" hidden="false" name="Excel_BuiltIn_Print_Area_6_1" vbProcedure="false">#REF!</definedName>
    <definedName function="false" hidden="false" name="Excel_BuiltIn_Print_Area_7_1" vbProcedure="false">#REF!</definedName>
    <definedName function="false" hidden="false" name="Excel_BuiltIn_Print_Area_8_1" vbProcedure="false">#REF!</definedName>
    <definedName function="false" hidden="false" name="Excel_BuiltIn_Print_Area_9_1" vbProcedure="false">#REF!</definedName>
    <definedName function="false" hidden="false" name="Func" vbProcedure="false">'[3]Base CCT-2016-2017'!$A$20:$A$72</definedName>
    <definedName function="false" hidden="false" name="Férias" vbProcedure="false">'[3]Memória Encargos Sociais'!$F$22:$G$22</definedName>
    <definedName function="false" hidden="false" name="INSAL" vbProcedure="false">'[3]Base CCT-2016-2017'!$F$80:$F$83</definedName>
    <definedName function="false" hidden="false" name="INSALU" vbProcedure="false">'[3]Base CCT-2016-2017'!$G$80:$G$81</definedName>
    <definedName function="false" hidden="false" name="INTRA" vbProcedure="false">'[3]Base CCT-2016-2017'!$E$80:$E$82</definedName>
    <definedName function="false" hidden="false" name="ISS" vbProcedure="false">#REF!</definedName>
    <definedName function="false" hidden="false" name="Jornada" vbProcedure="false">#REF!</definedName>
    <definedName function="false" hidden="false" name="Per" vbProcedure="false">'[3]Base CCT-2016-2017'!$C$81:$C$82</definedName>
    <definedName function="false" hidden="false" name="Serv" vbProcedure="false">'[3]Base CCT-2016-2017'!$A$81:$A$91</definedName>
    <definedName function="false" hidden="false" name="SIM" vbProcedure="false">'[3]Base CCT-2016-2017'!$D$80:$D$81</definedName>
    <definedName function="false" hidden="false" name="SL" vbProcedure="false">'[3]Base CCT-2016-2017'!$A$2:$AJ$72</definedName>
    <definedName function="false" hidden="false" name="TERRIT" vbProcedure="false">#REF!</definedName>
    <definedName function="false" hidden="false" name="Tipo_de_Joranda_de_Trabalho" vbProcedure="false">OFFSET(#REF!,1,0,COUNTA(#REF!)-1,1)</definedName>
    <definedName function="false" hidden="false" name="TP_SERV" vbProcedure="false">#REF!</definedName>
    <definedName function="false" hidden="false" name="TP_SERVPERC" vbProcedure="false">#REF!</definedName>
    <definedName function="false" hidden="false" name="VRSELEC" vbProcedure="false">#REF!</definedName>
    <definedName function="false" hidden="false" localSheetId="4" name="_xlnm.Print_Area" vbProcedure="false">'[1]copa-ok'!#ref!</definedName>
    <definedName function="false" hidden="false" localSheetId="4" name="_xlnm._FilterDatabase" vbProcedure="false">'[1]copa-ok'!#ref!</definedName>
    <definedName function="false" hidden="false" localSheetId="6" name="BS" vbProcedure="false">#REF!</definedName>
    <definedName function="false" hidden="false" localSheetId="6" name="CIDADE" vbProcedure="false">#REF!</definedName>
    <definedName function="false" hidden="false" localSheetId="6" name="ENCARGOS" vbProcedure="false">#REF!</definedName>
    <definedName function="false" hidden="false" localSheetId="6" name="Excel_BuiltIn_Print_Area_6_1" vbProcedure="false">#REF!</definedName>
    <definedName function="false" hidden="false" localSheetId="6" name="Excel_BuiltIn_Print_Area_7_1" vbProcedure="false">#REF!</definedName>
    <definedName function="false" hidden="false" localSheetId="6" name="Excel_BuiltIn_Print_Area_8_1" vbProcedure="false">#REF!</definedName>
    <definedName function="false" hidden="false" localSheetId="6" name="Excel_BuiltIn_Print_Area_9_1" vbProcedure="false">#REF!</definedName>
    <definedName function="false" hidden="false" localSheetId="6" name="_xlnm.Print_Area" vbProcedure="false">'Aux. Administrativo 200h'!$A$1:$H$44</definedName>
    <definedName function="false" hidden="false" localSheetId="7" name="BS" vbProcedure="false">#REF!</definedName>
    <definedName function="false" hidden="false" localSheetId="7" name="BT" vbProcedure="false">#REF!</definedName>
    <definedName function="false" hidden="false" localSheetId="7" name="CIDADE" vbProcedure="false">#REF!</definedName>
    <definedName function="false" hidden="false" localSheetId="7" name="ENCARGOS" vbProcedure="false">#REF!</definedName>
    <definedName function="false" hidden="false" localSheetId="7" name="Excel_BuiltIn_Print_Area_6_1" vbProcedure="false">#REF!</definedName>
    <definedName function="false" hidden="false" localSheetId="7" name="Excel_BuiltIn_Print_Area_7_1" vbProcedure="false">#REF!</definedName>
    <definedName function="false" hidden="false" localSheetId="7" name="Excel_BuiltIn_Print_Area_8_1" vbProcedure="false">#REF!</definedName>
    <definedName function="false" hidden="false" localSheetId="7" name="Excel_BuiltIn_Print_Area_9_1" vbProcedure="false">#REF!</definedName>
    <definedName function="false" hidden="false" localSheetId="7" name="ISS" vbProcedure="false">#REF!</definedName>
    <definedName function="false" hidden="false" localSheetId="7" name="Jornada" vbProcedure="false">#REF!</definedName>
    <definedName function="false" hidden="false" localSheetId="7" name="TERRIT" vbProcedure="false">#REF!</definedName>
    <definedName function="false" hidden="false" localSheetId="7" name="Tipo_de_Joranda_de_Trabalho" vbProcedure="false">OFFSET(#REF!,1,0,COUNTA(#REF!)-1,1)</definedName>
    <definedName function="false" hidden="false" localSheetId="7" name="TP_SERV" vbProcedure="false">#REF!</definedName>
    <definedName function="false" hidden="false" localSheetId="7" name="TP_SERVPERC" vbProcedure="false">#REF!</definedName>
    <definedName function="false" hidden="false" localSheetId="7" name="VRSELEC" vbProcedure="false">#REF!</definedName>
    <definedName function="false" hidden="false" localSheetId="7" name="_xlnm.Print_Area" vbProcedure="false">'Servente 200h - Acum. Copeira'!$A$1:$H$40</definedName>
    <definedName function="false" hidden="false" localSheetId="8" name="BS" vbProcedure="false">#REF!</definedName>
    <definedName function="false" hidden="false" localSheetId="8" name="BT" vbProcedure="false">#REF!</definedName>
    <definedName function="false" hidden="false" localSheetId="8" name="CIDADE" vbProcedure="false">#REF!</definedName>
    <definedName function="false" hidden="false" localSheetId="8" name="d" vbProcedure="false">#REF!</definedName>
    <definedName function="false" hidden="false" localSheetId="8" name="ENCARGOS" vbProcedure="false">#REF!</definedName>
    <definedName function="false" hidden="false" localSheetId="8" name="Excel_BuiltIn_Print_Area_6_1" vbProcedure="false">#REF!</definedName>
    <definedName function="false" hidden="false" localSheetId="8" name="Excel_BuiltIn_Print_Area_7_1" vbProcedure="false">#REF!</definedName>
    <definedName function="false" hidden="false" localSheetId="8" name="Excel_BuiltIn_Print_Area_8_1" vbProcedure="false">#REF!</definedName>
    <definedName function="false" hidden="false" localSheetId="8" name="Excel_BuiltIn_Print_Area_9_1" vbProcedure="false">#REF!</definedName>
    <definedName function="false" hidden="false" localSheetId="8" name="ISS" vbProcedure="false">#REF!</definedName>
    <definedName function="false" hidden="false" localSheetId="8" name="Jornada" vbProcedure="false">#REF!</definedName>
    <definedName function="false" hidden="false" localSheetId="8" name="TERRIT" vbProcedure="false">#REF!</definedName>
    <definedName function="false" hidden="false" localSheetId="8" name="Tipo_de_Joranda_de_Trabalho" vbProcedure="false">OFFSET(#REF!,1,0,COUNTA(#REF!)-1,1)</definedName>
    <definedName function="false" hidden="false" localSheetId="8" name="TP_SERV" vbProcedure="false">#REF!</definedName>
    <definedName function="false" hidden="false" localSheetId="8" name="TP_SERVPERC" vbProcedure="false">#REF!</definedName>
    <definedName function="false" hidden="false" localSheetId="8" name="VRSELEC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<sst xmlns="http://schemas.openxmlformats.org/spreadsheetml/2006/main" count="659" uniqueCount="395">
  <si>
    <t xml:space="preserve">Tribunal Regional Federal da Sexta Região</t>
  </si>
  <si>
    <t xml:space="preserve">Seção Judiciária de Minas Gerais</t>
  </si>
  <si>
    <t xml:space="preserve">Subseção Judiciária de Viçosa</t>
  </si>
  <si>
    <t xml:space="preserve">ANEXO II - ENCARGOS SOCIAIS E TRABALHISTAS</t>
  </si>
  <si>
    <t xml:space="preserve">Planilha de Encargos Sociais e Trabalhistas</t>
  </si>
  <si>
    <t xml:space="preserve">QUADRO RESUMO</t>
  </si>
  <si>
    <t xml:space="preserve">ITEM</t>
  </si>
  <si>
    <t xml:space="preserve">DESCRIÇÃO</t>
  </si>
  <si>
    <t xml:space="preserve">PERCENTUAL</t>
  </si>
  <si>
    <t xml:space="preserve">Grupo A</t>
  </si>
  <si>
    <t xml:space="preserve">Encargos Previdenciários, FGTS e Outras Contribuições</t>
  </si>
  <si>
    <t xml:space="preserve">PREVIDÊNCIA SOCIAL - INSS</t>
  </si>
  <si>
    <t xml:space="preserve">SESI ou SESC</t>
  </si>
  <si>
    <t xml:space="preserve">SENAI ou SENAC</t>
  </si>
  <si>
    <t xml:space="preserve">INCRA</t>
  </si>
  <si>
    <t xml:space="preserve">Salário Educação</t>
  </si>
  <si>
    <t xml:space="preserve">FGTS</t>
  </si>
  <si>
    <t xml:space="preserve">Seguro Acidentes Trabalho - RAT</t>
  </si>
  <si>
    <t xml:space="preserve">SEBRAE</t>
  </si>
  <si>
    <t xml:space="preserve">Total Grupo A - Encargos previdenciários, FGTS e Outras Contribuições</t>
  </si>
  <si>
    <t xml:space="preserve">Grupo B</t>
  </si>
  <si>
    <t xml:space="preserve">Grupo B.1</t>
  </si>
  <si>
    <t xml:space="preserve">13º Salário e Adicional de Férias</t>
  </si>
  <si>
    <t xml:space="preserve">13º Salário</t>
  </si>
  <si>
    <t xml:space="preserve">Adicional de Férias</t>
  </si>
  <si>
    <t xml:space="preserve">Subtotal</t>
  </si>
  <si>
    <t xml:space="preserve">Incidência do Submódulo 4.1 sobre 13º salário e adicional de férias</t>
  </si>
  <si>
    <t xml:space="preserve">Total Grupo B.1 - 13º salário e adicional de férias</t>
  </si>
  <si>
    <t xml:space="preserve">Grupo B.2</t>
  </si>
  <si>
    <t xml:space="preserve">Afastamento Maternidade</t>
  </si>
  <si>
    <t xml:space="preserve">Licença Maternidade</t>
  </si>
  <si>
    <t xml:space="preserve">Incidência do submódulo 4.1 sobre o afastamento maternidade</t>
  </si>
  <si>
    <t xml:space="preserve">Total Grupo B.2 - Afastamento maternidade</t>
  </si>
  <si>
    <t xml:space="preserve">Grupo B.3</t>
  </si>
  <si>
    <t xml:space="preserve">Provisão para Rescisão</t>
  </si>
  <si>
    <t xml:space="preserve">Aviso Prévio Indenizado</t>
  </si>
  <si>
    <t xml:space="preserve">Incidência do FGTS sobre o Aviso Prévio Indenizado</t>
  </si>
  <si>
    <t xml:space="preserve">Multa do FGTS do Aviso Prévio Indenizado</t>
  </si>
  <si>
    <t xml:space="preserve">Aviso Prévio Trabalhado</t>
  </si>
  <si>
    <t xml:space="preserve">Incidência do submódulo 4.1 sobre o Aviso Prévio Trabalhado </t>
  </si>
  <si>
    <t xml:space="preserve">Multa do FGTS do Aviso Prévio Trabalhado </t>
  </si>
  <si>
    <t xml:space="preserve">Total Grupo B.3 - Provisão para rescisão</t>
  </si>
  <si>
    <t xml:space="preserve">Grupo B.4</t>
  </si>
  <si>
    <t xml:space="preserve">Composição do Custo de Reposição do Profissional Ausente</t>
  </si>
  <si>
    <t xml:space="preserve">Remuneração do profissional substituto</t>
  </si>
  <si>
    <t xml:space="preserve">Ausência por doença</t>
  </si>
  <si>
    <t xml:space="preserve">Licença Paternidade</t>
  </si>
  <si>
    <t xml:space="preserve">Ausências Legais</t>
  </si>
  <si>
    <t xml:space="preserve">Ausência por acidente de trabalho</t>
  </si>
  <si>
    <t xml:space="preserve">Incidência do submódulo 4.1 sobre custo de reposição</t>
  </si>
  <si>
    <t xml:space="preserve">Total Grupo B.4 - Custo de reposição do profissional ausente</t>
  </si>
  <si>
    <t xml:space="preserve">Grupo C</t>
  </si>
  <si>
    <t xml:space="preserve">Outros (especificar)</t>
  </si>
  <si>
    <t xml:space="preserve">Indenização Adicional</t>
  </si>
  <si>
    <t xml:space="preserve">Total Grupo C - Indenização Adicional</t>
  </si>
  <si>
    <t xml:space="preserve">Quadro Resumo - Encargos Sociais e Trabalhistas</t>
  </si>
  <si>
    <t xml:space="preserve">13º Salário + Adicional de Férias</t>
  </si>
  <si>
    <t xml:space="preserve">Custo de Rescisão</t>
  </si>
  <si>
    <t xml:space="preserve">Custo de Reposição do profissional Ausente</t>
  </si>
  <si>
    <t xml:space="preserve">Total dos Encargos Sociais Trabalhistas</t>
  </si>
  <si>
    <t xml:space="preserve">OBSERVAÇÃO:</t>
  </si>
  <si>
    <t xml:space="preserve">Não deverá haver alteração nos itens 9(9,09%), 10(3,03%), 13(3,49%) e 16(9,09%) dos percentuais acima, considerando que a Justiça Federal segue as diretrizes da IN 1/2016, de 20 de janeiro de 2016, do CJF.</t>
  </si>
  <si>
    <t xml:space="preserve">Tribunal Regional Federal da 6ª Região</t>
  </si>
  <si>
    <t xml:space="preserve">ANEXO III - CUSTOS ESTIMATIVOS DE UNIFORMES  - Preços em Reais</t>
  </si>
  <si>
    <r>
      <rPr>
        <sz val="9"/>
        <color rgb="FF000000"/>
        <rFont val="Arial"/>
        <family val="2"/>
        <charset val="1"/>
      </rPr>
      <t xml:space="preserve">CO</t>
    </r>
    <r>
      <rPr>
        <sz val="10"/>
        <color rgb="FF000000"/>
        <rFont val="Times New Roman"/>
        <family val="1"/>
        <charset val="1"/>
      </rPr>
      <t xml:space="preserve">NTRATAÇÃO DE PRESTAÇÃO DE SERVIÇOS DE CONSERVAÇÃO, LIMPEZA, COPEIRAGEM, SERVIÇOS GERAIS E ADMINISTRATIVOS PARA A SUBSEÇÃO JUDICIÁRIA DE VIÇOSA/MG</t>
    </r>
  </si>
  <si>
    <t xml:space="preserve">CATEGORIA</t>
  </si>
  <si>
    <t xml:space="preserve">UNIFORME</t>
  </si>
  <si>
    <t xml:space="preserve">QUANT.</t>
  </si>
  <si>
    <t xml:space="preserve">DESCRIÇÃO DE UNIFORME</t>
  </si>
  <si>
    <t xml:space="preserve">CORES</t>
  </si>
  <si>
    <t xml:space="preserve">TOTAL DO QUANTITATIVO</t>
  </si>
  <si>
    <t xml:space="preserve">PREÇO UNITÁRIO</t>
  </si>
  <si>
    <t xml:space="preserve">TOTAL</t>
  </si>
  <si>
    <t xml:space="preserve">Servente </t>
  </si>
  <si>
    <t xml:space="preserve">Calça</t>
  </si>
  <si>
    <t xml:space="preserve">Calça de brim leve misto, 67% poliéster e 33% algodão, modelo: tradicional, aplicação: uniforme, quantidade bolsos: 4, tamanhos diversos. Características adicionais: com elástico na cintura e cordão, tamanhos diversos</t>
  </si>
  <si>
    <t xml:space="preserve">Cinza ou Azul Marinho</t>
  </si>
  <si>
    <t xml:space="preserve">Camisa</t>
  </si>
  <si>
    <t xml:space="preserve">Camisa para uniformes de servente de limpeza: mangas curtas, gola careca ou redonda, tamanhos diversos. Material: malha PA: 67% algodão e 33% poliéster, gramatura mínima 180g/m²</t>
  </si>
  <si>
    <t xml:space="preserve"> Bege ou Azul</t>
  </si>
  <si>
    <t xml:space="preserve">Calçado</t>
  </si>
  <si>
    <t xml:space="preserve">Botina de segurança, em couro, sem ponteira e confortável, atendendo as exigências das Normas de Segurança do Trabalho</t>
  </si>
  <si>
    <t xml:space="preserve">Preto</t>
  </si>
  <si>
    <t xml:space="preserve">Bota</t>
  </si>
  <si>
    <t xml:space="preserve">Bota em PVC, atendendo as Normas de Segurança do Trabalho vigentes</t>
  </si>
  <si>
    <t xml:space="preserve">   Preto</t>
  </si>
  <si>
    <t xml:space="preserve">Soma</t>
  </si>
  <si>
    <t xml:space="preserve">CÁLCULO VALOR DO REPASSE MENSAL SERVENTES  </t>
  </si>
  <si>
    <t xml:space="preserve">Servente / copeira</t>
  </si>
  <si>
    <t xml:space="preserve">Jaleco</t>
  </si>
  <si>
    <t xml:space="preserve">Jaleco em microfibra gabardine, com botões frontais e manga curta, dois bolsos, tamanhos diversos</t>
  </si>
  <si>
    <t xml:space="preserve">Branco com detalhe azul marinho</t>
  </si>
  <si>
    <t xml:space="preserve">Touca</t>
  </si>
  <si>
    <t xml:space="preserve">Touca protetora tecido e tela, lavável com borda (poá) e tela (azul marinho)</t>
  </si>
  <si>
    <t xml:space="preserve">Avental</t>
  </si>
  <si>
    <t xml:space="preserve">Em PVC, com peitilho, resistente e comprido até nos joelhos</t>
  </si>
  <si>
    <t xml:space="preserve">Branco </t>
  </si>
  <si>
    <t xml:space="preserve">CÁLCULO VALOR DO REPASSE MENSAL SERVENTE COM ACÚMULO DE COPEIRA</t>
  </si>
  <si>
    <t xml:space="preserve">Auxiliar Administrativo</t>
  </si>
  <si>
    <t xml:space="preserve">Calça social em tecido Oxford, 67% algodão, 33% poliéster, fechamento a zíper, com 4 bolsos, 2 laterais e 2 traseiros, tamanhos diversos</t>
  </si>
  <si>
    <t xml:space="preserve"> Preta ou Azul marinho</t>
  </si>
  <si>
    <t xml:space="preserve">Camisa uniforme escritório malha piquet, gola tipo polo, 100% algodão, abertura com 2 botões, 1 bolso do lado esquerdo, tamanhos diversos</t>
  </si>
  <si>
    <t xml:space="preserve">Bege, Cinza ou azul marinho</t>
  </si>
  <si>
    <t xml:space="preserve">Sapato preto para uso profissional, modelo social, salto baixo, super confortável, solado antiderrapante</t>
  </si>
  <si>
    <t xml:space="preserve">CÁLCULO VALOR DO REPASSE MENSAL AUXILIAR ADMINISTRATIVO</t>
  </si>
  <si>
    <t xml:space="preserve">ANEXO IV - CUSTOS ESTIMATIVOS DE EQUIPAMENTOS -  DEPRECIAÇÃO ANUAL DE 20%</t>
  </si>
  <si>
    <t xml:space="preserve">Valores em R$</t>
  </si>
  <si>
    <t xml:space="preserve">Item</t>
  </si>
  <si>
    <t xml:space="preserve">Especificação</t>
  </si>
  <si>
    <t xml:space="preserve">Quant.</t>
  </si>
  <si>
    <t xml:space="preserve">Valor Unitário</t>
  </si>
  <si>
    <t xml:space="preserve">Valor Total</t>
  </si>
  <si>
    <t xml:space="preserve">Depreciação 20% ao Ano</t>
  </si>
  <si>
    <t xml:space="preserve">Repasse Mensal</t>
  </si>
  <si>
    <t xml:space="preserve">Carrinho para enrolar mangueira, com carretel acoplado, capacidade: 50 metros de mangueira. Componentes básicos: engate rápido e mangotinho. Tipo: enrolador mangueira de jardim</t>
  </si>
  <si>
    <t xml:space="preserve">Lavadora de alta pressão. Pressão mínima 1800 Psi, vazão mínima 400 L/H, monofásica, potência mínima 1900W, mangueira com no mínimo 10 metros</t>
  </si>
  <si>
    <t xml:space="preserve">Escada extensível de alumínio: 10 degraus, altura fechada: 3,30 M, altura aberta: 5,70. Características adicionais: sapata borracha, capacidade 120 Kg e degrau plano</t>
  </si>
  <si>
    <t xml:space="preserve">Total da Depreciação de Máquinas e Equipamentos de Servente</t>
  </si>
  <si>
    <t xml:space="preserve">ANEXO V - CUSTOS ESTIMATIVOS DE MATERIAIS DE LIMPEZA E COPA</t>
  </si>
  <si>
    <t xml:space="preserve">DESCRIÇÃO DO MATERIAL</t>
  </si>
  <si>
    <t xml:space="preserve">VALORES PACTUADOS</t>
  </si>
  <si>
    <t xml:space="preserve">QUANTIDADE DE REFERÊNCIA</t>
  </si>
  <si>
    <t xml:space="preserve">Itens</t>
  </si>
  <si>
    <t xml:space="preserve">Material</t>
  </si>
  <si>
    <t xml:space="preserve">Marcas de Referência</t>
  </si>
  <si>
    <t xml:space="preserve">Unidade</t>
  </si>
  <si>
    <t xml:space="preserve">Quantidade Mensal</t>
  </si>
  <si>
    <t xml:space="preserve">Preço Unitário</t>
  </si>
  <si>
    <t xml:space="preserve">Custo Mensal</t>
  </si>
  <si>
    <t xml:space="preserve">QUANTIDADE</t>
  </si>
  <si>
    <t xml:space="preserve">PERIODICIDADE</t>
  </si>
  <si>
    <t xml:space="preserve">Água Sanitária 5 litros</t>
  </si>
  <si>
    <t xml:space="preserve">Globo ou similar</t>
  </si>
  <si>
    <t xml:space="preserve">Galão</t>
  </si>
  <si>
    <t xml:space="preserve">Mensal</t>
  </si>
  <si>
    <t xml:space="preserve">Álcool 70% líquido 1 litro</t>
  </si>
  <si>
    <t xml:space="preserve">Sol ou similiar</t>
  </si>
  <si>
    <t xml:space="preserve">Álcool gel 70° para mãos 5 litros</t>
  </si>
  <si>
    <t xml:space="preserve">Start, Polibrim  ou similiar</t>
  </si>
  <si>
    <t xml:space="preserve">Balde de 15 litros, material resistente, com alça metálica</t>
  </si>
  <si>
    <t xml:space="preserve">Dasla ou similar</t>
  </si>
  <si>
    <t xml:space="preserve">Anual</t>
  </si>
  <si>
    <t xml:space="preserve">Desentupidor de pias tipo sanfonado, material Borracha flexível, cabo de 20 cm,  resistente</t>
  </si>
  <si>
    <t xml:space="preserve">condor ou similar</t>
  </si>
  <si>
    <t xml:space="preserve">Desentupidor de vaso sanitário de borracha flexível, cabo cilíndrico em madeira de 50 cm</t>
  </si>
  <si>
    <t xml:space="preserve">Desinfetante para banheiro bactericida e germicida, com fragrâncias de pinho, lavanda e floral - galão 5L</t>
  </si>
  <si>
    <t xml:space="preserve">Polibrim ou similar , Pinho Sol</t>
  </si>
  <si>
    <t xml:space="preserve">Detergente Neutro de uso geral - 5 litros</t>
  </si>
  <si>
    <t xml:space="preserve">Brimpol ou similar </t>
  </si>
  <si>
    <t xml:space="preserve">Detergente Neutro para cozinha, desengordurante - 500ml</t>
  </si>
  <si>
    <t xml:space="preserve">Ypê, Limpol ou similar</t>
  </si>
  <si>
    <t xml:space="preserve">Escova de Nylon para lavar roupas</t>
  </si>
  <si>
    <t xml:space="preserve">M&amp;S ou similar</t>
  </si>
  <si>
    <t xml:space="preserve"> Esponja de lavar louças dupla face: esponja/fibra sintética - primeira qualidade</t>
  </si>
  <si>
    <t xml:space="preserve">3M, Esfrebom ou similar</t>
  </si>
  <si>
    <t xml:space="preserve">Flanela de limpeza branca 30cmx50cm - 100% algodão</t>
  </si>
  <si>
    <t xml:space="preserve">atacado litoral</t>
  </si>
  <si>
    <t xml:space="preserve">Bimestral</t>
  </si>
  <si>
    <t xml:space="preserve">Guardanapos de papel branco Fls simples 33x30 c 50fls</t>
  </si>
  <si>
    <t xml:space="preserve">Solopel ou similar</t>
  </si>
  <si>
    <t xml:space="preserve">Pacote</t>
  </si>
  <si>
    <t xml:space="preserve">Esponja de aço, pacote de 60 gr com 8 unidades</t>
  </si>
  <si>
    <t xml:space="preserve">Bombril ou similar</t>
  </si>
  <si>
    <t xml:space="preserve">Limpa vidros 500ml embalagem plástica transparente. Ação limpa e desengordura</t>
  </si>
  <si>
    <t xml:space="preserve">Q-otimo , UAU ou similar</t>
  </si>
  <si>
    <t xml:space="preserve">Luva de látex forrada para limpeza (par) -antiderrapante, para proteção contra agentes abrasivos, químicos e cortantes, cor amarela</t>
  </si>
  <si>
    <t xml:space="preserve">Work ou similar</t>
  </si>
  <si>
    <t xml:space="preserve">Limpador multiuso líquido para limpeza geral, perfumado - embalagem de 500ml</t>
  </si>
  <si>
    <t xml:space="preserve">Veja, UAU ou similar</t>
  </si>
  <si>
    <t xml:space="preserve">Pá coletora de lixo sem tampa, com cabo vertical de madeira de 80 cm, material do coletor: poliestireno</t>
  </si>
  <si>
    <t xml:space="preserve">Cinfiança ou similar</t>
  </si>
  <si>
    <t xml:space="preserve">Pano de prato branco liso - 100% algodão. Tamanho mínimo: 40cm x 60cm</t>
  </si>
  <si>
    <t xml:space="preserve">Prisco ou similar</t>
  </si>
  <si>
    <t xml:space="preserve">Papel Higiênico, branco, fol. dupla, 12 rolos de 30 m - 1ª qualidade</t>
  </si>
  <si>
    <t xml:space="preserve">Milli, Neve ou similar</t>
  </si>
  <si>
    <t xml:space="preserve">Papel toalha branco 2 dobras, interfolhas, com 1000 fls - boa qualidade</t>
  </si>
  <si>
    <t xml:space="preserve">Elite, Nobre ou similar</t>
  </si>
  <si>
    <t xml:space="preserve">Pedra sanitária com suporte e rede protetora para vaso sanitário, 25 g, fragrâncias diversas</t>
  </si>
  <si>
    <t xml:space="preserve">Pato, Glade ou similar</t>
  </si>
  <si>
    <t xml:space="preserve">Rodo de borracha, suporte: plástico resistente de no mínimo 60 cm, com borracha dupla, cabo rosqueado de madeira, tamanho mínimo 1,20m</t>
  </si>
  <si>
    <t xml:space="preserve">Confiança ou similar</t>
  </si>
  <si>
    <t xml:space="preserve">Sabão em barra c/ glicerina, neutro, embalagem com 5 unidades de 200 gr cada</t>
  </si>
  <si>
    <t xml:space="preserve">Minuano, Ypê ou similar</t>
  </si>
  <si>
    <t xml:space="preserve">Sabão em pó pacote de 1kg - primeira qualidade</t>
  </si>
  <si>
    <t xml:space="preserve">Ipê, Limpol, Tixan ou similar</t>
  </si>
  <si>
    <t xml:space="preserve">Sabonete líquido para as mãos. Primeira qualidade: concentrado, PH 5,0 a 7,5, com componentes hidratantes, fragrâncias erva doce, rosas, alecrim, lavanda - 5 litros</t>
  </si>
  <si>
    <t xml:space="preserve">Uniclass, Soft ou similar</t>
  </si>
  <si>
    <t xml:space="preserve">Saco alvejado branco para chão, duplo, 100% algodão, tamanho mínimo 42cm x 66 cms</t>
  </si>
  <si>
    <t xml:space="preserve">Lixoman ou similar</t>
  </si>
  <si>
    <t xml:space="preserve">Saco de lixo 15 litros, super resistente, fundo multi solda, cento</t>
  </si>
  <si>
    <t xml:space="preserve">Dover Roll, Dubono ou similar</t>
  </si>
  <si>
    <t xml:space="preserve">Cento</t>
  </si>
  <si>
    <t xml:space="preserve">Saco de lixo 100 litros, super resistente, fundo multi solda, cento</t>
  </si>
  <si>
    <t xml:space="preserve">Vassoura de pelo sintético. Corpo de 60 cm, cabo de madeira rosqueado de 1,20m</t>
  </si>
  <si>
    <t xml:space="preserve">Vassoura de piaçava, corpo de 40 cm, comprimento das cerdas mínimo 13 cm, cabo madeira de 1,2 m</t>
  </si>
  <si>
    <t xml:space="preserve">Vassoura redonda p/ vaso sanitário com suporte</t>
  </si>
  <si>
    <t xml:space="preserve">Mangueira de 1/2 polegada, reforçada, antitorção, comprimento 50m</t>
  </si>
  <si>
    <t xml:space="preserve">Tramontina ou similar</t>
  </si>
  <si>
    <t xml:space="preserve">CUSTO MENSAL</t>
  </si>
  <si>
    <t xml:space="preserve">                                  Tribunal Regional Federal da Sexta Região</t>
  </si>
  <si>
    <t xml:space="preserve">                          Seção Judiciária de Minas Gerais</t>
  </si>
  <si>
    <t xml:space="preserve">                          Subseção Judiciária de Viçosa</t>
  </si>
  <si>
    <t xml:space="preserve">ANEXO VI - CUSTOS ESTIMATIVOS DE MATERIAIS DE  COPA</t>
  </si>
  <si>
    <t xml:space="preserve">Valores em Reais</t>
  </si>
  <si>
    <t xml:space="preserve">Periodicidade</t>
  </si>
  <si>
    <t xml:space="preserve">Desentupidor de pia</t>
  </si>
  <si>
    <t xml:space="preserve">anual</t>
  </si>
  <si>
    <t xml:space="preserve">Detergente neutro 500ml</t>
  </si>
  <si>
    <t xml:space="preserve">Ipê, Limpol ou similar</t>
  </si>
  <si>
    <t xml:space="preserve">mensal</t>
  </si>
  <si>
    <t xml:space="preserve">Esponja dupla face</t>
  </si>
  <si>
    <t xml:space="preserve">Bom Bril ou similar</t>
  </si>
  <si>
    <t xml:space="preserve">Guadarnapo de papel branco, folha simples - 33x30 cm/pct 50 folhas</t>
  </si>
  <si>
    <t xml:space="preserve">Santepel</t>
  </si>
  <si>
    <t xml:space="preserve">Multiuso - 500ml</t>
  </si>
  <si>
    <t xml:space="preserve">Veja ou similar</t>
  </si>
  <si>
    <t xml:space="preserve"> Pano de prato branco</t>
  </si>
  <si>
    <t xml:space="preserve">bimestral</t>
  </si>
  <si>
    <t xml:space="preserve">ANEXO VII - PLANILHA DE CUSTO E FORMAÇÃO DE PREÇO MENSAL ESTIMATIVO -  PLANILHA DE DADOS</t>
  </si>
  <si>
    <t xml:space="preserve">CCT 2023</t>
  </si>
  <si>
    <t xml:space="preserve">Elemento Despesa</t>
  </si>
  <si>
    <t xml:space="preserve">Descrição das Categorias</t>
  </si>
  <si>
    <t xml:space="preserve">Carga Horária (horas)</t>
  </si>
  <si>
    <t xml:space="preserve">Salário Base I (para 220h/m)</t>
  </si>
  <si>
    <t xml:space="preserve">Salário Base p/ cálculo do ac. de copeira</t>
  </si>
  <si>
    <t xml:space="preserve">Percentual Adicional</t>
  </si>
  <si>
    <t xml:space="preserve">Salário Base II</t>
  </si>
  <si>
    <t xml:space="preserve">Salário Pago</t>
  </si>
  <si>
    <t xml:space="preserve">Uniforme</t>
  </si>
  <si>
    <t xml:space="preserve">Material de Limpeza Rateado</t>
  </si>
  <si>
    <t xml:space="preserve">Material de Copa Rateado</t>
  </si>
  <si>
    <t xml:space="preserve">Total do Material de Limpeza</t>
  </si>
  <si>
    <t xml:space="preserve">Total do Material de Copa</t>
  </si>
  <si>
    <t xml:space="preserve">Depreciação Rateada</t>
  </si>
  <si>
    <t xml:space="preserve">Total da Depreciação</t>
  </si>
  <si>
    <t xml:space="preserve">Quant. Total de Profissional para Rateio </t>
  </si>
  <si>
    <t xml:space="preserve">3339037-02</t>
  </si>
  <si>
    <t xml:space="preserve">Servente de Limpeza com Acúmulo de copeira</t>
  </si>
  <si>
    <t xml:space="preserve">Servente de Limpeza (40%)</t>
  </si>
  <si>
    <t xml:space="preserve">3339037-01</t>
  </si>
  <si>
    <t xml:space="preserve">ENCARGOS SOCIAIS E TRABALHISTAS</t>
  </si>
  <si>
    <t xml:space="preserve">Percentual de Encargos</t>
  </si>
  <si>
    <t xml:space="preserve">BENEFÍCIOS</t>
  </si>
  <si>
    <t xml:space="preserve">Seguro de Vida em Grupo</t>
  </si>
  <si>
    <t xml:space="preserve">Programa de Assistência Familiar - PAF</t>
  </si>
  <si>
    <t xml:space="preserve">Vale Transporte</t>
  </si>
  <si>
    <t xml:space="preserve">Custeio Funcionários</t>
  </si>
  <si>
    <t xml:space="preserve">Vale Alimentação</t>
  </si>
  <si>
    <t xml:space="preserve">Dias úteis </t>
  </si>
  <si>
    <t xml:space="preserve">MONTANTE C</t>
  </si>
  <si>
    <t xml:space="preserve">Despesas Administrativas</t>
  </si>
  <si>
    <t xml:space="preserve">Lucro</t>
  </si>
  <si>
    <t xml:space="preserve">SALÁRIO MINÍMO - 2023</t>
  </si>
  <si>
    <t xml:space="preserve">Salário Mínimo</t>
  </si>
  <si>
    <t xml:space="preserve">COFINS</t>
  </si>
  <si>
    <t xml:space="preserve">PIS/PASEP</t>
  </si>
  <si>
    <t xml:space="preserve">ISSQN</t>
  </si>
  <si>
    <t xml:space="preserve">Subseção Judiciária deViçosa </t>
  </si>
  <si>
    <t xml:space="preserve">Planilha de Custo e Formação de Preço Mensal Estimativo – ANEXO VIII</t>
  </si>
  <si>
    <t xml:space="preserve">Auxiliar Administrativo – 200h/m</t>
  </si>
  <si>
    <t xml:space="preserve">CUSTO UNITÁRIO DA CATEGORIA</t>
  </si>
  <si>
    <t xml:space="preserve">VALOR MATERIAL</t>
  </si>
  <si>
    <t xml:space="preserve">VALOR VALE-TRANSPORTE</t>
  </si>
  <si>
    <t xml:space="preserve">3339037-01 – Apoio Administrativo, Técnico e Operacional </t>
  </si>
  <si>
    <t xml:space="preserve">MONTANTE “A” – Mão de Obra</t>
  </si>
  <si>
    <t xml:space="preserve">Função</t>
  </si>
  <si>
    <t xml:space="preserve">Carga Horária Mensal</t>
  </si>
  <si>
    <t xml:space="preserve">Salário Base</t>
  </si>
  <si>
    <t xml:space="preserve">TOTAL REMUNERAÇÃO</t>
  </si>
  <si>
    <t xml:space="preserve">Encargos sociais </t>
  </si>
  <si>
    <t xml:space="preserve">Encargos Sociais e Trabalhistas</t>
  </si>
  <si>
    <t xml:space="preserve">Total do Montante "A" ( Mão-de-Obra)</t>
  </si>
  <si>
    <t xml:space="preserve">MONTANTE "B" - INSUMOS</t>
  </si>
  <si>
    <t xml:space="preserve">Valores Unitários</t>
  </si>
  <si>
    <t xml:space="preserve">VALOR</t>
  </si>
  <si>
    <t xml:space="preserve">Seguro de vida em grupo com auxílio funeral/família</t>
  </si>
  <si>
    <t xml:space="preserve">Programa de Assistência Familiar – PAF</t>
  </si>
  <si>
    <t xml:space="preserve">Vale Alimentação/Refeição</t>
  </si>
  <si>
    <t xml:space="preserve">Material de Limpeza</t>
  </si>
  <si>
    <t xml:space="preserve">Material de Copa</t>
  </si>
  <si>
    <t xml:space="preserve">Depreciação de Equipamentos</t>
  </si>
  <si>
    <t xml:space="preserve">Total do Montante "B" (Insumos)</t>
  </si>
  <si>
    <t xml:space="preserve">Montante "A" + Montante "B"</t>
  </si>
  <si>
    <t xml:space="preserve">MONTANTE "C" - DEMAIS COMPONENTES</t>
  </si>
  <si>
    <t xml:space="preserve">ITENS</t>
  </si>
  <si>
    <t xml:space="preserve">Despesas administrativas/operacionais</t>
  </si>
  <si>
    <t xml:space="preserve">Base Cálculo Lucro</t>
  </si>
  <si>
    <t xml:space="preserve">Total do Montante "C" (Demais componentes)</t>
  </si>
  <si>
    <t xml:space="preserve">Montante "A" + Montante "B" + Montante "C"</t>
  </si>
  <si>
    <t xml:space="preserve">MONTANTE "D" - TRIBUTOS</t>
  </si>
  <si>
    <t xml:space="preserve">Total do Montante "D" (Tributos)</t>
  </si>
  <si>
    <t xml:space="preserve">VALOR MENSAL DO AUXILIAR ADMINISTRATIVO 200H/M</t>
  </si>
  <si>
    <t xml:space="preserve">FATOR K</t>
  </si>
  <si>
    <t xml:space="preserve">Servente Limpeza ac. Copeira – 200h/m</t>
  </si>
  <si>
    <t xml:space="preserve">3339037-02 – Limpeza e Conservação</t>
  </si>
  <si>
    <t xml:space="preserve">MONTANTE A – Mão de Obra</t>
  </si>
  <si>
    <t xml:space="preserve">FUNÇÃO</t>
  </si>
  <si>
    <t xml:space="preserve">Servente Limpeza ac. Copeira</t>
  </si>
  <si>
    <t xml:space="preserve">Adicional de acúmulo - função copeira</t>
  </si>
  <si>
    <t xml:space="preserve"> Base Cálculo Lucro</t>
  </si>
  <si>
    <t xml:space="preserve">VALOR MENSAL DA SERVENTE AC. COPEIRA – 200H/M</t>
  </si>
  <si>
    <t xml:space="preserve">Servente de Limpeza – 200h/m (40%)</t>
  </si>
  <si>
    <t xml:space="preserve">VALOR  MATERIAL</t>
  </si>
  <si>
    <t xml:space="preserve">CUSTO INSALUBRIDADE</t>
  </si>
  <si>
    <t xml:space="preserve">Valor em R$</t>
  </si>
  <si>
    <t xml:space="preserve">SALÁRIO COM MATERIAL</t>
  </si>
  <si>
    <t xml:space="preserve">SALÁRIO SEM MATERIAL</t>
  </si>
  <si>
    <t xml:space="preserve">Servente de Limpeza</t>
  </si>
  <si>
    <t xml:space="preserve">Adicional de Insalubridade</t>
  </si>
  <si>
    <t xml:space="preserve">Encargos Sociais e Trabalhistas </t>
  </si>
  <si>
    <t xml:space="preserve">Valores unitários</t>
  </si>
  <si>
    <t xml:space="preserve">VALOR MENSAL DA SERVENTE DE LIMPEZA – 200H/M (40%)</t>
  </si>
  <si>
    <t xml:space="preserve">ANEXO IX</t>
  </si>
  <si>
    <t xml:space="preserve">Planilha de Custo Mensal do Profissional Substituto do Titular em Férias</t>
  </si>
  <si>
    <t xml:space="preserve"> Os valores foram arredondados em 2 casas decimais, segundo a Norma ABNT NBR 5891. </t>
  </si>
  <si>
    <t xml:space="preserve">Auxiliar Administrativo 200h/m</t>
  </si>
  <si>
    <t xml:space="preserve">Servente 200h/m (ac.copeiragem)</t>
  </si>
  <si>
    <t xml:space="preserve">Servente 200h (40%)</t>
  </si>
  <si>
    <t xml:space="preserve">4.5</t>
  </si>
  <si>
    <t xml:space="preserve">%</t>
  </si>
  <si>
    <t xml:space="preserve">Total da Remuneração</t>
  </si>
  <si>
    <t xml:space="preserve">A</t>
  </si>
  <si>
    <t xml:space="preserve">G</t>
  </si>
  <si>
    <t xml:space="preserve">Total do custo mensal de reposição do profissional ausente em férias</t>
  </si>
  <si>
    <t xml:space="preserve">Total do custo ANUAL de reposição do profissional ausente em férias</t>
  </si>
  <si>
    <t xml:space="preserve">Módulo 2 - Benefícios Mensais e Diários</t>
  </si>
  <si>
    <t xml:space="preserve">B</t>
  </si>
  <si>
    <t xml:space="preserve">F</t>
  </si>
  <si>
    <t xml:space="preserve">Outros </t>
  </si>
  <si>
    <t xml:space="preserve">Total de benefícios mensais e diários</t>
  </si>
  <si>
    <t xml:space="preserve">Módulo 5 - Custos Indiretos, Lucros e Tributos</t>
  </si>
  <si>
    <t xml:space="preserve">Custos Indiretos (Despesas Operacionais e Administrativas)</t>
  </si>
  <si>
    <t xml:space="preserve">C</t>
  </si>
  <si>
    <t xml:space="preserve">Tributos</t>
  </si>
  <si>
    <t xml:space="preserve">C.1</t>
  </si>
  <si>
    <t xml:space="preserve">Tributos Federais (PIS E COFINS)</t>
  </si>
  <si>
    <t xml:space="preserve">C.2</t>
  </si>
  <si>
    <t xml:space="preserve">Tributos Estaduais (especificar)</t>
  </si>
  <si>
    <t xml:space="preserve">C.3</t>
  </si>
  <si>
    <t xml:space="preserve">Tributos Municipais (ISS)</t>
  </si>
  <si>
    <t xml:space="preserve">C.4</t>
  </si>
  <si>
    <t xml:space="preserve">Outros tributos (especificar)</t>
  </si>
  <si>
    <t xml:space="preserve">Total dos custos indiretos e tributos</t>
  </si>
  <si>
    <t xml:space="preserve">CUSTO TOTAL DO PROFISSIONAL SUBSTITUTO</t>
  </si>
  <si>
    <t xml:space="preserve">Resumo do custo por empregado substituto do titular em férias</t>
  </si>
  <si>
    <t xml:space="preserve">Mão-de-obra vinculada à execução contratual (valor por empregado)</t>
  </si>
  <si>
    <t xml:space="preserve">Módulo 1 - Composição Remuneração * 12 (Anual)</t>
  </si>
  <si>
    <t xml:space="preserve">Subtotal (A+B)</t>
  </si>
  <si>
    <t xml:space="preserve">E</t>
  </si>
  <si>
    <t xml:space="preserve">Módulo 5 - Custos Indiretos, Tributos e Lucro</t>
  </si>
  <si>
    <t xml:space="preserve">Valor total Mensal por empregado substituto do titular em férias (R$)</t>
  </si>
  <si>
    <t xml:space="preserve">ANEXO X - PLANILHA DE CUSTOS E FORMAÇÃO DE PREÇOS MENSAL ESTIMATIVOS </t>
  </si>
  <si>
    <t xml:space="preserve">PREÇO MENSAL GLOBAL – SUBSEÇÃO JUDICIÁRIA DE VIÇOSA</t>
  </si>
  <si>
    <t xml:space="preserve">VALORES EM R$</t>
  </si>
  <si>
    <t xml:space="preserve">ELEMENTO DE DESPESA</t>
  </si>
  <si>
    <t xml:space="preserve">CATEGORIA PROFISSIONAL</t>
  </si>
  <si>
    <t xml:space="preserve">FATURAMENTO MENSAL</t>
  </si>
  <si>
    <t xml:space="preserve">TOTAL DO FATURAMENTO MENSAL</t>
  </si>
  <si>
    <t xml:space="preserve">DISTRIBUIÇÃO POR ELEMENTO DE DESPESA</t>
  </si>
  <si>
    <t xml:space="preserve">GLOSA VALE-TRANSPORTE</t>
  </si>
  <si>
    <t xml:space="preserve">GLOSA DE ATRASOS, FALTAS E DESCONTO DO TITULAR EM FÉRIAS (sem material)</t>
  </si>
  <si>
    <t xml:space="preserve">Homem-Mês</t>
  </si>
  <si>
    <t xml:space="preserve">Custo Mensal do vale-transporte da categoria com Encargos</t>
  </si>
  <si>
    <t xml:space="preserve">GLOSA</t>
  </si>
  <si>
    <t xml:space="preserve">Custo Homem-Mês               (sem material)</t>
  </si>
  <si>
    <t xml:space="preserve">Glosa de Atrasos e Faltas</t>
  </si>
  <si>
    <t xml:space="preserve">Desconto Mensal do Titular em Férias sem substituição</t>
  </si>
  <si>
    <t xml:space="preserve">Nº dias de férias da servente insalubre quando os serviços insalubres forem redirecionados para outra servente do quadro</t>
  </si>
  <si>
    <t xml:space="preserve">Valor glosa da servente insalubre quando serviço insalubre é realizado por outra servente do quadro</t>
  </si>
  <si>
    <t xml:space="preserve">Total da Glosa de Atrasos, Faltas e Desconto do Titular em Férias sem substituição</t>
  </si>
  <si>
    <t xml:space="preserve">Custo Unitário da categoria</t>
  </si>
  <si>
    <t xml:space="preserve">Custo Mensal da categoria</t>
  </si>
  <si>
    <t xml:space="preserve">Dias de Afastamento</t>
  </si>
  <si>
    <t xml:space="preserve">Valor da Glosa do vale-transporte da categoria</t>
  </si>
  <si>
    <t xml:space="preserve">Quant. Atrasos e Faltas</t>
  </si>
  <si>
    <t xml:space="preserve">Valor da Glosa de Atrasos e Faltas</t>
  </si>
  <si>
    <t xml:space="preserve">Dias de Férias</t>
  </si>
  <si>
    <t xml:space="preserve">Valor do Desconto Mensal </t>
  </si>
  <si>
    <t xml:space="preserve">VALOR DO MATERIAL</t>
  </si>
  <si>
    <t xml:space="preserve">MÊS:</t>
  </si>
  <si>
    <t xml:space="preserve">OCORRÊNCIAS</t>
  </si>
  <si>
    <t xml:space="preserve">TOTAL DO FATURAMENTO MENSAL SEM MATERIAL DE INSUMO</t>
  </si>
  <si>
    <t xml:space="preserve">CATEGORIAS</t>
  </si>
  <si>
    <t xml:space="preserve">Nº DIAS DE GLOSA VT</t>
  </si>
  <si>
    <t xml:space="preserve">Nº DIAS FALTA</t>
  </si>
  <si>
    <t xml:space="preserve">Nº DIAS FÉRIAS</t>
  </si>
  <si>
    <t xml:space="preserve">DIAS DESLOCAMENTO INSALUBRIDADE</t>
  </si>
  <si>
    <t xml:space="preserve">OBSERVAÇÕES:</t>
  </si>
  <si>
    <t xml:space="preserve">Na hipótese do vale-transporte não ser fornecido por opção dos funcionários, NÃO será efetuada a glosa do valor correspondente com as devidas incidências nos montantes “C” e “D” (Pae 0026574-29.2020.4.01.8008) Despacho SJMG-SECAD, id. 13284426.</t>
  </si>
  <si>
    <t xml:space="preserve">VALOR GLOSA</t>
  </si>
  <si>
    <t xml:space="preserve">MATERIAIS</t>
  </si>
  <si>
    <t xml:space="preserve">PERCENTUAIS</t>
  </si>
  <si>
    <t xml:space="preserve">R$ MENSAL CONSUMIDO</t>
  </si>
  <si>
    <t xml:space="preserve">Despesa Adm/op</t>
  </si>
  <si>
    <t xml:space="preserve">Total</t>
  </si>
</sst>
</file>

<file path=xl/styles.xml><?xml version="1.0" encoding="utf-8"?>
<styleSheet xmlns="http://schemas.openxmlformats.org/spreadsheetml/2006/main">
  <numFmts count="20">
    <numFmt numFmtId="164" formatCode="General"/>
    <numFmt numFmtId="165" formatCode="&quot;Verdadeiro&quot;;&quot;Verdadeiro&quot;;&quot;Falso&quot;"/>
    <numFmt numFmtId="166" formatCode="_(&quot;Cr$&quot;* #,##0.00_);_(&quot;Cr$&quot;* \(#,##0.00\);_(&quot;Cr$&quot;* \-??_);_(@_)"/>
    <numFmt numFmtId="167" formatCode="_(&quot;R$ &quot;* #,##0.00_);_(&quot;R$ &quot;* \(#,##0.00\);_(&quot;R$ &quot;* \-??_);_(@_)"/>
    <numFmt numFmtId="168" formatCode="_(&quot;R$&quot;* #,##0.00_);_(&quot;R$&quot;* \(#,##0.00\);_(&quot;R$&quot;* \-??_);_(@_)"/>
    <numFmt numFmtId="169" formatCode="0%"/>
    <numFmt numFmtId="170" formatCode="_(* #,##0.00_);_(* \(#,##0.00\);_(* \-??_);_(@_)"/>
    <numFmt numFmtId="171" formatCode="_-* #,##0.00_-;\-* #,##0.00_-;_-* \-??_-;_-@_-"/>
    <numFmt numFmtId="172" formatCode="_(* #,##0_);_(* \(#,##0\);_(* \-_);_(@_)"/>
    <numFmt numFmtId="173" formatCode="_-* #,##0_-;\-* #,##0_-;_-* \-_-;_-@_-"/>
    <numFmt numFmtId="174" formatCode="0.00%"/>
    <numFmt numFmtId="175" formatCode="0.0000%"/>
    <numFmt numFmtId="176" formatCode="#,##0.00"/>
    <numFmt numFmtId="177" formatCode="_(* #,##0_);_(* \(#,##0\);_(* \-??_);_(@_)"/>
    <numFmt numFmtId="178" formatCode="@"/>
    <numFmt numFmtId="179" formatCode="0.00"/>
    <numFmt numFmtId="180" formatCode="0"/>
    <numFmt numFmtId="181" formatCode="#,##0"/>
    <numFmt numFmtId="182" formatCode="[$R$-416]\ #,##0.00;[RED]\-[$R$-416]\ #,##0.00"/>
    <numFmt numFmtId="183" formatCode="[$R$-416]\ #,##0.00;\-[$R$-416]\ #,##0.00"/>
  </numFmts>
  <fonts count="63">
    <font>
      <sz val="10"/>
      <name val="Times New Roman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333333"/>
      <name val="Calibri"/>
      <family val="2"/>
      <charset val="1"/>
    </font>
    <font>
      <sz val="11"/>
      <color rgb="FF424242"/>
      <name val="Calibri"/>
      <family val="2"/>
      <charset val="1"/>
    </font>
    <font>
      <b val="true"/>
      <sz val="15"/>
      <color rgb="FF3333CC"/>
      <name val="Calibri"/>
      <family val="2"/>
      <charset val="1"/>
    </font>
    <font>
      <sz val="11"/>
      <color rgb="FF000000"/>
      <name val="Times New Roman"/>
      <family val="1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sz val="14"/>
      <color rgb="FFFFFFFF"/>
      <name val="Times New Roman"/>
      <family val="1"/>
      <charset val="1"/>
    </font>
    <font>
      <b val="true"/>
      <sz val="14"/>
      <name val="Times New Roman"/>
      <family val="1"/>
      <charset val="1"/>
    </font>
    <font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6"/>
      <name val="Times New Roman"/>
      <family val="1"/>
      <charset val="1"/>
    </font>
    <font>
      <b val="true"/>
      <sz val="28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2"/>
      <color rgb="FFFFFFFF"/>
      <name val="Times New Roman"/>
      <family val="1"/>
      <charset val="1"/>
    </font>
    <font>
      <b val="true"/>
      <sz val="12"/>
      <color rgb="FFFF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FFFFFF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Times New Roman"/>
      <family val="0"/>
      <charset val="1"/>
    </font>
    <font>
      <b val="true"/>
      <sz val="10"/>
      <name val="Calibri"/>
      <family val="2"/>
      <charset val="1"/>
    </font>
    <font>
      <b val="true"/>
      <sz val="10"/>
      <color rgb="FF000000"/>
      <name val="Times New Roman"/>
      <family val="1"/>
      <charset val="1"/>
    </font>
    <font>
      <u val="single"/>
      <sz val="11"/>
      <color rgb="FF0000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4"/>
      <name val="Arial"/>
      <family val="2"/>
      <charset val="1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.5"/>
      <name val="Arial"/>
      <family val="2"/>
      <charset val="1"/>
    </font>
    <font>
      <sz val="8"/>
      <name val="Arial"/>
      <family val="2"/>
      <charset val="1"/>
    </font>
    <font>
      <sz val="10"/>
      <name val="Calibri"/>
      <family val="2"/>
      <charset val="1"/>
    </font>
    <font>
      <sz val="11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6"/>
      <color rgb="FFFFFFFF"/>
      <name val="Arial"/>
      <family val="2"/>
      <charset val="1"/>
    </font>
    <font>
      <b val="true"/>
      <sz val="16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3"/>
      <name val="Calibri"/>
      <family val="2"/>
      <charset val="1"/>
    </font>
    <font>
      <b val="true"/>
      <i val="true"/>
      <sz val="13"/>
      <name val="Calibri"/>
      <family val="2"/>
      <charset val="1"/>
    </font>
    <font>
      <b val="true"/>
      <sz val="12.5"/>
      <name val="Calibri"/>
      <family val="2"/>
      <charset val="1"/>
    </font>
    <font>
      <b val="true"/>
      <sz val="14"/>
      <name val="Calibri"/>
      <family val="2"/>
      <charset val="1"/>
    </font>
    <font>
      <sz val="7"/>
      <name val="Arial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9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4"/>
      <name val="Times New Roman"/>
      <family val="0"/>
      <charset val="1"/>
    </font>
    <font>
      <b val="true"/>
      <u val="single"/>
      <sz val="11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C6D9F1"/>
        <bgColor rgb="FFCCCCFF"/>
      </patternFill>
    </fill>
    <fill>
      <patternFill patternType="solid">
        <fgColor rgb="FFD7E4BD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10243E"/>
        <bgColor rgb="FF002060"/>
      </patternFill>
    </fill>
    <fill>
      <patternFill patternType="solid">
        <fgColor rgb="FF93CDDD"/>
        <bgColor rgb="FFA6CAF0"/>
      </patternFill>
    </fill>
    <fill>
      <patternFill patternType="solid">
        <fgColor rgb="FFA6CAF0"/>
        <bgColor rgb="FFB9CDE5"/>
      </patternFill>
    </fill>
    <fill>
      <patternFill patternType="solid">
        <fgColor rgb="FFFF0000"/>
        <bgColor rgb="FFC00000"/>
      </patternFill>
    </fill>
    <fill>
      <patternFill patternType="solid">
        <fgColor rgb="FFDDDDDD"/>
        <bgColor rgb="FFD7E4BD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C6D9F1"/>
      </patternFill>
    </fill>
    <fill>
      <patternFill patternType="solid">
        <fgColor rgb="FFCCCCCC"/>
        <bgColor rgb="FFB9CDE5"/>
      </patternFill>
    </fill>
    <fill>
      <patternFill patternType="solid">
        <fgColor rgb="FF666666"/>
        <bgColor rgb="FF808080"/>
      </patternFill>
    </fill>
  </fills>
  <borders count="65">
    <border diagonalUp="false" diagonalDown="false">
      <left/>
      <right/>
      <top/>
      <bottom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 style="thin"/>
      <top style="thin"/>
      <bottom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1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5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5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4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4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4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4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5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4" fillId="0" borderId="0" applyFont="true" applyBorder="false" applyAlignment="true" applyProtection="false">
      <alignment horizontal="general" vertical="bottom" textRotation="0" wrapText="false" indent="0" shrinkToFit="false"/>
    </xf>
    <xf numFmtId="170" fontId="4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4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4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6" fillId="0" borderId="0" applyFont="true" applyBorder="false" applyAlignment="true" applyProtection="false">
      <alignment horizontal="general" vertical="bottom" textRotation="0" wrapText="false" indent="0" shrinkToFit="false"/>
    </xf>
    <xf numFmtId="171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1" applyFont="true" applyBorder="tru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6" fillId="0" borderId="0" applyFont="true" applyBorder="false" applyAlignment="true" applyProtection="false">
      <alignment horizontal="general" vertical="bottom" textRotation="0" wrapText="false" indent="0" shrinkToFit="false"/>
    </xf>
    <xf numFmtId="170" fontId="4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170" fontId="6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4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4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4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1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2" xfId="4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3" xfId="4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4" xfId="49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2" xfId="4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3" borderId="14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4" borderId="12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15" xfId="4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4" fillId="4" borderId="14" xfId="39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4" fillId="4" borderId="14" xfId="39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" fillId="0" borderId="14" xfId="39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4" borderId="12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12" fillId="4" borderId="14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1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2" borderId="12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3" xfId="4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2" fillId="2" borderId="16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2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13" fillId="0" borderId="17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2" xfId="4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4" fillId="0" borderId="14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13" fillId="0" borderId="14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4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2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4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4" fillId="0" borderId="14" xfId="39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4" fillId="0" borderId="17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12" fillId="0" borderId="14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6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15" fillId="0" borderId="14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5" fontId="15" fillId="0" borderId="14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5" fillId="4" borderId="14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16" fillId="0" borderId="1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7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2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3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13" fillId="0" borderId="14" xfId="3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4" fillId="0" borderId="14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8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12" fillId="2" borderId="19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4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4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4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5" xfId="4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0" xfId="4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6" xfId="4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20" xfId="4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49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8" fillId="4" borderId="21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2" borderId="23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24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24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24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21" fillId="2" borderId="25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21" fillId="2" borderId="16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26" xfId="4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27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7" fontId="5" fillId="4" borderId="27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27" xfId="4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27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27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4" borderId="28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29" xfId="49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13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7" fontId="5" fillId="4" borderId="13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3" xfId="4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30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13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4" borderId="14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29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3" xfId="4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0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29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4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5" fillId="0" borderId="13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31" xfId="4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24" fillId="4" borderId="32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4" fillId="4" borderId="8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4" borderId="9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5" borderId="33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5" borderId="8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6" fillId="5" borderId="34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26" xfId="4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35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27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29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3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4" borderId="17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5" fillId="4" borderId="30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29" xfId="4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24" fillId="4" borderId="15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4" fillId="4" borderId="36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4" borderId="16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5" borderId="23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6" fillId="5" borderId="19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4" borderId="26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5" borderId="18" xfId="4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4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4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37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0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23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24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24" fillId="2" borderId="24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24" fillId="2" borderId="25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24" fillId="2" borderId="16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2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13" xfId="49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6" fontId="5" fillId="0" borderId="13" xfId="49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6" fontId="5" fillId="4" borderId="13" xfId="49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6" fontId="5" fillId="4" borderId="14" xfId="49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4" borderId="23" xfId="4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24" xfId="49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5" fillId="0" borderId="24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8" fontId="30" fillId="5" borderId="38" xfId="6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30" fillId="5" borderId="39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0" xfId="1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0" fontId="0" fillId="0" borderId="0" xfId="15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10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9" fontId="5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4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6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24" fillId="6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49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4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4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13" xfId="4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9" fillId="0" borderId="1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9" fontId="5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5" fillId="0" borderId="4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7" fillId="6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9" fontId="5" fillId="6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5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9" fillId="0" borderId="46" xfId="49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48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25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36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49" xfId="3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3" fillId="0" borderId="50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7" borderId="27" xfId="37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1" fillId="7" borderId="27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7" borderId="27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7" borderId="27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7" borderId="27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3" xfId="37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6" fillId="4" borderId="13" xfId="3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0" fontId="46" fillId="4" borderId="13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46" fillId="0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9" fontId="46" fillId="4" borderId="13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46" fillId="4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7" fillId="4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46" fillId="4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24" xfId="37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6" fillId="4" borderId="24" xfId="3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0" fontId="46" fillId="4" borderId="24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46" fillId="0" borderId="2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9" fontId="46" fillId="4" borderId="24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46" fillId="4" borderId="2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7" fillId="4" borderId="2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7" fontId="46" fillId="4" borderId="2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7" borderId="51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52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53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5" fillId="0" borderId="53" xfId="1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5" fillId="0" borderId="35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5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3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4" fontId="41" fillId="0" borderId="3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3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6" fillId="0" borderId="0" xfId="3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46" fillId="0" borderId="0" xfId="37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46" fillId="0" borderId="0" xfId="3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6" fillId="4" borderId="0" xfId="3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7" borderId="12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3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12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15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7" fillId="0" borderId="13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41" fillId="4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6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42" fillId="0" borderId="5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4" borderId="0" xfId="3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4" borderId="0" xfId="3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0" fontId="46" fillId="4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13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41" fillId="0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48" fillId="8" borderId="3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30" xfId="3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0" xfId="37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13" xfId="3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48" fillId="8" borderId="13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13" xfId="37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49" fillId="0" borderId="1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6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0" borderId="6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41" fillId="0" borderId="13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46" fillId="0" borderId="0" xfId="3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6" fillId="0" borderId="0" xfId="1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6" fillId="0" borderId="18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55" xfId="3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55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41" fillId="0" borderId="55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8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9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1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33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4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4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0" fontId="14" fillId="4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14" fillId="4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6" fontId="14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4" fillId="4" borderId="0" xfId="1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9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6" fontId="12" fillId="9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12" fillId="9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14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12" fillId="4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4" fontId="12" fillId="4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14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4" fillId="4" borderId="1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4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14" fillId="4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14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9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6" fontId="12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4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9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2" fillId="9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2" fillId="9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12" fillId="9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4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6" fontId="12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3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12" fillId="2" borderId="5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6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4" borderId="1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14" fillId="4" borderId="1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14" fillId="0" borderId="13" xfId="15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9" fontId="14" fillId="4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4" fontId="14" fillId="4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6" fontId="14" fillId="4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14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14" fillId="0" borderId="1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4" fillId="0" borderId="0" xfId="1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0" fontId="14" fillId="4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4" fillId="4" borderId="13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4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14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76" fontId="13" fillId="9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12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12" fillId="2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4" fontId="12" fillId="2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4" fillId="9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14" fillId="4" borderId="13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4" fillId="4" borderId="13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4" fillId="4" borderId="13" xfId="19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9" fontId="1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50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13" fillId="9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12" fillId="2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12" fillId="1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37" xfId="38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4" borderId="37" xfId="38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2" fillId="4" borderId="37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3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4" xfId="3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1" fillId="11" borderId="57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11" borderId="30" xfId="3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51" fillId="11" borderId="13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51" fillId="11" borderId="6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1" fillId="11" borderId="12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11" borderId="13" xfId="3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51" fillId="11" borderId="44" xfId="8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6" fillId="11" borderId="58" xfId="9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6" fillId="11" borderId="41" xfId="9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13" xfId="3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15" fillId="0" borderId="13" xfId="39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5" fillId="0" borderId="44" xfId="9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19" fillId="0" borderId="13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1" fillId="0" borderId="12" xfId="3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51" fillId="0" borderId="13" xfId="6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6" fillId="0" borderId="13" xfId="9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1" fontId="16" fillId="0" borderId="14" xfId="9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1" fillId="11" borderId="12" xfId="3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1" fillId="11" borderId="13" xfId="38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1" fillId="11" borderId="58" xfId="38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6" fillId="11" borderId="41" xfId="3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12" xfId="3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13" xfId="38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0" fontId="15" fillId="0" borderId="13" xfId="8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1" fontId="15" fillId="0" borderId="15" xfId="9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1" fontId="15" fillId="0" borderId="14" xfId="93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1" fillId="0" borderId="12" xfId="38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1" fontId="16" fillId="0" borderId="13" xfId="9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6" fillId="0" borderId="14" xfId="9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1" fillId="11" borderId="15" xfId="38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4" fontId="51" fillId="11" borderId="13" xfId="3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51" fillId="11" borderId="36" xfId="3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11" borderId="59" xfId="3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4" fillId="0" borderId="13" xfId="6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5" fillId="0" borderId="13" xfId="9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1" fillId="0" borderId="12" xfId="3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3" xfId="38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4" fontId="13" fillId="4" borderId="13" xfId="6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6" fillId="4" borderId="13" xfId="9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5" fillId="4" borderId="12" xfId="38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4" fillId="4" borderId="13" xfId="6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15" fillId="4" borderId="13" xfId="9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5" fillId="4" borderId="14" xfId="9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4" borderId="60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11" borderId="11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11" borderId="29" xfId="3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1" fillId="11" borderId="0" xfId="38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1" fillId="11" borderId="6" xfId="3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9" fillId="0" borderId="13" xfId="9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1" fillId="0" borderId="57" xfId="38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51" fillId="0" borderId="13" xfId="9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1" fillId="11" borderId="18" xfId="39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51" fillId="11" borderId="55" xfId="9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1" fillId="11" borderId="19" xfId="9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6" xfId="4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6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6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62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3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4" borderId="58" xfId="3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5" fillId="4" borderId="58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4" borderId="44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6" fillId="12" borderId="1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7" fillId="12" borderId="13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7" fillId="12" borderId="13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7" fillId="4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12" borderId="13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12" borderId="13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12" borderId="13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12" borderId="13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0" borderId="13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8" fillId="4" borderId="13" xfId="3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8" fillId="4" borderId="13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58" fillId="4" borderId="13" xfId="3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58" fillId="4" borderId="13" xfId="8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81" fontId="58" fillId="4" borderId="13" xfId="3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58" fillId="13" borderId="13" xfId="3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82" fontId="0" fillId="4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4" borderId="13" xfId="37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8" fillId="4" borderId="13" xfId="37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2" fontId="31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0" fillId="4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0" fillId="12" borderId="13" xfId="3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60" fillId="12" borderId="13" xfId="37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60" fillId="12" borderId="13" xfId="8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7" fillId="0" borderId="13" xfId="37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60" fillId="0" borderId="13" xfId="8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1" fillId="4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4" borderId="6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4" borderId="1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0" fillId="4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80" fontId="0" fillId="13" borderId="1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4" borderId="6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0" fontId="4" fillId="4" borderId="0" xfId="8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45" fillId="4" borderId="0" xfId="8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5" fillId="4" borderId="0" xfId="37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83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1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31" fillId="0" borderId="5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1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5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5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9" fontId="0" fillId="0" borderId="5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0" fillId="0" borderId="5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0" fillId="0" borderId="54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76" fontId="31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Moeda 2 2" xfId="22" builtinId="53" customBuiltin="true"/>
    <cellStyle name="Moeda 2 2 2" xfId="23" builtinId="53" customBuiltin="true"/>
    <cellStyle name="Moeda 2 3" xfId="24" builtinId="53" customBuiltin="true"/>
    <cellStyle name="Moeda 2 4" xfId="25" builtinId="53" customBuiltin="true"/>
    <cellStyle name="Moeda 3" xfId="26" builtinId="53" customBuiltin="true"/>
    <cellStyle name="Moeda 3 2" xfId="27" builtinId="53" customBuiltin="true"/>
    <cellStyle name="Moeda 4" xfId="28" builtinId="53" customBuiltin="true"/>
    <cellStyle name="Moeda 4 2" xfId="29" builtinId="53" customBuiltin="true"/>
    <cellStyle name="Moeda 4 3" xfId="30" builtinId="53" customBuiltin="true"/>
    <cellStyle name="Moeda 4 3 2" xfId="31" builtinId="53" customBuiltin="true"/>
    <cellStyle name="Moeda 5" xfId="32" builtinId="53" customBuiltin="true"/>
    <cellStyle name="Moeda 6" xfId="33" builtinId="53" customBuiltin="true"/>
    <cellStyle name="Moeda 6 2" xfId="34" builtinId="53" customBuiltin="true"/>
    <cellStyle name="Moeda 7" xfId="35" builtinId="53" customBuiltin="true"/>
    <cellStyle name="Normal 10" xfId="36" builtinId="53" customBuiltin="true"/>
    <cellStyle name="Normal 2" xfId="37" builtinId="53" customBuiltin="true"/>
    <cellStyle name="Normal 2 2" xfId="38" builtinId="53" customBuiltin="true"/>
    <cellStyle name="Normal 2 2 2" xfId="39" builtinId="53" customBuiltin="true"/>
    <cellStyle name="Normal 2 2 3" xfId="40" builtinId="53" customBuiltin="true"/>
    <cellStyle name="Normal 2 2 4" xfId="41" builtinId="53" customBuiltin="true"/>
    <cellStyle name="Normal 2 3" xfId="42" builtinId="53" customBuiltin="true"/>
    <cellStyle name="Normal 2 3 2" xfId="43" builtinId="53" customBuiltin="true"/>
    <cellStyle name="Normal 2 3 2 2" xfId="44" builtinId="53" customBuiltin="true"/>
    <cellStyle name="Normal 2 3 2 3" xfId="45" builtinId="53" customBuiltin="true"/>
    <cellStyle name="Normal 2 3 3" xfId="46" builtinId="53" customBuiltin="true"/>
    <cellStyle name="Normal 2 4" xfId="47" builtinId="53" customBuiltin="true"/>
    <cellStyle name="Normal 2 5" xfId="48" builtinId="53" customBuiltin="true"/>
    <cellStyle name="Normal 3" xfId="49" builtinId="53" customBuiltin="true"/>
    <cellStyle name="Normal 3 2" xfId="50" builtinId="53" customBuiltin="true"/>
    <cellStyle name="Normal 3 2 2" xfId="51" builtinId="53" customBuiltin="true"/>
    <cellStyle name="Normal 3 3" xfId="52" builtinId="53" customBuiltin="true"/>
    <cellStyle name="Normal 4" xfId="53" builtinId="53" customBuiltin="true"/>
    <cellStyle name="Normal 4 2" xfId="54" builtinId="53" customBuiltin="true"/>
    <cellStyle name="Normal 5" xfId="55" builtinId="53" customBuiltin="true"/>
    <cellStyle name="Normal 5 2" xfId="56" builtinId="53" customBuiltin="true"/>
    <cellStyle name="Normal 6" xfId="57" builtinId="53" customBuiltin="true"/>
    <cellStyle name="Normal 6 2" xfId="58" builtinId="53" customBuiltin="true"/>
    <cellStyle name="Normal 7" xfId="59" builtinId="53" customBuiltin="true"/>
    <cellStyle name="Normal 7 2" xfId="60" builtinId="53" customBuiltin="true"/>
    <cellStyle name="Normal 8" xfId="61" builtinId="53" customBuiltin="true"/>
    <cellStyle name="Normal 9" xfId="62" builtinId="53" customBuiltin="true"/>
    <cellStyle name="Normal_Plan1" xfId="63" builtinId="53" customBuiltin="true"/>
    <cellStyle name="Porcentagem 2" xfId="64" builtinId="53" customBuiltin="true"/>
    <cellStyle name="Porcentagem 2 2" xfId="65" builtinId="53" customBuiltin="true"/>
    <cellStyle name="Porcentagem 2 3" xfId="66" builtinId="53" customBuiltin="true"/>
    <cellStyle name="Porcentagem 3" xfId="67" builtinId="53" customBuiltin="true"/>
    <cellStyle name="Porcentagem 3 2" xfId="68" builtinId="53" customBuiltin="true"/>
    <cellStyle name="Porcentagem 4" xfId="69" builtinId="53" customBuiltin="true"/>
    <cellStyle name="Porcentagem 4 2" xfId="70" builtinId="53" customBuiltin="true"/>
    <cellStyle name="Porcentagem 4 2 2" xfId="71" builtinId="53" customBuiltin="true"/>
    <cellStyle name="Porcentagem 4 3" xfId="72" builtinId="53" customBuiltin="true"/>
    <cellStyle name="Porcentagem 4 4" xfId="73" builtinId="53" customBuiltin="true"/>
    <cellStyle name="Porcentagem 5" xfId="74" builtinId="53" customBuiltin="true"/>
    <cellStyle name="Porcentagem 6" xfId="75" builtinId="53" customBuiltin="true"/>
    <cellStyle name="Porcentagem 7" xfId="76" builtinId="53" customBuiltin="true"/>
    <cellStyle name="Porcentagem 8" xfId="77" builtinId="53" customBuiltin="true"/>
    <cellStyle name="Porcentagem 8 2" xfId="78" builtinId="53" customBuiltin="true"/>
    <cellStyle name="Porcentagem 9" xfId="79" builtinId="53" customBuiltin="true"/>
    <cellStyle name="Separador de milhares 2" xfId="80" builtinId="53" customBuiltin="true"/>
    <cellStyle name="Separador de milhares 2 2" xfId="81" builtinId="53" customBuiltin="true"/>
    <cellStyle name="Separador de milhares 2 2 2" xfId="82" builtinId="53" customBuiltin="true"/>
    <cellStyle name="Separador de milhares 2 3" xfId="83" builtinId="53" customBuiltin="true"/>
    <cellStyle name="Separador de milhares 2 4" xfId="84" builtinId="53" customBuiltin="true"/>
    <cellStyle name="Separador de milhares 2 4 2" xfId="85" builtinId="53" customBuiltin="true"/>
    <cellStyle name="Separador de milhares 2 5" xfId="86" builtinId="53" customBuiltin="true"/>
    <cellStyle name="Separador de milhares 3" xfId="87" builtinId="53" customBuiltin="true"/>
    <cellStyle name="Separador de milhares 3 2" xfId="88" builtinId="53" customBuiltin="true"/>
    <cellStyle name="Separador de milhares 3 2 2" xfId="89" builtinId="53" customBuiltin="true"/>
    <cellStyle name="Separador de milhares 3 3" xfId="90" builtinId="53" customBuiltin="true"/>
    <cellStyle name="Separador de milhares 3 3 2" xfId="91" builtinId="53" customBuiltin="true"/>
    <cellStyle name="Separador de milhares 3 4" xfId="92" builtinId="53" customBuiltin="true"/>
    <cellStyle name="Separador de milhares 4" xfId="93" builtinId="53" customBuiltin="true"/>
    <cellStyle name="Separador de milhares 4 2" xfId="94" builtinId="53" customBuiltin="true"/>
    <cellStyle name="Separador de milhares 4 3" xfId="95" builtinId="53" customBuiltin="true"/>
    <cellStyle name="Separador de milhares 4 4" xfId="96" builtinId="53" customBuiltin="true"/>
    <cellStyle name="Separador de milhares 5" xfId="97" builtinId="53" customBuiltin="true"/>
    <cellStyle name="Separador de milhares 5 2" xfId="98" builtinId="53" customBuiltin="true"/>
    <cellStyle name="Separador de milhares 5 2 2" xfId="99" builtinId="53" customBuiltin="true"/>
    <cellStyle name="Separador de milhares 5 2 3" xfId="100" builtinId="53" customBuiltin="true"/>
    <cellStyle name="Separador de milhares 5 3" xfId="101" builtinId="53" customBuiltin="true"/>
    <cellStyle name="Separador de milhares 5 3 2" xfId="102" builtinId="53" customBuiltin="true"/>
    <cellStyle name="Separador de milhares 5 4" xfId="103" builtinId="53" customBuiltin="true"/>
    <cellStyle name="Separador de milhares 6" xfId="104" builtinId="53" customBuiltin="true"/>
    <cellStyle name="Separador de milhares 6 2" xfId="105" builtinId="53" customBuiltin="true"/>
    <cellStyle name="Separador de milhares 7" xfId="106" builtinId="53" customBuiltin="true"/>
    <cellStyle name="Separador de milhares 8" xfId="107" builtinId="53" customBuiltin="true"/>
    <cellStyle name="Separador de milhares 8 2" xfId="108" builtinId="53" customBuiltin="true"/>
    <cellStyle name="Separador de milhares 9" xfId="109" builtinId="53" customBuiltin="true"/>
    <cellStyle name="Separador de milhares [0] 2" xfId="110" builtinId="53" customBuiltin="true"/>
    <cellStyle name="Separador de milhares [0] 2 2" xfId="111" builtinId="53" customBuiltin="true"/>
    <cellStyle name="Texto Explicativo 2" xfId="112" builtinId="53" customBuiltin="true"/>
    <cellStyle name="Texto Explicativo 3" xfId="113" builtinId="53" customBuiltin="true"/>
    <cellStyle name="Título 1 1" xfId="114" builtinId="53" customBuiltin="true"/>
    <cellStyle name="Vírgula 2" xfId="115" builtinId="53" customBuiltin="true"/>
    <cellStyle name="Vírgula 2 2" xfId="116" builtinId="53" customBuiltin="true"/>
    <cellStyle name="Vírgula 2 2 2" xfId="117" builtinId="53" customBuiltin="true"/>
    <cellStyle name="Vírgula 2 2 2 2" xfId="118" builtinId="53" customBuiltin="true"/>
    <cellStyle name="Vírgula 2 3" xfId="119" builtinId="53" customBuiltin="true"/>
    <cellStyle name="Vírgula 2 3 2" xfId="120" builtinId="53" customBuiltin="true"/>
    <cellStyle name="Vírgula 2 4" xfId="121" builtinId="53" customBuiltin="true"/>
    <cellStyle name="Vírgula 3" xfId="122" builtinId="53" customBuiltin="true"/>
    <cellStyle name="Vírgula 3 2" xfId="123" builtinId="53" customBuiltin="true"/>
    <cellStyle name="Vírgula 4" xfId="124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77933C"/>
      <rgbColor rgb="FF800080"/>
      <rgbColor rgb="FF008080"/>
      <rgbColor rgb="FFCCCCCC"/>
      <rgbColor rgb="FF808080"/>
      <rgbColor rgb="FF95B3D7"/>
      <rgbColor rgb="FF953735"/>
      <rgbColor rgb="FFFFFFCC"/>
      <rgbColor rgb="FFC6D9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D7E4BD"/>
      <rgbColor rgb="FFFFFF99"/>
      <rgbColor rgb="FFA6CAF0"/>
      <rgbColor rgb="FFFF99CC"/>
      <rgbColor rgb="FFB3A2C7"/>
      <rgbColor rgb="FFB9CDE5"/>
      <rgbColor rgb="FF3333CC"/>
      <rgbColor rgb="FF33CCCC"/>
      <rgbColor rgb="FF92D050"/>
      <rgbColor rgb="FFFFC000"/>
      <rgbColor rgb="FFFF9900"/>
      <rgbColor rgb="FFE46C0A"/>
      <rgbColor rgb="FF666666"/>
      <rgbColor rgb="FF93CDDD"/>
      <rgbColor rgb="FF002060"/>
      <rgbColor rgb="FF339966"/>
      <rgbColor rgb="FF10243E"/>
      <rgbColor rgb="FF424242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externalLink" Target="externalLinks/externalLink1.xml"/><Relationship Id="rId14" Type="http://schemas.openxmlformats.org/officeDocument/2006/relationships/externalLink" Target="externalLinks/externalLink2.xml"/><Relationship Id="rId15" Type="http://schemas.openxmlformats.org/officeDocument/2006/relationships/externalLink" Target="externalLinks/externalLink3.xml"/><Relationship Id="rId16" Type="http://schemas.openxmlformats.org/officeDocument/2006/relationships/externalLink" Target="externalLinks/externalLink4.xml"/><Relationship Id="rId1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5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34.png"/><Relationship Id="rId2" Type="http://schemas.openxmlformats.org/officeDocument/2006/relationships/image" Target="../media/image35.jpe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36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6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27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28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9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30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31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32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3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276120</xdr:colOff>
      <xdr:row>0</xdr:row>
      <xdr:rowOff>76320</xdr:rowOff>
    </xdr:from>
    <xdr:to>
      <xdr:col>0</xdr:col>
      <xdr:colOff>798840</xdr:colOff>
      <xdr:row>1</xdr:row>
      <xdr:rowOff>153720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276120" y="76320"/>
          <a:ext cx="522720" cy="24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712440</xdr:colOff>
      <xdr:row>0</xdr:row>
      <xdr:rowOff>9360</xdr:rowOff>
    </xdr:from>
    <xdr:to>
      <xdr:col>1</xdr:col>
      <xdr:colOff>716760</xdr:colOff>
      <xdr:row>2</xdr:row>
      <xdr:rowOff>73080</xdr:rowOff>
    </xdr:to>
    <xdr:pic>
      <xdr:nvPicPr>
        <xdr:cNvPr id="9" name="Imagem 2_1" descr=""/>
        <xdr:cNvPicPr/>
      </xdr:nvPicPr>
      <xdr:blipFill>
        <a:blip r:embed="rId1"/>
        <a:stretch/>
      </xdr:blipFill>
      <xdr:spPr>
        <a:xfrm>
          <a:off x="1514880" y="9360"/>
          <a:ext cx="4320" cy="41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38160</xdr:colOff>
      <xdr:row>0</xdr:row>
      <xdr:rowOff>66600</xdr:rowOff>
    </xdr:from>
    <xdr:to>
      <xdr:col>0</xdr:col>
      <xdr:colOff>667800</xdr:colOff>
      <xdr:row>2</xdr:row>
      <xdr:rowOff>106920</xdr:rowOff>
    </xdr:to>
    <xdr:pic>
      <xdr:nvPicPr>
        <xdr:cNvPr id="10" name="Imagem 3_0" descr=""/>
        <xdr:cNvPicPr/>
      </xdr:nvPicPr>
      <xdr:blipFill>
        <a:blip r:embed="rId2"/>
        <a:stretch/>
      </xdr:blipFill>
      <xdr:spPr>
        <a:xfrm>
          <a:off x="38160" y="66600"/>
          <a:ext cx="629640" cy="390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104040</xdr:colOff>
      <xdr:row>0</xdr:row>
      <xdr:rowOff>76320</xdr:rowOff>
    </xdr:from>
    <xdr:to>
      <xdr:col>0</xdr:col>
      <xdr:colOff>537840</xdr:colOff>
      <xdr:row>2</xdr:row>
      <xdr:rowOff>104040</xdr:rowOff>
    </xdr:to>
    <xdr:pic>
      <xdr:nvPicPr>
        <xdr:cNvPr id="11" name="Imagem 3" descr=""/>
        <xdr:cNvPicPr/>
      </xdr:nvPicPr>
      <xdr:blipFill>
        <a:blip r:embed="rId1"/>
        <a:stretch/>
      </xdr:blipFill>
      <xdr:spPr>
        <a:xfrm>
          <a:off x="104040" y="76320"/>
          <a:ext cx="433800" cy="408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167760</xdr:colOff>
      <xdr:row>0</xdr:row>
      <xdr:rowOff>0</xdr:rowOff>
    </xdr:from>
    <xdr:to>
      <xdr:col>0</xdr:col>
      <xdr:colOff>623160</xdr:colOff>
      <xdr:row>2</xdr:row>
      <xdr:rowOff>63720</xdr:rowOff>
    </xdr:to>
    <xdr:pic>
      <xdr:nvPicPr>
        <xdr:cNvPr id="1" name="Imagem 1" descr=""/>
        <xdr:cNvPicPr/>
      </xdr:nvPicPr>
      <xdr:blipFill>
        <a:blip r:embed="rId1"/>
        <a:stretch/>
      </xdr:blipFill>
      <xdr:spPr>
        <a:xfrm>
          <a:off x="167760" y="0"/>
          <a:ext cx="455400" cy="414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595440</xdr:colOff>
      <xdr:row>2</xdr:row>
      <xdr:rowOff>155160</xdr:rowOff>
    </xdr:to>
    <xdr:pic>
      <xdr:nvPicPr>
        <xdr:cNvPr id="2" name="Imagem 1" descr=""/>
        <xdr:cNvPicPr/>
      </xdr:nvPicPr>
      <xdr:blipFill>
        <a:blip r:embed="rId1"/>
        <a:stretch/>
      </xdr:blipFill>
      <xdr:spPr>
        <a:xfrm>
          <a:off x="0" y="0"/>
          <a:ext cx="595440" cy="505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53280</xdr:colOff>
      <xdr:row>0</xdr:row>
      <xdr:rowOff>29880</xdr:rowOff>
    </xdr:from>
    <xdr:to>
      <xdr:col>1</xdr:col>
      <xdr:colOff>37800</xdr:colOff>
      <xdr:row>2</xdr:row>
      <xdr:rowOff>195480</xdr:rowOff>
    </xdr:to>
    <xdr:pic>
      <xdr:nvPicPr>
        <xdr:cNvPr id="3" name="Imagem 2" descr=""/>
        <xdr:cNvPicPr/>
      </xdr:nvPicPr>
      <xdr:blipFill>
        <a:blip r:embed="rId1"/>
        <a:stretch/>
      </xdr:blipFill>
      <xdr:spPr>
        <a:xfrm>
          <a:off x="53280" y="29880"/>
          <a:ext cx="406440" cy="569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169200</xdr:colOff>
      <xdr:row>0</xdr:row>
      <xdr:rowOff>47880</xdr:rowOff>
    </xdr:from>
    <xdr:to>
      <xdr:col>0</xdr:col>
      <xdr:colOff>662760</xdr:colOff>
      <xdr:row>2</xdr:row>
      <xdr:rowOff>129240</xdr:rowOff>
    </xdr:to>
    <xdr:pic>
      <xdr:nvPicPr>
        <xdr:cNvPr id="4" name="Imagem 2" descr=""/>
        <xdr:cNvPicPr/>
      </xdr:nvPicPr>
      <xdr:blipFill>
        <a:blip r:embed="rId1"/>
        <a:stretch/>
      </xdr:blipFill>
      <xdr:spPr>
        <a:xfrm>
          <a:off x="169200" y="47880"/>
          <a:ext cx="493560" cy="462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0</xdr:row>
      <xdr:rowOff>38880</xdr:rowOff>
    </xdr:from>
    <xdr:to>
      <xdr:col>0</xdr:col>
      <xdr:colOff>649440</xdr:colOff>
      <xdr:row>2</xdr:row>
      <xdr:rowOff>131040</xdr:rowOff>
    </xdr:to>
    <xdr:pic>
      <xdr:nvPicPr>
        <xdr:cNvPr id="5" name="Imagem 2_0" descr=""/>
        <xdr:cNvPicPr/>
      </xdr:nvPicPr>
      <xdr:blipFill>
        <a:blip r:embed="rId1"/>
        <a:stretch/>
      </xdr:blipFill>
      <xdr:spPr>
        <a:xfrm>
          <a:off x="19080" y="38880"/>
          <a:ext cx="630360" cy="572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47520</xdr:colOff>
      <xdr:row>0</xdr:row>
      <xdr:rowOff>28440</xdr:rowOff>
    </xdr:from>
    <xdr:to>
      <xdr:col>0</xdr:col>
      <xdr:colOff>546840</xdr:colOff>
      <xdr:row>2</xdr:row>
      <xdr:rowOff>132120</xdr:rowOff>
    </xdr:to>
    <xdr:pic>
      <xdr:nvPicPr>
        <xdr:cNvPr id="6" name="Imagem 1" descr=""/>
        <xdr:cNvPicPr/>
      </xdr:nvPicPr>
      <xdr:blipFill>
        <a:blip r:embed="rId1"/>
        <a:stretch/>
      </xdr:blipFill>
      <xdr:spPr>
        <a:xfrm>
          <a:off x="47520" y="28440"/>
          <a:ext cx="499320" cy="453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76320</xdr:colOff>
      <xdr:row>0</xdr:row>
      <xdr:rowOff>28440</xdr:rowOff>
    </xdr:from>
    <xdr:to>
      <xdr:col>0</xdr:col>
      <xdr:colOff>531720</xdr:colOff>
      <xdr:row>2</xdr:row>
      <xdr:rowOff>120960</xdr:rowOff>
    </xdr:to>
    <xdr:pic>
      <xdr:nvPicPr>
        <xdr:cNvPr id="7" name="Imagem 1" descr=""/>
        <xdr:cNvPicPr/>
      </xdr:nvPicPr>
      <xdr:blipFill>
        <a:blip r:embed="rId1"/>
        <a:stretch/>
      </xdr:blipFill>
      <xdr:spPr>
        <a:xfrm>
          <a:off x="76320" y="28440"/>
          <a:ext cx="455400" cy="429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66960</xdr:colOff>
      <xdr:row>0</xdr:row>
      <xdr:rowOff>47520</xdr:rowOff>
    </xdr:from>
    <xdr:to>
      <xdr:col>0</xdr:col>
      <xdr:colOff>522360</xdr:colOff>
      <xdr:row>2</xdr:row>
      <xdr:rowOff>111600</xdr:rowOff>
    </xdr:to>
    <xdr:pic>
      <xdr:nvPicPr>
        <xdr:cNvPr id="8" name="Imagem 1" descr=""/>
        <xdr:cNvPicPr/>
      </xdr:nvPicPr>
      <xdr:blipFill>
        <a:blip r:embed="rId1"/>
        <a:stretch/>
      </xdr:blipFill>
      <xdr:spPr>
        <a:xfrm>
          <a:off x="66960" y="47520"/>
          <a:ext cx="455400" cy="41436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F:/RODRIGO/Profissional/TELETRABALHO/SESAP%20HOMEOFFICE/Contrata&#231;&#245;es%20e%20Licita&#231;&#245;es/LUCIENE/AppData/Comercial%20Publico/3%20-%20Propostas/2017/IPHAN/MG-PE%2001-2017-Profissional/Modelo%20-%20Planilha%20de%20Custos%20-%20Teste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/F:/RODRIGO/Profissional/TELETRABALHO/SESAP%20HOMEOFFICE/Contrata&#231;&#245;es%20e%20Licita&#231;&#245;es/LUCIENE/AppData/PH/Propostas/2011/Federal/Minist.%20Combate%20a%20Fome/PE%2013-2011/PH-077-2011%20-%20Planilha%20de%20custos-AJUSTADA%20AO%20LANCE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/F:/RODRIGO/Profissional/TELETRABALHO/SESAP%20HOMEOFFICE/Contrata&#231;&#245;es%20e%20Licita&#231;&#245;es/LUCIENE/AppData/Comercial%20Publico/3%20-%20Propostas/2017/IPHAN/MG-PE%2001-2017-Profissional/Proposta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/F:/RODRIGO/Profissional/TELETRABALHO/SESAP%20HOMEOFFICE/Contrata&#231;&#245;es%20e%20Licita&#231;&#245;es/LUCIENE/AppData/Comercial%20Publico/Controles/Modelo%20-%20Planilha%20de%20Custos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da Licitação"/>
      <sheetName val="base"/>
      <sheetName val="Dados"/>
      <sheetName val="Base CCT-2016-2017"/>
      <sheetName val="Cidades VT PAF ISS"/>
      <sheetName val="Estudo Liquido"/>
      <sheetName val="Estudo Liquido - realxpresumido"/>
      <sheetName val="Proposta TEXTO"/>
      <sheetName val="Anexo III (1)"/>
      <sheetName val="Global"/>
      <sheetName val="adeq"/>
      <sheetName val="Anexo III - C e D"/>
      <sheetName val="Compl. limpeza"/>
      <sheetName val="Uniforme"/>
      <sheetName val="Materiais"/>
      <sheetName val="Equipamentos"/>
      <sheetName val="Memória Encargos Sociais"/>
      <sheetName val="Memória de cálculo-grupo 1"/>
      <sheetName val="TX.ADM E Tributos"/>
      <sheetName val="Apuração de Pis e Cofins"/>
      <sheetName val="copa-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osta"/>
      <sheetName val="Comprovação RAT X FAP"/>
      <sheetName val="RESUMO"/>
      <sheetName val="Nível I"/>
      <sheetName val="Nível II"/>
      <sheetName val="bas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dos da Licitação"/>
      <sheetName val="Global"/>
      <sheetName val="Dados"/>
      <sheetName val="Estudo Liquido"/>
      <sheetName val="base"/>
      <sheetName val="Base CCT-2016-2017"/>
      <sheetName val="Cidades VT PAF ISS"/>
      <sheetName val="Estudo Liquido - realxpresumido"/>
      <sheetName val="Proposta TEXTO"/>
      <sheetName val="Anexo III (1)"/>
      <sheetName val="adeq"/>
      <sheetName val="Anexo III - C e D"/>
      <sheetName val="Compl. limpeza"/>
      <sheetName val="Memória Encargos Sociais"/>
      <sheetName val="Uniforme"/>
      <sheetName val="Materiais"/>
      <sheetName val="Equipamentos"/>
      <sheetName val="TX.ADM E Tributos"/>
      <sheetName val="Memória de cálculo-grupo 1"/>
      <sheetName val="Apuração de Pis e Cofins"/>
      <sheetName val="Exequibilidade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osta TEXTO"/>
      <sheetName val="Anexo III (1)"/>
      <sheetName val="Anexo III (2)"/>
      <sheetName val="Anexo III (3)"/>
      <sheetName val="Anexo III (4)"/>
      <sheetName val="Anexo III (5)"/>
      <sheetName val="Anexo III (6)"/>
      <sheetName val="Anexo III (7)"/>
      <sheetName val="Anexo III (8)"/>
      <sheetName val="Anexo III (9)"/>
      <sheetName val="Anexo III (10)"/>
      <sheetName val="Anexo III (11)"/>
      <sheetName val="Anexo III (12)"/>
      <sheetName val="Anexo III (13)"/>
      <sheetName val="Anexo III (14)"/>
      <sheetName val="Anexo III (15)"/>
      <sheetName val="Anexo III (16)"/>
      <sheetName val="Anexo III (17)"/>
      <sheetName val="Anexo III (18)"/>
      <sheetName val="Anexo III (19)"/>
      <sheetName val="Anexo III (20)"/>
      <sheetName val="Anexo III - C e D"/>
      <sheetName val="Compl. limpeza"/>
      <sheetName val="Nataxa"/>
      <sheetName val="Bases territoriais"/>
      <sheetName val="CCTS"/>
      <sheetName val="Dados"/>
      <sheetName val="base"/>
      <sheetName val="Global"/>
      <sheetName val="Estudo"/>
      <sheetName val="Estudo Liquido"/>
      <sheetName val="Estudo Liquido CEF SUL"/>
      <sheetName val="Memória Encargos Sociais"/>
      <sheetName val="Memória de cálculo-grupo 1"/>
      <sheetName val="TX.ADM E Tributos"/>
      <sheetName val="Exequibilidade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5B3D7"/>
    <pageSetUpPr fitToPage="false"/>
  </sheetPr>
  <dimension ref="A1:H59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34" activeCellId="0" sqref="C34"/>
    </sheetView>
  </sheetViews>
  <sheetFormatPr defaultRowHeight="13.2" zeroHeight="false" outlineLevelRow="0" outlineLevelCol="0"/>
  <cols>
    <col collapsed="false" customWidth="true" hidden="false" outlineLevel="0" max="1" min="1" style="0" width="18.78"/>
    <col collapsed="false" customWidth="true" hidden="false" outlineLevel="0" max="2" min="2" style="0" width="61.66"/>
    <col collapsed="false" customWidth="true" hidden="false" outlineLevel="0" max="3" min="3" style="0" width="24.99"/>
    <col collapsed="false" customWidth="true" hidden="true" outlineLevel="0" max="8" min="4" style="0" width="9.33"/>
    <col collapsed="false" customWidth="true" hidden="false" outlineLevel="0" max="1025" min="9" style="0" width="8.67"/>
  </cols>
  <sheetData>
    <row r="1" customFormat="false" ht="13.2" hidden="false" customHeight="false" outlineLevel="0" collapsed="false">
      <c r="A1" s="1"/>
      <c r="B1" s="2" t="s">
        <v>0</v>
      </c>
      <c r="C1" s="3"/>
      <c r="D1" s="2"/>
      <c r="E1" s="2"/>
      <c r="F1" s="2"/>
      <c r="G1" s="2"/>
      <c r="H1" s="3"/>
    </row>
    <row r="2" customFormat="false" ht="13.8" hidden="false" customHeight="false" outlineLevel="0" collapsed="false">
      <c r="A2" s="4"/>
      <c r="B2" s="5" t="s">
        <v>1</v>
      </c>
      <c r="C2" s="6"/>
      <c r="D2" s="5"/>
      <c r="E2" s="5"/>
      <c r="F2" s="5"/>
      <c r="G2" s="5"/>
      <c r="H2" s="6"/>
    </row>
    <row r="3" customFormat="false" ht="13.8" hidden="false" customHeight="false" outlineLevel="0" collapsed="false">
      <c r="A3" s="7"/>
      <c r="B3" s="8" t="s">
        <v>2</v>
      </c>
      <c r="C3" s="9"/>
      <c r="D3" s="8"/>
      <c r="E3" s="8"/>
      <c r="F3" s="8"/>
      <c r="G3" s="8"/>
      <c r="H3" s="9"/>
    </row>
    <row r="4" customFormat="false" ht="15.6" hidden="false" customHeight="false" outlineLevel="0" collapsed="false">
      <c r="A4" s="10" t="s">
        <v>3</v>
      </c>
      <c r="B4" s="10"/>
      <c r="C4" s="10"/>
      <c r="H4" s="11"/>
    </row>
    <row r="5" customFormat="false" ht="13.2" hidden="false" customHeight="false" outlineLevel="0" collapsed="false">
      <c r="A5" s="12" t="s">
        <v>4</v>
      </c>
      <c r="B5" s="12"/>
      <c r="C5" s="12"/>
      <c r="H5" s="11"/>
    </row>
    <row r="6" customFormat="false" ht="13.2" hidden="false" customHeight="false" outlineLevel="0" collapsed="false">
      <c r="A6" s="12" t="s">
        <v>5</v>
      </c>
      <c r="B6" s="12"/>
      <c r="C6" s="12"/>
      <c r="H6" s="11"/>
    </row>
    <row r="7" customFormat="false" ht="13.2" hidden="false" customHeight="false" outlineLevel="0" collapsed="false">
      <c r="A7" s="13" t="s">
        <v>6</v>
      </c>
      <c r="B7" s="14" t="s">
        <v>7</v>
      </c>
      <c r="C7" s="15" t="s">
        <v>8</v>
      </c>
      <c r="H7" s="11"/>
    </row>
    <row r="8" customFormat="false" ht="13.2" hidden="false" customHeight="false" outlineLevel="0" collapsed="false">
      <c r="A8" s="16" t="s">
        <v>9</v>
      </c>
      <c r="B8" s="17" t="s">
        <v>10</v>
      </c>
      <c r="C8" s="17"/>
      <c r="H8" s="11"/>
    </row>
    <row r="9" customFormat="false" ht="13.2" hidden="false" customHeight="false" outlineLevel="0" collapsed="false">
      <c r="A9" s="18" t="n">
        <v>1</v>
      </c>
      <c r="B9" s="19" t="s">
        <v>11</v>
      </c>
      <c r="C9" s="20" t="n">
        <v>0.2</v>
      </c>
      <c r="H9" s="11"/>
    </row>
    <row r="10" customFormat="false" ht="13.2" hidden="false" customHeight="false" outlineLevel="0" collapsed="false">
      <c r="A10" s="18" t="n">
        <v>2</v>
      </c>
      <c r="B10" s="19" t="s">
        <v>12</v>
      </c>
      <c r="C10" s="21" t="n">
        <v>0.015</v>
      </c>
      <c r="H10" s="11"/>
    </row>
    <row r="11" customFormat="false" ht="13.2" hidden="false" customHeight="false" outlineLevel="0" collapsed="false">
      <c r="A11" s="18" t="n">
        <v>3</v>
      </c>
      <c r="B11" s="19" t="s">
        <v>13</v>
      </c>
      <c r="C11" s="21" t="n">
        <v>0.01</v>
      </c>
      <c r="H11" s="11"/>
    </row>
    <row r="12" customFormat="false" ht="13.2" hidden="false" customHeight="false" outlineLevel="0" collapsed="false">
      <c r="A12" s="18" t="n">
        <v>4</v>
      </c>
      <c r="B12" s="19" t="s">
        <v>14</v>
      </c>
      <c r="C12" s="21" t="n">
        <v>0.002</v>
      </c>
      <c r="H12" s="11"/>
    </row>
    <row r="13" customFormat="false" ht="13.2" hidden="false" customHeight="false" outlineLevel="0" collapsed="false">
      <c r="A13" s="18" t="n">
        <v>5</v>
      </c>
      <c r="B13" s="19" t="s">
        <v>15</v>
      </c>
      <c r="C13" s="21" t="n">
        <v>0.025</v>
      </c>
      <c r="H13" s="11"/>
    </row>
    <row r="14" customFormat="false" ht="13.2" hidden="false" customHeight="false" outlineLevel="0" collapsed="false">
      <c r="A14" s="18" t="n">
        <v>6</v>
      </c>
      <c r="B14" s="19" t="s">
        <v>16</v>
      </c>
      <c r="C14" s="21" t="n">
        <v>0.08</v>
      </c>
      <c r="H14" s="11"/>
    </row>
    <row r="15" customFormat="false" ht="13.2" hidden="false" customHeight="false" outlineLevel="0" collapsed="false">
      <c r="A15" s="18" t="n">
        <v>7</v>
      </c>
      <c r="B15" s="19" t="s">
        <v>17</v>
      </c>
      <c r="C15" s="22" t="n">
        <v>0.06</v>
      </c>
      <c r="H15" s="11"/>
    </row>
    <row r="16" customFormat="false" ht="13.2" hidden="false" customHeight="false" outlineLevel="0" collapsed="false">
      <c r="A16" s="18" t="n">
        <v>8</v>
      </c>
      <c r="B16" s="19" t="s">
        <v>18</v>
      </c>
      <c r="C16" s="21" t="n">
        <v>0.006</v>
      </c>
      <c r="H16" s="11"/>
    </row>
    <row r="17" customFormat="false" ht="13.2" hidden="false" customHeight="false" outlineLevel="0" collapsed="false">
      <c r="A17" s="23" t="s">
        <v>19</v>
      </c>
      <c r="B17" s="23"/>
      <c r="C17" s="24" t="n">
        <f aca="false">SUM(C9:C16)</f>
        <v>0.398</v>
      </c>
      <c r="H17" s="11"/>
    </row>
    <row r="18" customFormat="false" ht="13.2" hidden="false" customHeight="false" outlineLevel="0" collapsed="false">
      <c r="A18" s="25" t="s">
        <v>20</v>
      </c>
      <c r="B18" s="25"/>
      <c r="C18" s="25"/>
      <c r="H18" s="11"/>
    </row>
    <row r="19" customFormat="false" ht="13.2" hidden="false" customHeight="false" outlineLevel="0" collapsed="false">
      <c r="A19" s="26" t="s">
        <v>21</v>
      </c>
      <c r="B19" s="27" t="s">
        <v>22</v>
      </c>
      <c r="C19" s="28"/>
      <c r="H19" s="11"/>
    </row>
    <row r="20" customFormat="false" ht="13.2" hidden="false" customHeight="false" outlineLevel="0" collapsed="false">
      <c r="A20" s="18" t="n">
        <v>9</v>
      </c>
      <c r="B20" s="19" t="s">
        <v>23</v>
      </c>
      <c r="C20" s="21" t="n">
        <v>0.0909</v>
      </c>
      <c r="H20" s="11"/>
    </row>
    <row r="21" customFormat="false" ht="13.2" hidden="false" customHeight="false" outlineLevel="0" collapsed="false">
      <c r="A21" s="18" t="n">
        <v>10</v>
      </c>
      <c r="B21" s="19" t="s">
        <v>24</v>
      </c>
      <c r="C21" s="21" t="n">
        <v>0.0303</v>
      </c>
      <c r="H21" s="11"/>
    </row>
    <row r="22" customFormat="false" ht="13.2" hidden="false" customHeight="false" outlineLevel="0" collapsed="false">
      <c r="A22" s="29" t="s">
        <v>25</v>
      </c>
      <c r="B22" s="29"/>
      <c r="C22" s="30" t="n">
        <f aca="false">SUM(C20:C21)</f>
        <v>0.1212</v>
      </c>
      <c r="H22" s="11"/>
    </row>
    <row r="23" customFormat="false" ht="13.2" hidden="false" customHeight="true" outlineLevel="0" collapsed="false">
      <c r="A23" s="31" t="s">
        <v>26</v>
      </c>
      <c r="B23" s="31"/>
      <c r="C23" s="32" t="n">
        <f aca="false">(C17*C22)</f>
        <v>0.0482376</v>
      </c>
      <c r="H23" s="11"/>
    </row>
    <row r="24" customFormat="false" ht="13.2" hidden="false" customHeight="false" outlineLevel="0" collapsed="false">
      <c r="A24" s="29" t="s">
        <v>27</v>
      </c>
      <c r="B24" s="29"/>
      <c r="C24" s="33" t="n">
        <f aca="false">SUM(C22:C23)</f>
        <v>0.1694376</v>
      </c>
      <c r="H24" s="11"/>
    </row>
    <row r="25" customFormat="false" ht="13.2" hidden="false" customHeight="false" outlineLevel="0" collapsed="false">
      <c r="A25" s="26" t="s">
        <v>28</v>
      </c>
      <c r="B25" s="34" t="s">
        <v>29</v>
      </c>
      <c r="C25" s="34"/>
      <c r="H25" s="11"/>
    </row>
    <row r="26" customFormat="false" ht="13.2" hidden="false" customHeight="false" outlineLevel="0" collapsed="false">
      <c r="A26" s="35" t="n">
        <v>11</v>
      </c>
      <c r="B26" s="36" t="s">
        <v>30</v>
      </c>
      <c r="C26" s="37" t="n">
        <v>0.0003</v>
      </c>
      <c r="H26" s="11"/>
    </row>
    <row r="27" customFormat="false" ht="13.2" hidden="false" customHeight="true" outlineLevel="0" collapsed="false">
      <c r="A27" s="31" t="s">
        <v>31</v>
      </c>
      <c r="B27" s="31"/>
      <c r="C27" s="38" t="n">
        <f aca="false">C17*C26</f>
        <v>0.0001194</v>
      </c>
      <c r="H27" s="11"/>
    </row>
    <row r="28" customFormat="false" ht="13.2" hidden="false" customHeight="false" outlineLevel="0" collapsed="false">
      <c r="A28" s="29" t="s">
        <v>32</v>
      </c>
      <c r="B28" s="29"/>
      <c r="C28" s="39" t="n">
        <f aca="false">SUM(C26:C27)</f>
        <v>0.0004194</v>
      </c>
      <c r="H28" s="11"/>
    </row>
    <row r="29" customFormat="false" ht="13.2" hidden="false" customHeight="false" outlineLevel="0" collapsed="false">
      <c r="A29" s="26" t="s">
        <v>33</v>
      </c>
      <c r="B29" s="40" t="s">
        <v>34</v>
      </c>
      <c r="C29" s="40"/>
      <c r="H29" s="11"/>
    </row>
    <row r="30" customFormat="false" ht="13.2" hidden="false" customHeight="false" outlineLevel="0" collapsed="false">
      <c r="A30" s="35" t="n">
        <v>12</v>
      </c>
      <c r="B30" s="36" t="s">
        <v>35</v>
      </c>
      <c r="C30" s="41" t="n">
        <v>0.0042</v>
      </c>
      <c r="H30" s="11"/>
    </row>
    <row r="31" customFormat="false" ht="13.2" hidden="false" customHeight="false" outlineLevel="0" collapsed="false">
      <c r="A31" s="42" t="s">
        <v>36</v>
      </c>
      <c r="B31" s="42"/>
      <c r="C31" s="43" t="n">
        <f aca="false">ROUND((C14*C30),6)</f>
        <v>0.000336</v>
      </c>
      <c r="H31" s="11"/>
    </row>
    <row r="32" customFormat="false" ht="13.2" hidden="false" customHeight="false" outlineLevel="0" collapsed="false">
      <c r="A32" s="18" t="n">
        <v>13</v>
      </c>
      <c r="B32" s="19" t="s">
        <v>37</v>
      </c>
      <c r="C32" s="44" t="n">
        <f aca="false">ROUND((0.08 * 0.4 * 0.9 *(1 + 1/11 + 1/11 + (1/3*1/11))),5)</f>
        <v>0.03491</v>
      </c>
      <c r="H32" s="11"/>
    </row>
    <row r="33" customFormat="false" ht="13.2" hidden="false" customHeight="false" outlineLevel="0" collapsed="false">
      <c r="A33" s="35" t="n">
        <v>14</v>
      </c>
      <c r="B33" s="36" t="s">
        <v>38</v>
      </c>
      <c r="C33" s="41" t="n">
        <v>0.0004</v>
      </c>
      <c r="H33" s="11"/>
    </row>
    <row r="34" customFormat="false" ht="13.2" hidden="false" customHeight="false" outlineLevel="0" collapsed="false">
      <c r="A34" s="42" t="s">
        <v>39</v>
      </c>
      <c r="B34" s="42"/>
      <c r="C34" s="41" t="n">
        <f aca="false">ROUND((C33*C17),4)</f>
        <v>0.0002</v>
      </c>
      <c r="H34" s="11"/>
    </row>
    <row r="35" customFormat="false" ht="13.2" hidden="false" customHeight="false" outlineLevel="0" collapsed="false">
      <c r="A35" s="35" t="n">
        <v>15</v>
      </c>
      <c r="B35" s="36" t="s">
        <v>40</v>
      </c>
      <c r="C35" s="43" t="n">
        <f aca="false">(0.4*0.08/100)</f>
        <v>0.00032</v>
      </c>
      <c r="H35" s="11"/>
    </row>
    <row r="36" customFormat="false" ht="13.2" hidden="false" customHeight="false" outlineLevel="0" collapsed="false">
      <c r="A36" s="45" t="s">
        <v>41</v>
      </c>
      <c r="B36" s="45"/>
      <c r="C36" s="46" t="n">
        <f aca="false">SUM(C30:C35)</f>
        <v>0.040366</v>
      </c>
      <c r="H36" s="11"/>
    </row>
    <row r="37" customFormat="false" ht="13.2" hidden="false" customHeight="false" outlineLevel="0" collapsed="false">
      <c r="A37" s="26" t="s">
        <v>42</v>
      </c>
      <c r="B37" s="47" t="s">
        <v>43</v>
      </c>
      <c r="C37" s="47"/>
      <c r="H37" s="11"/>
    </row>
    <row r="38" customFormat="false" ht="13.2" hidden="false" customHeight="false" outlineLevel="0" collapsed="false">
      <c r="A38" s="35" t="n">
        <v>16</v>
      </c>
      <c r="B38" s="36" t="s">
        <v>44</v>
      </c>
      <c r="C38" s="37" t="n">
        <v>0.0909</v>
      </c>
      <c r="H38" s="11"/>
    </row>
    <row r="39" customFormat="false" ht="13.2" hidden="false" customHeight="false" outlineLevel="0" collapsed="false">
      <c r="A39" s="35" t="n">
        <v>17</v>
      </c>
      <c r="B39" s="36" t="s">
        <v>45</v>
      </c>
      <c r="C39" s="37" t="n">
        <v>0.0166</v>
      </c>
      <c r="H39" s="11"/>
    </row>
    <row r="40" customFormat="false" ht="13.2" hidden="false" customHeight="false" outlineLevel="0" collapsed="false">
      <c r="A40" s="35" t="n">
        <v>18</v>
      </c>
      <c r="B40" s="36" t="s">
        <v>46</v>
      </c>
      <c r="C40" s="37" t="n">
        <v>0.0003</v>
      </c>
      <c r="H40" s="11"/>
    </row>
    <row r="41" customFormat="false" ht="13.2" hidden="false" customHeight="false" outlineLevel="0" collapsed="false">
      <c r="A41" s="35" t="n">
        <v>19</v>
      </c>
      <c r="B41" s="36" t="s">
        <v>47</v>
      </c>
      <c r="C41" s="37" t="n">
        <v>0.0082</v>
      </c>
      <c r="H41" s="11"/>
    </row>
    <row r="42" customFormat="false" ht="13.2" hidden="false" customHeight="false" outlineLevel="0" collapsed="false">
      <c r="A42" s="35" t="n">
        <v>20</v>
      </c>
      <c r="B42" s="36" t="s">
        <v>48</v>
      </c>
      <c r="C42" s="37" t="n">
        <v>0.0003</v>
      </c>
      <c r="H42" s="11"/>
    </row>
    <row r="43" customFormat="false" ht="13.2" hidden="false" customHeight="false" outlineLevel="0" collapsed="false">
      <c r="A43" s="45" t="s">
        <v>25</v>
      </c>
      <c r="B43" s="45"/>
      <c r="C43" s="33" t="n">
        <f aca="false">SUM(C38:C42)</f>
        <v>0.1163</v>
      </c>
      <c r="H43" s="11"/>
    </row>
    <row r="44" customFormat="false" ht="13.2" hidden="false" customHeight="false" outlineLevel="0" collapsed="false">
      <c r="A44" s="42" t="s">
        <v>49</v>
      </c>
      <c r="B44" s="42"/>
      <c r="C44" s="32" t="n">
        <f aca="false">C17*C43</f>
        <v>0.0462874</v>
      </c>
      <c r="H44" s="11"/>
    </row>
    <row r="45" customFormat="false" ht="13.2" hidden="false" customHeight="false" outlineLevel="0" collapsed="false">
      <c r="A45" s="45" t="s">
        <v>50</v>
      </c>
      <c r="B45" s="45"/>
      <c r="C45" s="33" t="n">
        <f aca="false">SUM(C43:C44)</f>
        <v>0.1625874</v>
      </c>
      <c r="H45" s="11"/>
    </row>
    <row r="46" customFormat="false" ht="13.2" hidden="false" customHeight="false" outlineLevel="0" collapsed="false">
      <c r="A46" s="48" t="s">
        <v>51</v>
      </c>
      <c r="B46" s="49" t="s">
        <v>52</v>
      </c>
      <c r="C46" s="33"/>
      <c r="H46" s="11"/>
    </row>
    <row r="47" customFormat="false" ht="13.2" hidden="false" customHeight="false" outlineLevel="0" collapsed="false">
      <c r="A47" s="35" t="n">
        <v>21</v>
      </c>
      <c r="B47" s="36" t="s">
        <v>53</v>
      </c>
      <c r="C47" s="37" t="n">
        <v>0.0008</v>
      </c>
      <c r="H47" s="11"/>
    </row>
    <row r="48" customFormat="false" ht="13.2" hidden="false" customHeight="false" outlineLevel="0" collapsed="false">
      <c r="A48" s="45" t="s">
        <v>54</v>
      </c>
      <c r="B48" s="45"/>
      <c r="C48" s="50" t="n">
        <f aca="false">SUM(C47)</f>
        <v>0.0008</v>
      </c>
      <c r="H48" s="11"/>
    </row>
    <row r="49" customFormat="false" ht="13.2" hidden="false" customHeight="false" outlineLevel="0" collapsed="false">
      <c r="A49" s="25" t="s">
        <v>55</v>
      </c>
      <c r="B49" s="25"/>
      <c r="C49" s="25"/>
      <c r="H49" s="11"/>
    </row>
    <row r="50" customFormat="false" ht="13.2" hidden="false" customHeight="false" outlineLevel="0" collapsed="false">
      <c r="A50" s="42" t="s">
        <v>10</v>
      </c>
      <c r="B50" s="42"/>
      <c r="C50" s="51" t="n">
        <f aca="false">ROUND(C17,4)</f>
        <v>0.398</v>
      </c>
      <c r="H50" s="11"/>
    </row>
    <row r="51" customFormat="false" ht="13.2" hidden="false" customHeight="false" outlineLevel="0" collapsed="false">
      <c r="A51" s="42" t="s">
        <v>56</v>
      </c>
      <c r="B51" s="42"/>
      <c r="C51" s="51" t="n">
        <f aca="false">ROUND(C24,4)</f>
        <v>0.1694</v>
      </c>
      <c r="H51" s="11"/>
    </row>
    <row r="52" customFormat="false" ht="13.2" hidden="false" customHeight="false" outlineLevel="0" collapsed="false">
      <c r="A52" s="42" t="s">
        <v>29</v>
      </c>
      <c r="B52" s="42"/>
      <c r="C52" s="51" t="n">
        <f aca="false">ROUND(C28,4)</f>
        <v>0.0004</v>
      </c>
      <c r="H52" s="11"/>
    </row>
    <row r="53" customFormat="false" ht="13.2" hidden="false" customHeight="false" outlineLevel="0" collapsed="false">
      <c r="A53" s="42" t="s">
        <v>57</v>
      </c>
      <c r="B53" s="42"/>
      <c r="C53" s="51" t="n">
        <f aca="false">ROUND(C36,4)</f>
        <v>0.0404</v>
      </c>
      <c r="H53" s="11"/>
    </row>
    <row r="54" customFormat="false" ht="13.2" hidden="false" customHeight="false" outlineLevel="0" collapsed="false">
      <c r="A54" s="42" t="s">
        <v>58</v>
      </c>
      <c r="B54" s="42"/>
      <c r="C54" s="51" t="n">
        <f aca="false">ROUND(C45,4)</f>
        <v>0.1626</v>
      </c>
      <c r="H54" s="11"/>
    </row>
    <row r="55" customFormat="false" ht="13.2" hidden="false" customHeight="false" outlineLevel="0" collapsed="false">
      <c r="A55" s="42" t="s">
        <v>53</v>
      </c>
      <c r="B55" s="42"/>
      <c r="C55" s="51" t="n">
        <f aca="false">ROUND(C48,4)</f>
        <v>0.0008</v>
      </c>
      <c r="H55" s="11"/>
    </row>
    <row r="56" customFormat="false" ht="33" hidden="false" customHeight="true" outlineLevel="0" collapsed="false">
      <c r="A56" s="52" t="s">
        <v>59</v>
      </c>
      <c r="B56" s="52"/>
      <c r="C56" s="53" t="n">
        <f aca="false">SUM(C50:C55)</f>
        <v>0.7716</v>
      </c>
      <c r="H56" s="11"/>
    </row>
    <row r="57" customFormat="false" ht="13.2" hidden="false" customHeight="false" outlineLevel="0" collapsed="false">
      <c r="A57" s="54"/>
      <c r="B57" s="55"/>
      <c r="C57" s="56"/>
      <c r="H57" s="11"/>
    </row>
    <row r="58" customFormat="false" ht="18" hidden="false" customHeight="false" outlineLevel="0" collapsed="false">
      <c r="A58" s="57" t="s">
        <v>60</v>
      </c>
      <c r="B58" s="58"/>
      <c r="C58" s="59"/>
      <c r="H58" s="11"/>
    </row>
    <row r="59" customFormat="false" ht="72.75" hidden="false" customHeight="true" outlineLevel="0" collapsed="false">
      <c r="A59" s="60" t="s">
        <v>61</v>
      </c>
      <c r="B59" s="60"/>
      <c r="C59" s="60"/>
      <c r="D59" s="61"/>
      <c r="E59" s="61"/>
      <c r="F59" s="61"/>
      <c r="G59" s="61"/>
      <c r="H59" s="62"/>
    </row>
  </sheetData>
  <mergeCells count="30">
    <mergeCell ref="A4:C4"/>
    <mergeCell ref="A5:C5"/>
    <mergeCell ref="A6:C6"/>
    <mergeCell ref="B8:C8"/>
    <mergeCell ref="A17:B17"/>
    <mergeCell ref="A18:C18"/>
    <mergeCell ref="A22:B22"/>
    <mergeCell ref="A23:B23"/>
    <mergeCell ref="A24:B24"/>
    <mergeCell ref="B25:C25"/>
    <mergeCell ref="A27:B27"/>
    <mergeCell ref="A28:B28"/>
    <mergeCell ref="B29:C29"/>
    <mergeCell ref="A31:B31"/>
    <mergeCell ref="A34:B34"/>
    <mergeCell ref="A36:B36"/>
    <mergeCell ref="B37:C37"/>
    <mergeCell ref="A43:B43"/>
    <mergeCell ref="A44:B44"/>
    <mergeCell ref="A45:B45"/>
    <mergeCell ref="A48:B48"/>
    <mergeCell ref="A49:C49"/>
    <mergeCell ref="A50:B50"/>
    <mergeCell ref="A51:B51"/>
    <mergeCell ref="A52:B52"/>
    <mergeCell ref="A53:B53"/>
    <mergeCell ref="A54:B54"/>
    <mergeCell ref="A55:B55"/>
    <mergeCell ref="A56:B56"/>
    <mergeCell ref="A59:C5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8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C00000"/>
    <pageSetUpPr fitToPage="false"/>
  </sheetPr>
  <dimension ref="A1:F37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5" activeCellId="0" sqref="A5"/>
    </sheetView>
  </sheetViews>
  <sheetFormatPr defaultRowHeight="13.2" zeroHeight="false" outlineLevelRow="0" outlineLevelCol="0"/>
  <cols>
    <col collapsed="false" customWidth="true" hidden="false" outlineLevel="0" max="1" min="1" style="0" width="12.67"/>
    <col collapsed="false" customWidth="true" hidden="false" outlineLevel="0" max="2" min="2" style="0" width="57.78"/>
    <col collapsed="false" customWidth="true" hidden="false" outlineLevel="0" max="3" min="3" style="0" width="11.78"/>
    <col collapsed="false" customWidth="true" hidden="false" outlineLevel="0" max="4" min="4" style="0" width="13.66"/>
    <col collapsed="false" customWidth="true" hidden="false" outlineLevel="0" max="5" min="5" style="0" width="15.99"/>
    <col collapsed="false" customWidth="true" hidden="false" outlineLevel="0" max="6" min="6" style="0" width="18.33"/>
    <col collapsed="false" customWidth="true" hidden="false" outlineLevel="0" max="1025" min="7" style="0" width="8.67"/>
  </cols>
  <sheetData>
    <row r="1" customFormat="false" ht="13.8" hidden="false" customHeight="false" outlineLevel="0" collapsed="false">
      <c r="A1" s="371"/>
      <c r="B1" s="2" t="s">
        <v>0</v>
      </c>
      <c r="C1" s="282"/>
      <c r="D1" s="282"/>
      <c r="E1" s="282"/>
      <c r="F1" s="372"/>
    </row>
    <row r="2" customFormat="false" ht="13.8" hidden="false" customHeight="false" outlineLevel="0" collapsed="false">
      <c r="A2" s="373"/>
      <c r="B2" s="284" t="s">
        <v>1</v>
      </c>
      <c r="C2" s="5"/>
      <c r="D2" s="5"/>
      <c r="E2" s="5"/>
      <c r="F2" s="11"/>
    </row>
    <row r="3" customFormat="false" ht="13.8" hidden="false" customHeight="false" outlineLevel="0" collapsed="false">
      <c r="A3" s="374"/>
      <c r="B3" s="375" t="s">
        <v>2</v>
      </c>
      <c r="C3" s="8"/>
      <c r="D3" s="8"/>
      <c r="E3" s="8"/>
      <c r="F3" s="62"/>
    </row>
    <row r="4" customFormat="false" ht="19.2" hidden="false" customHeight="true" outlineLevel="0" collapsed="false">
      <c r="A4" s="376" t="s">
        <v>312</v>
      </c>
      <c r="B4" s="376"/>
      <c r="C4" s="376"/>
      <c r="D4" s="376"/>
      <c r="E4" s="376"/>
      <c r="F4" s="376"/>
    </row>
    <row r="5" customFormat="false" ht="17.4" hidden="false" customHeight="true" outlineLevel="0" collapsed="false">
      <c r="A5" s="376" t="s">
        <v>313</v>
      </c>
      <c r="B5" s="376"/>
      <c r="C5" s="376"/>
      <c r="D5" s="376"/>
      <c r="E5" s="376"/>
      <c r="F5" s="376"/>
    </row>
    <row r="6" customFormat="false" ht="13.2" hidden="false" customHeight="false" outlineLevel="0" collapsed="false">
      <c r="A6" s="377" t="s">
        <v>314</v>
      </c>
      <c r="B6" s="377"/>
      <c r="C6" s="377"/>
      <c r="D6" s="377"/>
      <c r="E6" s="377"/>
      <c r="F6" s="377"/>
    </row>
    <row r="7" customFormat="false" ht="21.75" hidden="false" customHeight="true" outlineLevel="0" collapsed="false">
      <c r="A7" s="378"/>
      <c r="B7" s="378"/>
      <c r="C7" s="378"/>
      <c r="D7" s="378"/>
      <c r="E7" s="378"/>
      <c r="F7" s="378"/>
    </row>
    <row r="8" customFormat="false" ht="18.75" hidden="false" customHeight="true" outlineLevel="0" collapsed="false">
      <c r="A8" s="379" t="s">
        <v>7</v>
      </c>
      <c r="B8" s="379"/>
      <c r="C8" s="379"/>
      <c r="D8" s="380"/>
      <c r="E8" s="380"/>
      <c r="F8" s="380"/>
    </row>
    <row r="9" customFormat="false" ht="34.2" hidden="false" customHeight="false" outlineLevel="0" collapsed="false">
      <c r="A9" s="379"/>
      <c r="B9" s="379"/>
      <c r="C9" s="379"/>
      <c r="D9" s="381" t="s">
        <v>315</v>
      </c>
      <c r="E9" s="382" t="s">
        <v>316</v>
      </c>
      <c r="F9" s="383" t="s">
        <v>317</v>
      </c>
    </row>
    <row r="10" customFormat="false" ht="20.1" hidden="false" customHeight="true" outlineLevel="0" collapsed="false">
      <c r="A10" s="384" t="s">
        <v>318</v>
      </c>
      <c r="B10" s="385" t="s">
        <v>43</v>
      </c>
      <c r="C10" s="386" t="s">
        <v>319</v>
      </c>
      <c r="D10" s="387"/>
      <c r="E10" s="387"/>
      <c r="F10" s="387"/>
    </row>
    <row r="11" customFormat="false" ht="20.1" hidden="false" customHeight="true" outlineLevel="0" collapsed="false">
      <c r="A11" s="388"/>
      <c r="B11" s="389" t="s">
        <v>320</v>
      </c>
      <c r="C11" s="386"/>
      <c r="D11" s="390" t="n">
        <f aca="false">'Aux. Administrativo 200h'!F10</f>
        <v>1626.05</v>
      </c>
      <c r="E11" s="391" t="n">
        <f aca="false">'Servente 200h - Acum. Copeira'!F11</f>
        <v>1348.42</v>
      </c>
      <c r="F11" s="392" t="n">
        <f aca="false">'Servente 200h(40%)'!F11</f>
        <v>1837.09</v>
      </c>
    </row>
    <row r="12" customFormat="false" ht="20.1" hidden="false" customHeight="true" outlineLevel="0" collapsed="false">
      <c r="A12" s="379" t="s">
        <v>321</v>
      </c>
      <c r="B12" s="393" t="s">
        <v>44</v>
      </c>
      <c r="C12" s="394" t="n">
        <f aca="false">Encargos!C38</f>
        <v>0.0909</v>
      </c>
      <c r="D12" s="395" t="n">
        <f aca="false">D11*$C$12</f>
        <v>147.807945</v>
      </c>
      <c r="E12" s="395" t="n">
        <f aca="false">E11*$C$12</f>
        <v>122.571378</v>
      </c>
      <c r="F12" s="395" t="n">
        <f aca="false">F11*$C$12</f>
        <v>166.991481</v>
      </c>
    </row>
    <row r="13" customFormat="false" ht="20.1" hidden="false" customHeight="true" outlineLevel="0" collapsed="false">
      <c r="A13" s="379" t="s">
        <v>322</v>
      </c>
      <c r="B13" s="393" t="s">
        <v>49</v>
      </c>
      <c r="C13" s="396" t="n">
        <f aca="false">C12*Encargos!C17</f>
        <v>0.0361782</v>
      </c>
      <c r="D13" s="395" t="n">
        <f aca="false">ROUND($C$13*D11,2)</f>
        <v>58.83</v>
      </c>
      <c r="E13" s="395" t="n">
        <f aca="false">ROUND($C$13*E11,2)</f>
        <v>48.78</v>
      </c>
      <c r="F13" s="395" t="n">
        <f aca="false">ROUND($C$13*F11,2)</f>
        <v>66.46</v>
      </c>
    </row>
    <row r="14" customFormat="false" ht="20.1" hidden="false" customHeight="true" outlineLevel="0" collapsed="false">
      <c r="A14" s="397" t="s">
        <v>323</v>
      </c>
      <c r="B14" s="397"/>
      <c r="C14" s="398" t="n">
        <f aca="false">SUM($C$12:$C$13)</f>
        <v>0.1270782</v>
      </c>
      <c r="D14" s="399" t="n">
        <f aca="false">SUM(D12:D13)</f>
        <v>206.637945</v>
      </c>
      <c r="E14" s="399" t="n">
        <f aca="false">SUM(E12:E13)</f>
        <v>171.351378</v>
      </c>
      <c r="F14" s="400" t="n">
        <f aca="false">SUM(F12:F13)</f>
        <v>233.451481</v>
      </c>
    </row>
    <row r="15" customFormat="false" ht="20.1" hidden="false" customHeight="true" outlineLevel="0" collapsed="false">
      <c r="A15" s="397" t="s">
        <v>324</v>
      </c>
      <c r="B15" s="397"/>
      <c r="C15" s="397"/>
      <c r="D15" s="399" t="n">
        <f aca="false">D14*12</f>
        <v>2479.65534</v>
      </c>
      <c r="E15" s="399" t="n">
        <f aca="false">E14*12</f>
        <v>2056.216536</v>
      </c>
      <c r="F15" s="400" t="n">
        <f aca="false">F14*12</f>
        <v>2801.417772</v>
      </c>
    </row>
    <row r="16" customFormat="false" ht="20.1" hidden="false" customHeight="true" outlineLevel="0" collapsed="false">
      <c r="A16" s="401" t="n">
        <v>2</v>
      </c>
      <c r="B16" s="402" t="s">
        <v>325</v>
      </c>
      <c r="C16" s="402"/>
      <c r="D16" s="403"/>
      <c r="E16" s="404"/>
      <c r="F16" s="404"/>
    </row>
    <row r="17" customFormat="false" ht="20.1" hidden="false" customHeight="true" outlineLevel="0" collapsed="false">
      <c r="A17" s="405" t="s">
        <v>321</v>
      </c>
      <c r="B17" s="406" t="s">
        <v>245</v>
      </c>
      <c r="C17" s="406"/>
      <c r="D17" s="407" t="n">
        <f aca="false">'Aux. Administrativo 200h'!F19</f>
        <v>56.44</v>
      </c>
      <c r="E17" s="408" t="n">
        <f aca="false">'Servente 200h - Acum. Copeira'!F20</f>
        <v>75.45</v>
      </c>
      <c r="F17" s="409" t="n">
        <f aca="false">'Servente 200h(40%)'!F20</f>
        <v>75.45</v>
      </c>
    </row>
    <row r="18" customFormat="false" ht="20.1" hidden="false" customHeight="true" outlineLevel="0" collapsed="false">
      <c r="A18" s="405" t="s">
        <v>326</v>
      </c>
      <c r="B18" s="406" t="s">
        <v>247</v>
      </c>
      <c r="C18" s="406"/>
      <c r="D18" s="407" t="n">
        <f aca="false">'Aux. Administrativo 200h'!F18</f>
        <v>422.4</v>
      </c>
      <c r="E18" s="408" t="n">
        <f aca="false">'Servente 200h - Acum. Copeira'!F19</f>
        <v>422.4</v>
      </c>
      <c r="F18" s="409" t="n">
        <f aca="false">'Servente 200h(40%)'!F19</f>
        <v>422.4</v>
      </c>
    </row>
    <row r="19" customFormat="false" ht="20.1" hidden="false" customHeight="true" outlineLevel="0" collapsed="false">
      <c r="A19" s="405" t="s">
        <v>327</v>
      </c>
      <c r="B19" s="406" t="s">
        <v>328</v>
      </c>
      <c r="C19" s="406"/>
      <c r="D19" s="407" t="n">
        <v>0</v>
      </c>
      <c r="E19" s="408" t="n">
        <v>0</v>
      </c>
      <c r="F19" s="409" t="n">
        <v>0</v>
      </c>
    </row>
    <row r="20" customFormat="false" ht="20.1" hidden="false" customHeight="true" outlineLevel="0" collapsed="false">
      <c r="A20" s="410" t="s">
        <v>329</v>
      </c>
      <c r="B20" s="410"/>
      <c r="C20" s="410"/>
      <c r="D20" s="411" t="n">
        <f aca="false">SUM(D17:D19)</f>
        <v>478.84</v>
      </c>
      <c r="E20" s="411" t="n">
        <f aca="false">SUM(E17:E19)</f>
        <v>497.85</v>
      </c>
      <c r="F20" s="412" t="n">
        <f aca="false">SUM(F17:F19)</f>
        <v>497.85</v>
      </c>
    </row>
    <row r="21" customFormat="false" ht="20.1" hidden="false" customHeight="true" outlineLevel="0" collapsed="false">
      <c r="A21" s="401" t="n">
        <v>5</v>
      </c>
      <c r="B21" s="413" t="s">
        <v>330</v>
      </c>
      <c r="C21" s="414" t="s">
        <v>319</v>
      </c>
      <c r="D21" s="415"/>
      <c r="E21" s="416"/>
      <c r="F21" s="416"/>
    </row>
    <row r="22" customFormat="false" ht="20.1" hidden="false" customHeight="true" outlineLevel="0" collapsed="false">
      <c r="A22" s="405" t="s">
        <v>321</v>
      </c>
      <c r="B22" s="406" t="s">
        <v>331</v>
      </c>
      <c r="C22" s="417" t="n">
        <f aca="false">Dados!H20</f>
        <v>0.03</v>
      </c>
      <c r="D22" s="418" t="n">
        <f aca="false">ROUND(($C$22*D35),2)</f>
        <v>88.75</v>
      </c>
      <c r="E22" s="418" t="n">
        <f aca="false">ROUND(($C$22*E35),2)</f>
        <v>76.62</v>
      </c>
      <c r="F22" s="418" t="n">
        <f aca="false">ROUND(($C$22*F35),2)</f>
        <v>98.98</v>
      </c>
    </row>
    <row r="23" customFormat="false" ht="20.1" hidden="false" customHeight="true" outlineLevel="0" collapsed="false">
      <c r="A23" s="405" t="s">
        <v>326</v>
      </c>
      <c r="B23" s="406" t="s">
        <v>251</v>
      </c>
      <c r="C23" s="417" t="n">
        <f aca="false">Dados!H21</f>
        <v>0.0679</v>
      </c>
      <c r="D23" s="418" t="n">
        <f aca="false">ROUND($C$23*(D22+D35),2)</f>
        <v>206.91</v>
      </c>
      <c r="E23" s="418" t="n">
        <f aca="false">ROUND($C$23*(E22+E35),2)</f>
        <v>178.62</v>
      </c>
      <c r="F23" s="418" t="n">
        <f aca="false">ROUND($C$23*(F22+F35),2)</f>
        <v>230.74</v>
      </c>
    </row>
    <row r="24" customFormat="false" ht="20.1" hidden="false" customHeight="true" outlineLevel="0" collapsed="false">
      <c r="A24" s="419" t="s">
        <v>332</v>
      </c>
      <c r="B24" s="420" t="s">
        <v>333</v>
      </c>
      <c r="C24" s="421" t="n">
        <f aca="false">SUM($C$25:$C$28)</f>
        <v>0.1225</v>
      </c>
      <c r="D24" s="422" t="n">
        <f aca="false">ROUND((((D35+D22+D23)/(1-$C$24))-(D35+D22+D23)),2)</f>
        <v>454.28</v>
      </c>
      <c r="E24" s="422" t="n">
        <f aca="false">ROUND((((E35+E22+E23)/(1-$C$24))-(E35+E22+E23)),2)</f>
        <v>392.18</v>
      </c>
      <c r="F24" s="422" t="n">
        <f aca="false">ROUND((((F35+F22+F23)/(1-$C$24))-(F35+F22+F23)),2)</f>
        <v>506.61</v>
      </c>
    </row>
    <row r="25" customFormat="false" ht="20.1" hidden="false" customHeight="true" outlineLevel="0" collapsed="false">
      <c r="A25" s="423" t="s">
        <v>334</v>
      </c>
      <c r="B25" s="406" t="s">
        <v>335</v>
      </c>
      <c r="C25" s="424" t="n">
        <f aca="false">Dados!H24+Dados!H25</f>
        <v>0.0925</v>
      </c>
      <c r="D25" s="425" t="n">
        <f aca="false">ROUND($C$25*D37,2)</f>
        <v>343.03</v>
      </c>
      <c r="E25" s="425" t="n">
        <f aca="false">ROUND($C$25*E37,2)</f>
        <v>296.14</v>
      </c>
      <c r="F25" s="425" t="n">
        <f aca="false">ROUND($C$25*F37,2)</f>
        <v>382.54</v>
      </c>
    </row>
    <row r="26" customFormat="false" ht="20.1" hidden="false" customHeight="true" outlineLevel="0" collapsed="false">
      <c r="A26" s="405" t="s">
        <v>336</v>
      </c>
      <c r="B26" s="406" t="s">
        <v>337</v>
      </c>
      <c r="C26" s="424" t="n">
        <v>0</v>
      </c>
      <c r="D26" s="425" t="n">
        <v>0</v>
      </c>
      <c r="E26" s="425" t="n">
        <v>0</v>
      </c>
      <c r="F26" s="426" t="n">
        <v>0</v>
      </c>
    </row>
    <row r="27" customFormat="false" ht="20.1" hidden="false" customHeight="true" outlineLevel="0" collapsed="false">
      <c r="A27" s="405" t="s">
        <v>338</v>
      </c>
      <c r="B27" s="406" t="s">
        <v>339</v>
      </c>
      <c r="C27" s="424" t="n">
        <f aca="false">Dados!H26</f>
        <v>0.03</v>
      </c>
      <c r="D27" s="425" t="n">
        <f aca="false">ROUND($C$27*D37,2)</f>
        <v>111.25</v>
      </c>
      <c r="E27" s="425" t="n">
        <f aca="false">ROUND($C$27*E37,2)</f>
        <v>96.04</v>
      </c>
      <c r="F27" s="425" t="n">
        <f aca="false">ROUND($C$27*F37,2)</f>
        <v>124.07</v>
      </c>
    </row>
    <row r="28" customFormat="false" ht="20.1" hidden="false" customHeight="true" outlineLevel="0" collapsed="false">
      <c r="A28" s="405" t="s">
        <v>340</v>
      </c>
      <c r="B28" s="406" t="s">
        <v>341</v>
      </c>
      <c r="C28" s="424" t="n">
        <v>0</v>
      </c>
      <c r="D28" s="425" t="n">
        <v>0</v>
      </c>
      <c r="E28" s="425" t="n">
        <v>0</v>
      </c>
      <c r="F28" s="426" t="n">
        <v>0</v>
      </c>
    </row>
    <row r="29" customFormat="false" ht="20.1" hidden="false" customHeight="true" outlineLevel="0" collapsed="false">
      <c r="A29" s="410" t="s">
        <v>342</v>
      </c>
      <c r="B29" s="410"/>
      <c r="C29" s="410"/>
      <c r="D29" s="411" t="n">
        <f aca="false">ROUND(SUM(D22:D24),2)</f>
        <v>749.94</v>
      </c>
      <c r="E29" s="411" t="n">
        <f aca="false">ROUND(SUM(E22:E24),2)</f>
        <v>647.42</v>
      </c>
      <c r="F29" s="412" t="n">
        <f aca="false">ROUND(SUM(F22:F24),2)</f>
        <v>836.33</v>
      </c>
    </row>
    <row r="30" customFormat="false" ht="20.1" hidden="false" customHeight="true" outlineLevel="0" collapsed="false">
      <c r="A30" s="427" t="s">
        <v>343</v>
      </c>
      <c r="B30" s="427"/>
      <c r="C30" s="427"/>
      <c r="D30" s="427"/>
      <c r="E30" s="427"/>
      <c r="F30" s="427"/>
    </row>
    <row r="31" customFormat="false" ht="20.1" hidden="false" customHeight="true" outlineLevel="0" collapsed="false">
      <c r="A31" s="428" t="s">
        <v>344</v>
      </c>
      <c r="B31" s="428"/>
      <c r="C31" s="428"/>
      <c r="D31" s="428"/>
      <c r="E31" s="428"/>
      <c r="F31" s="428"/>
    </row>
    <row r="32" customFormat="false" ht="20.1" hidden="false" customHeight="true" outlineLevel="0" collapsed="false">
      <c r="A32" s="429" t="s">
        <v>345</v>
      </c>
      <c r="B32" s="429"/>
      <c r="C32" s="429"/>
      <c r="D32" s="430"/>
      <c r="E32" s="431"/>
      <c r="F32" s="431"/>
    </row>
    <row r="33" customFormat="false" ht="20.1" hidden="false" customHeight="true" outlineLevel="0" collapsed="false">
      <c r="A33" s="379" t="s">
        <v>321</v>
      </c>
      <c r="B33" s="393" t="s">
        <v>346</v>
      </c>
      <c r="C33" s="393"/>
      <c r="D33" s="432" t="n">
        <f aca="false">D15</f>
        <v>2479.65534</v>
      </c>
      <c r="E33" s="432" t="n">
        <f aca="false">E15</f>
        <v>2056.216536</v>
      </c>
      <c r="F33" s="432" t="n">
        <f aca="false">F15</f>
        <v>2801.417772</v>
      </c>
    </row>
    <row r="34" customFormat="false" ht="20.1" hidden="false" customHeight="true" outlineLevel="0" collapsed="false">
      <c r="A34" s="379" t="s">
        <v>326</v>
      </c>
      <c r="B34" s="393" t="s">
        <v>325</v>
      </c>
      <c r="C34" s="393"/>
      <c r="D34" s="432" t="n">
        <f aca="false">D20</f>
        <v>478.84</v>
      </c>
      <c r="E34" s="432" t="n">
        <f aca="false">E20</f>
        <v>497.85</v>
      </c>
      <c r="F34" s="432" t="n">
        <f aca="false">F20</f>
        <v>497.85</v>
      </c>
    </row>
    <row r="35" customFormat="false" ht="20.1" hidden="false" customHeight="true" outlineLevel="0" collapsed="false">
      <c r="A35" s="433" t="s">
        <v>347</v>
      </c>
      <c r="B35" s="433"/>
      <c r="C35" s="433"/>
      <c r="D35" s="434" t="n">
        <f aca="false">SUM(D33:D34)</f>
        <v>2958.49534</v>
      </c>
      <c r="E35" s="434" t="n">
        <f aca="false">SUM(E33:E34)</f>
        <v>2554.066536</v>
      </c>
      <c r="F35" s="434" t="n">
        <f aca="false">SUM(F33:F34)</f>
        <v>3299.267772</v>
      </c>
    </row>
    <row r="36" customFormat="false" ht="20.1" hidden="false" customHeight="true" outlineLevel="0" collapsed="false">
      <c r="A36" s="379" t="s">
        <v>348</v>
      </c>
      <c r="B36" s="393" t="s">
        <v>349</v>
      </c>
      <c r="C36" s="393"/>
      <c r="D36" s="432" t="n">
        <f aca="false">D29</f>
        <v>749.94</v>
      </c>
      <c r="E36" s="432" t="n">
        <f aca="false">E29</f>
        <v>647.42</v>
      </c>
      <c r="F36" s="432" t="n">
        <f aca="false">F29</f>
        <v>836.33</v>
      </c>
    </row>
    <row r="37" customFormat="false" ht="31.5" hidden="false" customHeight="true" outlineLevel="0" collapsed="false">
      <c r="A37" s="435" t="s">
        <v>350</v>
      </c>
      <c r="B37" s="435"/>
      <c r="C37" s="435"/>
      <c r="D37" s="436" t="n">
        <f aca="false">SUM(D35:D36)</f>
        <v>3708.43534</v>
      </c>
      <c r="E37" s="436" t="n">
        <f aca="false">SUM(E35:E36)</f>
        <v>3201.486536</v>
      </c>
      <c r="F37" s="437" t="n">
        <f aca="false">SUM(F35:F36)</f>
        <v>4135.597772</v>
      </c>
    </row>
  </sheetData>
  <mergeCells count="27">
    <mergeCell ref="A4:F4"/>
    <mergeCell ref="A5:F5"/>
    <mergeCell ref="A6:F6"/>
    <mergeCell ref="A7:F7"/>
    <mergeCell ref="A8:C9"/>
    <mergeCell ref="D8:F8"/>
    <mergeCell ref="C10:C11"/>
    <mergeCell ref="D10:F10"/>
    <mergeCell ref="A14:B14"/>
    <mergeCell ref="A15:C15"/>
    <mergeCell ref="B16:C16"/>
    <mergeCell ref="E16:F16"/>
    <mergeCell ref="B17:C17"/>
    <mergeCell ref="B18:C18"/>
    <mergeCell ref="B19:C19"/>
    <mergeCell ref="A20:C20"/>
    <mergeCell ref="E21:F21"/>
    <mergeCell ref="A29:C29"/>
    <mergeCell ref="A30:F30"/>
    <mergeCell ref="A31:F31"/>
    <mergeCell ref="A32:C32"/>
    <mergeCell ref="E32:F32"/>
    <mergeCell ref="B33:C33"/>
    <mergeCell ref="B34:C34"/>
    <mergeCell ref="A35:C35"/>
    <mergeCell ref="B36:C36"/>
    <mergeCell ref="A37:C3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B9CDE5"/>
    <pageSetUpPr fitToPage="false"/>
  </sheetPr>
  <dimension ref="A1:Z30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90" zoomScalePageLayoutView="100" workbookViewId="0">
      <selection pane="topLeft" activeCell="J1" activeCellId="0" sqref="J1"/>
    </sheetView>
  </sheetViews>
  <sheetFormatPr defaultRowHeight="13.2" zeroHeight="false" outlineLevelRow="0" outlineLevelCol="0"/>
  <cols>
    <col collapsed="false" customWidth="true" hidden="false" outlineLevel="0" max="1" min="1" style="0" width="9.44"/>
    <col collapsed="false" customWidth="true" hidden="false" outlineLevel="0" max="2" min="2" style="0" width="39.45"/>
    <col collapsed="false" customWidth="true" hidden="false" outlineLevel="0" max="4" min="3" style="0" width="8.67"/>
    <col collapsed="false" customWidth="true" hidden="false" outlineLevel="0" max="5" min="5" style="0" width="11.78"/>
    <col collapsed="false" customWidth="true" hidden="false" outlineLevel="0" max="6" min="6" style="0" width="13.66"/>
    <col collapsed="false" customWidth="true" hidden="false" outlineLevel="0" max="10" min="7" style="0" width="14.11"/>
    <col collapsed="false" customWidth="true" hidden="false" outlineLevel="0" max="11" min="11" style="0" width="11.99"/>
    <col collapsed="false" customWidth="true" hidden="false" outlineLevel="0" max="12" min="12" style="0" width="15.99"/>
    <col collapsed="false" customWidth="true" hidden="false" outlineLevel="0" max="14" min="13" style="0" width="13.44"/>
    <col collapsed="false" customWidth="true" hidden="false" outlineLevel="0" max="15" min="15" style="0" width="10.77"/>
    <col collapsed="false" customWidth="true" hidden="false" outlineLevel="0" max="16" min="16" style="0" width="16.11"/>
    <col collapsed="false" customWidth="true" hidden="false" outlineLevel="0" max="18" min="17" style="0" width="15.44"/>
    <col collapsed="false" customWidth="true" hidden="false" outlineLevel="0" max="19" min="19" style="0" width="21.45"/>
    <col collapsed="false" customWidth="true" hidden="false" outlineLevel="0" max="20" min="20" style="0" width="8.67"/>
    <col collapsed="false" customWidth="true" hidden="false" outlineLevel="0" max="21" min="21" style="0" width="17.44"/>
    <col collapsed="false" customWidth="true" hidden="false" outlineLevel="0" max="22" min="22" style="0" width="16.11"/>
    <col collapsed="false" customWidth="true" hidden="false" outlineLevel="0" max="23" min="23" style="0" width="12.45"/>
    <col collapsed="false" customWidth="true" hidden="false" outlineLevel="0" max="24" min="24" style="0" width="11.44"/>
    <col collapsed="false" customWidth="true" hidden="false" outlineLevel="0" max="25" min="25" style="0" width="12.78"/>
    <col collapsed="false" customWidth="true" hidden="false" outlineLevel="0" max="26" min="26" style="0" width="19.11"/>
    <col collapsed="false" customWidth="true" hidden="false" outlineLevel="0" max="1025" min="27" style="0" width="8.67"/>
  </cols>
  <sheetData>
    <row r="1" customFormat="false" ht="15.75" hidden="false" customHeight="true" outlineLevel="0" collapsed="false">
      <c r="A1" s="438"/>
      <c r="B1" s="439" t="s">
        <v>0</v>
      </c>
      <c r="C1" s="439"/>
      <c r="D1" s="440"/>
      <c r="E1" s="440"/>
      <c r="F1" s="440"/>
      <c r="G1" s="440"/>
      <c r="H1" s="440"/>
      <c r="I1" s="440"/>
      <c r="J1" s="440"/>
      <c r="K1" s="440"/>
      <c r="L1" s="440"/>
      <c r="M1" s="441"/>
      <c r="N1" s="441"/>
      <c r="O1" s="441"/>
      <c r="P1" s="441"/>
      <c r="Q1" s="441"/>
      <c r="R1" s="441"/>
      <c r="S1" s="442"/>
    </row>
    <row r="2" customFormat="false" ht="14.25" hidden="false" customHeight="true" outlineLevel="0" collapsed="false">
      <c r="A2" s="208"/>
      <c r="B2" s="284" t="s">
        <v>1</v>
      </c>
      <c r="C2" s="284"/>
      <c r="D2" s="5"/>
      <c r="E2" s="5"/>
      <c r="F2" s="5"/>
      <c r="G2" s="5"/>
      <c r="H2" s="5"/>
      <c r="I2" s="5"/>
      <c r="J2" s="5"/>
      <c r="K2" s="5"/>
      <c r="L2" s="5"/>
      <c r="M2" s="443"/>
      <c r="N2" s="443"/>
      <c r="O2" s="443"/>
      <c r="P2" s="443"/>
      <c r="Q2" s="443"/>
      <c r="R2" s="443"/>
      <c r="S2" s="444"/>
    </row>
    <row r="3" customFormat="false" ht="13.8" hidden="false" customHeight="false" outlineLevel="0" collapsed="false">
      <c r="A3" s="208"/>
      <c r="B3" s="284" t="s">
        <v>2</v>
      </c>
      <c r="C3" s="284"/>
      <c r="D3" s="5"/>
      <c r="E3" s="5"/>
      <c r="F3" s="5"/>
      <c r="G3" s="5"/>
      <c r="H3" s="5"/>
      <c r="I3" s="5"/>
      <c r="J3" s="5"/>
      <c r="K3" s="5"/>
      <c r="L3" s="5"/>
      <c r="M3" s="443"/>
      <c r="N3" s="443"/>
      <c r="O3" s="443"/>
      <c r="P3" s="443"/>
      <c r="Q3" s="443"/>
      <c r="R3" s="443"/>
      <c r="S3" s="444"/>
    </row>
    <row r="4" customFormat="false" ht="23.4" hidden="false" customHeight="true" outlineLevel="0" collapsed="false">
      <c r="A4" s="445" t="s">
        <v>351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</row>
    <row r="5" customFormat="false" ht="18" hidden="false" customHeight="true" outlineLevel="0" collapsed="false">
      <c r="A5" s="446" t="s">
        <v>352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</row>
    <row r="6" s="451" customFormat="true" ht="18" hidden="false" customHeight="true" outlineLevel="0" collapsed="false">
      <c r="A6" s="447"/>
      <c r="B6" s="447"/>
      <c r="C6" s="448"/>
      <c r="D6" s="448"/>
      <c r="E6" s="449" t="str">
        <f aca="false">Dados!B6</f>
        <v>CCT 2023</v>
      </c>
      <c r="F6" s="449"/>
      <c r="G6" s="449"/>
      <c r="H6" s="449"/>
      <c r="I6" s="449"/>
      <c r="J6" s="449"/>
      <c r="K6" s="449"/>
      <c r="L6" s="449"/>
      <c r="M6" s="449"/>
      <c r="N6" s="449"/>
      <c r="O6" s="449"/>
      <c r="P6" s="449"/>
      <c r="Q6" s="449"/>
      <c r="R6" s="450" t="s">
        <v>353</v>
      </c>
      <c r="S6" s="450"/>
    </row>
    <row r="7" s="451" customFormat="true" ht="15.75" hidden="false" customHeight="true" outlineLevel="0" collapsed="false">
      <c r="A7" s="452" t="s">
        <v>354</v>
      </c>
      <c r="B7" s="453" t="s">
        <v>355</v>
      </c>
      <c r="C7" s="453"/>
      <c r="D7" s="454" t="s">
        <v>356</v>
      </c>
      <c r="E7" s="454"/>
      <c r="F7" s="454"/>
      <c r="G7" s="454"/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3" t="s">
        <v>357</v>
      </c>
      <c r="U7" s="455" t="s">
        <v>358</v>
      </c>
      <c r="V7" s="455"/>
    </row>
    <row r="8" s="451" customFormat="true" ht="15.75" hidden="false" customHeight="true" outlineLevel="0" collapsed="false">
      <c r="A8" s="452"/>
      <c r="B8" s="453"/>
      <c r="C8" s="453"/>
      <c r="D8" s="453" t="s">
        <v>198</v>
      </c>
      <c r="E8" s="453"/>
      <c r="F8" s="453"/>
      <c r="G8" s="453" t="s">
        <v>359</v>
      </c>
      <c r="H8" s="453"/>
      <c r="I8" s="453"/>
      <c r="J8" s="456" t="s">
        <v>360</v>
      </c>
      <c r="K8" s="456"/>
      <c r="L8" s="456"/>
      <c r="M8" s="456"/>
      <c r="N8" s="456"/>
      <c r="O8" s="456"/>
      <c r="P8" s="456"/>
      <c r="Q8" s="456"/>
      <c r="R8" s="456"/>
      <c r="S8" s="453"/>
      <c r="U8" s="455"/>
      <c r="V8" s="455"/>
    </row>
    <row r="9" s="451" customFormat="true" ht="30.75" hidden="false" customHeight="true" outlineLevel="0" collapsed="false">
      <c r="A9" s="452"/>
      <c r="B9" s="453"/>
      <c r="C9" s="453"/>
      <c r="D9" s="453" t="s">
        <v>361</v>
      </c>
      <c r="E9" s="453"/>
      <c r="F9" s="453"/>
      <c r="G9" s="453" t="s">
        <v>362</v>
      </c>
      <c r="H9" s="453" t="s">
        <v>363</v>
      </c>
      <c r="I9" s="453"/>
      <c r="J9" s="456" t="s">
        <v>364</v>
      </c>
      <c r="K9" s="457" t="s">
        <v>365</v>
      </c>
      <c r="L9" s="457"/>
      <c r="M9" s="456" t="s">
        <v>366</v>
      </c>
      <c r="N9" s="456"/>
      <c r="O9" s="456"/>
      <c r="P9" s="456" t="s">
        <v>367</v>
      </c>
      <c r="Q9" s="456" t="s">
        <v>368</v>
      </c>
      <c r="R9" s="456" t="s">
        <v>369</v>
      </c>
      <c r="S9" s="453"/>
      <c r="U9" s="455"/>
      <c r="V9" s="455"/>
    </row>
    <row r="10" s="451" customFormat="true" ht="121.5" hidden="false" customHeight="true" outlineLevel="0" collapsed="false">
      <c r="A10" s="452"/>
      <c r="B10" s="453" t="s">
        <v>221</v>
      </c>
      <c r="C10" s="458" t="s">
        <v>222</v>
      </c>
      <c r="D10" s="459" t="s">
        <v>109</v>
      </c>
      <c r="E10" s="456" t="s">
        <v>370</v>
      </c>
      <c r="F10" s="456" t="s">
        <v>371</v>
      </c>
      <c r="G10" s="453"/>
      <c r="H10" s="456" t="s">
        <v>372</v>
      </c>
      <c r="I10" s="456" t="s">
        <v>373</v>
      </c>
      <c r="J10" s="456"/>
      <c r="K10" s="456" t="s">
        <v>374</v>
      </c>
      <c r="L10" s="456" t="s">
        <v>375</v>
      </c>
      <c r="M10" s="456" t="s">
        <v>370</v>
      </c>
      <c r="N10" s="456" t="s">
        <v>376</v>
      </c>
      <c r="O10" s="458" t="s">
        <v>377</v>
      </c>
      <c r="P10" s="456"/>
      <c r="Q10" s="456"/>
      <c r="R10" s="456"/>
      <c r="S10" s="453"/>
      <c r="U10" s="455"/>
      <c r="V10" s="455"/>
    </row>
    <row r="11" s="451" customFormat="true" ht="49.95" hidden="false" customHeight="true" outlineLevel="0" collapsed="false">
      <c r="A11" s="460" t="str">
        <f aca="false">Dados!A10</f>
        <v>3339037-01</v>
      </c>
      <c r="B11" s="461" t="str">
        <f aca="false">Dados!B10</f>
        <v>Auxiliar Administrativo</v>
      </c>
      <c r="C11" s="462" t="n">
        <v>200</v>
      </c>
      <c r="D11" s="462" t="n">
        <v>2</v>
      </c>
      <c r="E11" s="463" t="n">
        <f aca="false">'Aux. Administrativo 200h'!F37</f>
        <v>4254.83</v>
      </c>
      <c r="F11" s="463" t="n">
        <f aca="false">ROUND(D11*E11,2)</f>
        <v>8509.66</v>
      </c>
      <c r="G11" s="463" t="n">
        <f aca="false">'Aux. Administrativo 200h'!H37</f>
        <v>70.75</v>
      </c>
      <c r="H11" s="463"/>
      <c r="I11" s="463" t="n">
        <f aca="false">(ROUND(G11/Dados!$H$18*H11,2))</f>
        <v>0</v>
      </c>
      <c r="J11" s="464" t="n">
        <f aca="false">'Aux. Administrativo 200h'!F37-'Aux. Administrativo 200h'!G37</f>
        <v>4254.83</v>
      </c>
      <c r="K11" s="464"/>
      <c r="L11" s="463" t="n">
        <f aca="false">ROUND((J11/30)*K11,2)</f>
        <v>0</v>
      </c>
      <c r="M11" s="463" t="n">
        <f aca="false">Substituição!D37</f>
        <v>3708.43534</v>
      </c>
      <c r="N11" s="465"/>
      <c r="O11" s="463" t="n">
        <f aca="false">ROUND((M11/30)*N11,2)</f>
        <v>0</v>
      </c>
      <c r="P11" s="466"/>
      <c r="Q11" s="466"/>
      <c r="R11" s="464" t="n">
        <f aca="false">I11+L11+O11</f>
        <v>0</v>
      </c>
      <c r="S11" s="464" t="n">
        <f aca="false">F11-R11</f>
        <v>8509.66</v>
      </c>
      <c r="U11" s="467" t="str">
        <f aca="false">A11</f>
        <v>3339037-01</v>
      </c>
      <c r="V11" s="468" t="n">
        <f aca="false">S11</f>
        <v>8509.66</v>
      </c>
    </row>
    <row r="12" s="451" customFormat="true" ht="27" hidden="false" customHeight="true" outlineLevel="0" collapsed="false">
      <c r="A12" s="460" t="str">
        <f aca="false">Dados!A8</f>
        <v>3339037-02</v>
      </c>
      <c r="B12" s="469" t="str">
        <f aca="false">Dados!B8</f>
        <v>Servente de Limpeza com Acúmulo de copeira</v>
      </c>
      <c r="C12" s="462" t="n">
        <v>200</v>
      </c>
      <c r="D12" s="462" t="n">
        <v>1</v>
      </c>
      <c r="E12" s="463" t="n">
        <f aca="false">'Servente 200h - Acum. Copeira'!F38</f>
        <v>4840.56</v>
      </c>
      <c r="F12" s="463" t="n">
        <f aca="false">ROUND(D12*E12,2)</f>
        <v>4840.56</v>
      </c>
      <c r="G12" s="463" t="n">
        <f aca="false">'Servente 200h - Acum. Copeira'!H38</f>
        <v>94.58</v>
      </c>
      <c r="H12" s="463"/>
      <c r="I12" s="463" t="n">
        <f aca="false">(ROUND(G12/Dados!$H$18*H12,2))</f>
        <v>0</v>
      </c>
      <c r="J12" s="464" t="n">
        <f aca="false">'Servente 200h - Acum. Copeira'!F38-'Servente 200h - Acum. Copeira'!G38</f>
        <v>3612.33</v>
      </c>
      <c r="K12" s="464"/>
      <c r="L12" s="463" t="n">
        <f aca="false">ROUND((J12/30)*K12,2)</f>
        <v>0</v>
      </c>
      <c r="M12" s="463" t="n">
        <f aca="false">Substituição!E37</f>
        <v>3201.486536</v>
      </c>
      <c r="N12" s="465"/>
      <c r="O12" s="463" t="n">
        <f aca="false">ROUND((M12/30)*N12,2)</f>
        <v>0</v>
      </c>
      <c r="P12" s="466"/>
      <c r="Q12" s="466"/>
      <c r="R12" s="464" t="n">
        <f aca="false">I12+L12+O12</f>
        <v>0</v>
      </c>
      <c r="S12" s="464" t="n">
        <f aca="false">F12-R12</f>
        <v>4840.56</v>
      </c>
      <c r="U12" s="467" t="str">
        <f aca="false">A12</f>
        <v>3339037-02</v>
      </c>
      <c r="V12" s="468" t="n">
        <f aca="false">S12+S13</f>
        <v>10789.51</v>
      </c>
    </row>
    <row r="13" s="451" customFormat="true" ht="27" hidden="false" customHeight="true" outlineLevel="0" collapsed="false">
      <c r="A13" s="460"/>
      <c r="B13" s="470" t="str">
        <f aca="false">Dados!B9</f>
        <v>Servente de Limpeza (40%)</v>
      </c>
      <c r="C13" s="462" t="n">
        <v>200</v>
      </c>
      <c r="D13" s="462" t="n">
        <v>1</v>
      </c>
      <c r="E13" s="463" t="n">
        <f aca="false">'Servente 200h(40%)'!F38</f>
        <v>5948.95</v>
      </c>
      <c r="F13" s="463" t="n">
        <f aca="false">ROUND(D13*E13,2)</f>
        <v>5948.95</v>
      </c>
      <c r="G13" s="463" t="n">
        <f aca="false">'Servente 200h(40%)'!H38</f>
        <v>94.58</v>
      </c>
      <c r="H13" s="463"/>
      <c r="I13" s="463" t="n">
        <f aca="false">(ROUND(G13/Dados!$H$18*H13,2))</f>
        <v>0</v>
      </c>
      <c r="J13" s="464" t="n">
        <f aca="false">'Servente 200h(40%)'!F38-'Servente 200h(40%)'!G38</f>
        <v>4773.23</v>
      </c>
      <c r="K13" s="464"/>
      <c r="L13" s="463" t="n">
        <f aca="false">ROUND((J13/30)*K13,2)</f>
        <v>0</v>
      </c>
      <c r="M13" s="463" t="n">
        <f aca="false">Substituição!F37</f>
        <v>4135.597772</v>
      </c>
      <c r="N13" s="465"/>
      <c r="O13" s="463" t="n">
        <f aca="false">ROUND((M13/30)*N13,2)</f>
        <v>0</v>
      </c>
      <c r="P13" s="463"/>
      <c r="Q13" s="463" t="n">
        <f aca="false">(M13-'Servente 200h(40%)'!I38)/30*P13</f>
        <v>0</v>
      </c>
      <c r="R13" s="464" t="n">
        <f aca="false">I13+L13+O13+Q13</f>
        <v>0</v>
      </c>
      <c r="S13" s="464" t="n">
        <f aca="false">F13-R13</f>
        <v>5948.95</v>
      </c>
      <c r="U13" s="471" t="s">
        <v>72</v>
      </c>
      <c r="V13" s="472" t="n">
        <f aca="false">SUM(V11:V12)</f>
        <v>19299.17</v>
      </c>
    </row>
    <row r="14" s="451" customFormat="true" ht="33.75" hidden="false" customHeight="true" outlineLevel="0" collapsed="false">
      <c r="A14" s="473" t="s">
        <v>357</v>
      </c>
      <c r="B14" s="473"/>
      <c r="C14" s="473"/>
      <c r="D14" s="474" t="n">
        <f aca="false">SUM(D11:D13)</f>
        <v>4</v>
      </c>
      <c r="E14" s="475"/>
      <c r="F14" s="475" t="n">
        <f aca="false">SUM(F11:F13)</f>
        <v>19299.17</v>
      </c>
      <c r="G14" s="475"/>
      <c r="H14" s="475" t="n">
        <f aca="false">SUM(H11:H13)</f>
        <v>0</v>
      </c>
      <c r="I14" s="475" t="n">
        <f aca="false">SUM(I11:I13)</f>
        <v>0</v>
      </c>
      <c r="J14" s="476" t="n">
        <f aca="false">SUM(J11:J13)</f>
        <v>12640.39</v>
      </c>
      <c r="K14" s="476" t="n">
        <f aca="false">SUM(K11:K13)</f>
        <v>0</v>
      </c>
      <c r="L14" s="476" t="n">
        <f aca="false">SUM(L11:L13)</f>
        <v>0</v>
      </c>
      <c r="M14" s="476" t="n">
        <f aca="false">SUM(M11:M13)</f>
        <v>11045.519648</v>
      </c>
      <c r="N14" s="476" t="n">
        <f aca="false">SUM(N11:N13)</f>
        <v>0</v>
      </c>
      <c r="O14" s="476" t="n">
        <f aca="false">SUM(O11:O13)</f>
        <v>0</v>
      </c>
      <c r="P14" s="476"/>
      <c r="Q14" s="476" t="n">
        <f aca="false">Q13</f>
        <v>0</v>
      </c>
      <c r="R14" s="476" t="n">
        <f aca="false">SUM(R11:R13)</f>
        <v>0</v>
      </c>
      <c r="S14" s="476" t="n">
        <f aca="false">SUM(S11:S13)</f>
        <v>19299.17</v>
      </c>
    </row>
    <row r="15" s="451" customFormat="true" ht="33.75" hidden="false" customHeight="true" outlineLevel="0" collapsed="false">
      <c r="A15" s="473" t="s">
        <v>378</v>
      </c>
      <c r="B15" s="473"/>
      <c r="C15" s="477" t="s">
        <v>379</v>
      </c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8" t="n">
        <f aca="false">Dados!L8+Dados!M8</f>
        <v>1917.795</v>
      </c>
      <c r="U15" s="479" t="s">
        <v>380</v>
      </c>
      <c r="V15" s="479"/>
      <c r="W15" s="479"/>
      <c r="X15" s="479"/>
      <c r="Y15" s="479"/>
      <c r="Z15" s="479"/>
    </row>
    <row r="16" s="451" customFormat="true" ht="41.25" hidden="false" customHeight="true" outlineLevel="0" collapsed="false">
      <c r="A16" s="473" t="s">
        <v>381</v>
      </c>
      <c r="B16" s="473" t="s">
        <v>381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6" t="n">
        <f aca="false">S14-S15</f>
        <v>17381.375</v>
      </c>
      <c r="U16" s="480" t="s">
        <v>382</v>
      </c>
      <c r="V16" s="480" t="s">
        <v>222</v>
      </c>
      <c r="W16" s="480" t="s">
        <v>383</v>
      </c>
      <c r="X16" s="480" t="s">
        <v>384</v>
      </c>
      <c r="Y16" s="480" t="s">
        <v>385</v>
      </c>
      <c r="Z16" s="480" t="s">
        <v>386</v>
      </c>
    </row>
    <row r="17" s="451" customFormat="true" ht="27.75" hidden="false" customHeight="true" outlineLevel="0" collapsed="false">
      <c r="A17" s="481" t="s">
        <v>387</v>
      </c>
      <c r="B17" s="481"/>
      <c r="C17" s="481"/>
      <c r="D17" s="481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1"/>
      <c r="S17" s="481"/>
      <c r="U17" s="482" t="str">
        <f aca="false">B11</f>
        <v>Auxiliar Administrativo</v>
      </c>
      <c r="V17" s="483" t="n">
        <f aca="false">C11</f>
        <v>200</v>
      </c>
      <c r="W17" s="484" t="n">
        <f aca="false">H11</f>
        <v>0</v>
      </c>
      <c r="X17" s="484" t="n">
        <f aca="false">K11</f>
        <v>0</v>
      </c>
      <c r="Y17" s="484" t="n">
        <f aca="false">N11</f>
        <v>0</v>
      </c>
      <c r="Z17" s="485"/>
    </row>
    <row r="18" s="451" customFormat="true" ht="51.45" hidden="false" customHeight="true" outlineLevel="0" collapsed="false">
      <c r="A18" s="486" t="s">
        <v>388</v>
      </c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6"/>
      <c r="Q18" s="486"/>
      <c r="R18" s="486"/>
      <c r="S18" s="486"/>
      <c r="U18" s="482" t="str">
        <f aca="false">B12</f>
        <v>Servente de Limpeza com Acúmulo de copeira</v>
      </c>
      <c r="V18" s="483" t="n">
        <f aca="false">C12</f>
        <v>200</v>
      </c>
      <c r="W18" s="484" t="n">
        <f aca="false">H12</f>
        <v>0</v>
      </c>
      <c r="X18" s="484" t="n">
        <f aca="false">K12</f>
        <v>0</v>
      </c>
      <c r="Y18" s="484" t="n">
        <f aca="false">N12</f>
        <v>0</v>
      </c>
      <c r="Z18" s="485"/>
    </row>
    <row r="19" s="451" customFormat="true" ht="26.4" hidden="false" customHeight="false" outlineLevel="0" collapsed="false">
      <c r="B19" s="487"/>
      <c r="C19" s="487"/>
      <c r="D19" s="487"/>
      <c r="E19" s="488"/>
      <c r="F19" s="488"/>
      <c r="G19" s="488"/>
      <c r="H19" s="488"/>
      <c r="I19" s="488"/>
      <c r="J19" s="489"/>
      <c r="K19" s="487"/>
      <c r="L19" s="490"/>
      <c r="M19" s="488"/>
      <c r="N19" s="487"/>
      <c r="O19" s="490"/>
      <c r="P19" s="490"/>
      <c r="Q19" s="490"/>
      <c r="R19" s="490"/>
      <c r="S19" s="490"/>
      <c r="U19" s="482" t="str">
        <f aca="false">B13</f>
        <v>Servente de Limpeza (40%)</v>
      </c>
      <c r="V19" s="483" t="n">
        <f aca="false">C13</f>
        <v>200</v>
      </c>
      <c r="W19" s="484" t="n">
        <f aca="false">H13</f>
        <v>0</v>
      </c>
      <c r="X19" s="484" t="n">
        <f aca="false">K13</f>
        <v>0</v>
      </c>
      <c r="Y19" s="484" t="n">
        <f aca="false">N13</f>
        <v>0</v>
      </c>
      <c r="Z19" s="484" t="n">
        <f aca="false">P13</f>
        <v>0</v>
      </c>
    </row>
    <row r="20" customFormat="false" ht="30.75" hidden="false" customHeight="true" outlineLevel="0" collapsed="false">
      <c r="U20" s="288" t="s">
        <v>72</v>
      </c>
      <c r="V20" s="288"/>
      <c r="W20" s="491" t="n">
        <f aca="false">H14</f>
        <v>0</v>
      </c>
      <c r="X20" s="491" t="n">
        <f aca="false">K14</f>
        <v>0</v>
      </c>
      <c r="Y20" s="491" t="n">
        <f aca="false">N14</f>
        <v>0</v>
      </c>
      <c r="Z20" s="491" t="n">
        <f aca="false">P13</f>
        <v>0</v>
      </c>
    </row>
    <row r="21" customFormat="false" ht="27.9" hidden="false" customHeight="true" outlineLevel="0" collapsed="false">
      <c r="U21" s="288" t="s">
        <v>389</v>
      </c>
      <c r="V21" s="288"/>
      <c r="W21" s="491" t="n">
        <f aca="false">I14</f>
        <v>0</v>
      </c>
      <c r="X21" s="491" t="n">
        <f aca="false">L14</f>
        <v>0</v>
      </c>
      <c r="Y21" s="491" t="n">
        <f aca="false">O14</f>
        <v>0</v>
      </c>
      <c r="Z21" s="491" t="n">
        <f aca="false">Q13</f>
        <v>0</v>
      </c>
    </row>
    <row r="24" customFormat="false" ht="13.2" hidden="false" customHeight="false" outlineLevel="0" collapsed="false">
      <c r="U24" s="492" t="s">
        <v>390</v>
      </c>
      <c r="V24" s="492"/>
      <c r="W24" s="492"/>
      <c r="X24" s="492"/>
      <c r="Y24" s="492"/>
      <c r="Z24" s="492"/>
    </row>
    <row r="25" customFormat="false" ht="13.2" hidden="false" customHeight="false" outlineLevel="0" collapsed="false">
      <c r="U25" s="492"/>
      <c r="V25" s="492"/>
      <c r="W25" s="492"/>
      <c r="X25" s="492"/>
      <c r="Y25" s="492"/>
      <c r="Z25" s="492"/>
    </row>
    <row r="26" customFormat="false" ht="18.6" hidden="false" customHeight="true" outlineLevel="0" collapsed="false">
      <c r="U26" s="493" t="s">
        <v>391</v>
      </c>
      <c r="V26" s="493"/>
      <c r="W26" s="494" t="n">
        <f aca="false">Dados!H20</f>
        <v>0.03</v>
      </c>
      <c r="X26" s="494" t="n">
        <f aca="false">Dados!H21</f>
        <v>0.0679</v>
      </c>
      <c r="Y26" s="494" t="n">
        <f aca="false">Dados!H24+Dados!H25+Dados!H26</f>
        <v>0.1225</v>
      </c>
      <c r="Z26" s="495" t="n">
        <v>1</v>
      </c>
    </row>
    <row r="27" customFormat="false" ht="26.4" hidden="false" customHeight="false" outlineLevel="0" collapsed="false">
      <c r="U27" s="493" t="s">
        <v>6</v>
      </c>
      <c r="V27" s="496" t="s">
        <v>392</v>
      </c>
      <c r="W27" s="496" t="s">
        <v>393</v>
      </c>
      <c r="X27" s="493" t="s">
        <v>251</v>
      </c>
      <c r="Y27" s="493" t="s">
        <v>333</v>
      </c>
      <c r="Z27" s="493" t="s">
        <v>394</v>
      </c>
    </row>
    <row r="28" customFormat="false" ht="29.85" hidden="false" customHeight="true" outlineLevel="0" collapsed="false">
      <c r="U28" s="496" t="s">
        <v>278</v>
      </c>
      <c r="V28" s="497" t="n">
        <f aca="false">Limpeza!G40</f>
        <v>1875.90333333333</v>
      </c>
      <c r="W28" s="498" t="n">
        <f aca="false">V28*$W$26</f>
        <v>56.2771</v>
      </c>
      <c r="X28" s="498" t="n">
        <f aca="false">SUM(V28:W28)*$X$26</f>
        <v>131.195051423333</v>
      </c>
      <c r="Y28" s="498" t="n">
        <f aca="false">Z28*$Y$26</f>
        <v>288.049569097085</v>
      </c>
      <c r="Z28" s="499" t="n">
        <f aca="false">SUM(V28:X28)/(1-$Y$26)</f>
        <v>2351.42505385375</v>
      </c>
    </row>
    <row r="29" customFormat="false" ht="27.9" hidden="false" customHeight="true" outlineLevel="0" collapsed="false">
      <c r="U29" s="496" t="s">
        <v>279</v>
      </c>
      <c r="V29" s="500" t="n">
        <f aca="false">Copa!G13</f>
        <v>41.8916666666667</v>
      </c>
      <c r="W29" s="498" t="n">
        <f aca="false">V29*$W$26</f>
        <v>1.25675</v>
      </c>
      <c r="X29" s="498" t="n">
        <f aca="false">SUM(V29:W29)*$X$26</f>
        <v>2.92977749166667</v>
      </c>
      <c r="Y29" s="498" t="n">
        <f aca="false">Z29*$Y$26</f>
        <v>6.43256841526591</v>
      </c>
      <c r="Z29" s="499" t="n">
        <f aca="false">SUM(V29:X29)/(1-$Y$26)</f>
        <v>52.5107625735993</v>
      </c>
    </row>
    <row r="30" customFormat="false" ht="23.25" hidden="false" customHeight="true" outlineLevel="0" collapsed="false">
      <c r="U30" s="493" t="s">
        <v>72</v>
      </c>
      <c r="V30" s="501" t="n">
        <f aca="false">SUM(V28:V29)</f>
        <v>1917.795</v>
      </c>
      <c r="W30" s="501" t="n">
        <f aca="false">SUM(W28:W29)</f>
        <v>57.53385</v>
      </c>
      <c r="X30" s="501" t="n">
        <f aca="false">SUM(X28:X29)</f>
        <v>134.124828915</v>
      </c>
      <c r="Y30" s="501" t="n">
        <f aca="false">SUM(Y28:Y29)</f>
        <v>294.48213751235</v>
      </c>
      <c r="Z30" s="501" t="n">
        <f aca="false">SUM(Z28:Z29)</f>
        <v>2403.93581642735</v>
      </c>
    </row>
  </sheetData>
  <mergeCells count="33">
    <mergeCell ref="A4:S4"/>
    <mergeCell ref="A5:S5"/>
    <mergeCell ref="A6:B6"/>
    <mergeCell ref="R6:S6"/>
    <mergeCell ref="A7:A10"/>
    <mergeCell ref="B7:C9"/>
    <mergeCell ref="D7:R7"/>
    <mergeCell ref="S7:S10"/>
    <mergeCell ref="U7:V10"/>
    <mergeCell ref="D8:F8"/>
    <mergeCell ref="G8:I8"/>
    <mergeCell ref="J8:R8"/>
    <mergeCell ref="D9:F9"/>
    <mergeCell ref="G9:G10"/>
    <mergeCell ref="H9:I9"/>
    <mergeCell ref="J9:J10"/>
    <mergeCell ref="K9:L9"/>
    <mergeCell ref="M9:O9"/>
    <mergeCell ref="P9:P10"/>
    <mergeCell ref="Q9:Q10"/>
    <mergeCell ref="R9:R10"/>
    <mergeCell ref="A12:A13"/>
    <mergeCell ref="A14:C14"/>
    <mergeCell ref="A15:B15"/>
    <mergeCell ref="C15:R15"/>
    <mergeCell ref="U15:Z15"/>
    <mergeCell ref="A16:R16"/>
    <mergeCell ref="A17:S17"/>
    <mergeCell ref="A18:S18"/>
    <mergeCell ref="U20:V20"/>
    <mergeCell ref="U21:V21"/>
    <mergeCell ref="U24:Z25"/>
    <mergeCell ref="U26:V2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53735"/>
    <pageSetUpPr fitToPage="false"/>
  </sheetPr>
  <dimension ref="A1:I22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H1" activeCellId="0" sqref="H1"/>
    </sheetView>
  </sheetViews>
  <sheetFormatPr defaultRowHeight="13.2" zeroHeight="false" outlineLevelRow="0" outlineLevelCol="0"/>
  <cols>
    <col collapsed="false" customWidth="true" hidden="false" outlineLevel="0" max="1" min="1" style="0" width="14.33"/>
    <col collapsed="false" customWidth="true" hidden="false" outlineLevel="0" max="3" min="2" style="0" width="8.67"/>
    <col collapsed="false" customWidth="true" hidden="false" outlineLevel="0" max="4" min="4" style="0" width="55"/>
    <col collapsed="false" customWidth="true" hidden="false" outlineLevel="0" max="5" min="5" style="0" width="14.33"/>
    <col collapsed="false" customWidth="true" hidden="false" outlineLevel="0" max="6" min="6" style="0" width="16.66"/>
    <col collapsed="false" customWidth="true" hidden="false" outlineLevel="0" max="8" min="7" style="0" width="12.11"/>
    <col collapsed="false" customWidth="true" hidden="false" outlineLevel="0" max="1025" min="9" style="0" width="8.67"/>
  </cols>
  <sheetData>
    <row r="1" customFormat="false" ht="13.8" hidden="false" customHeight="false" outlineLevel="0" collapsed="false">
      <c r="A1" s="63"/>
      <c r="B1" s="63" t="s">
        <v>62</v>
      </c>
      <c r="C1" s="64"/>
      <c r="D1" s="64"/>
      <c r="E1" s="65"/>
      <c r="F1" s="65"/>
      <c r="G1" s="65"/>
      <c r="H1" s="66"/>
    </row>
    <row r="2" customFormat="false" ht="13.8" hidden="false" customHeight="false" outlineLevel="0" collapsed="false">
      <c r="A2" s="64"/>
      <c r="B2" s="64" t="s">
        <v>1</v>
      </c>
      <c r="C2" s="64"/>
      <c r="D2" s="64"/>
      <c r="E2" s="64"/>
      <c r="F2" s="64"/>
      <c r="G2" s="64"/>
      <c r="H2" s="67"/>
    </row>
    <row r="3" customFormat="false" ht="13.8" hidden="false" customHeight="false" outlineLevel="0" collapsed="false">
      <c r="A3" s="64"/>
      <c r="B3" s="64" t="s">
        <v>2</v>
      </c>
      <c r="C3" s="64"/>
      <c r="D3" s="64"/>
      <c r="E3" s="64"/>
      <c r="F3" s="64"/>
      <c r="G3" s="64"/>
      <c r="H3" s="67"/>
    </row>
    <row r="4" customFormat="false" ht="17.4" hidden="false" customHeight="false" outlineLevel="0" collapsed="false">
      <c r="A4" s="68" t="s">
        <v>63</v>
      </c>
      <c r="B4" s="68"/>
      <c r="C4" s="68"/>
      <c r="D4" s="68"/>
      <c r="E4" s="68"/>
      <c r="F4" s="68"/>
      <c r="G4" s="68"/>
      <c r="H4" s="68"/>
    </row>
    <row r="5" customFormat="false" ht="31.65" hidden="false" customHeight="true" outlineLevel="0" collapsed="false">
      <c r="A5" s="69" t="s">
        <v>64</v>
      </c>
      <c r="B5" s="69"/>
      <c r="C5" s="69"/>
      <c r="D5" s="69"/>
      <c r="E5" s="69"/>
      <c r="F5" s="69"/>
      <c r="G5" s="69"/>
      <c r="H5" s="69"/>
    </row>
    <row r="6" customFormat="false" ht="22.8" hidden="false" customHeight="false" outlineLevel="0" collapsed="false">
      <c r="A6" s="70" t="s">
        <v>65</v>
      </c>
      <c r="B6" s="71" t="s">
        <v>66</v>
      </c>
      <c r="C6" s="72" t="s">
        <v>67</v>
      </c>
      <c r="D6" s="72" t="s">
        <v>68</v>
      </c>
      <c r="E6" s="72" t="s">
        <v>69</v>
      </c>
      <c r="F6" s="73" t="s">
        <v>70</v>
      </c>
      <c r="G6" s="74" t="s">
        <v>71</v>
      </c>
      <c r="H6" s="75" t="s">
        <v>72</v>
      </c>
    </row>
    <row r="7" customFormat="false" ht="52.8" hidden="false" customHeight="false" outlineLevel="0" collapsed="false">
      <c r="A7" s="76" t="s">
        <v>73</v>
      </c>
      <c r="B7" s="77" t="s">
        <v>74</v>
      </c>
      <c r="C7" s="78" t="n">
        <v>2</v>
      </c>
      <c r="D7" s="79" t="s">
        <v>75</v>
      </c>
      <c r="E7" s="80" t="s">
        <v>76</v>
      </c>
      <c r="F7" s="78" t="n">
        <f aca="false">C7*$A$10</f>
        <v>4</v>
      </c>
      <c r="G7" s="81" t="n">
        <v>75</v>
      </c>
      <c r="H7" s="82" t="n">
        <f aca="false">ROUND(G7*F7,2)</f>
        <v>300</v>
      </c>
    </row>
    <row r="8" customFormat="false" ht="39.6" hidden="false" customHeight="false" outlineLevel="0" collapsed="false">
      <c r="A8" s="83"/>
      <c r="B8" s="84" t="s">
        <v>77</v>
      </c>
      <c r="C8" s="85" t="n">
        <v>3</v>
      </c>
      <c r="D8" s="86" t="s">
        <v>78</v>
      </c>
      <c r="E8" s="87" t="s">
        <v>79</v>
      </c>
      <c r="F8" s="85" t="n">
        <f aca="false">C8*$A$10</f>
        <v>6</v>
      </c>
      <c r="G8" s="88" t="n">
        <v>39.44</v>
      </c>
      <c r="H8" s="89" t="n">
        <f aca="false">ROUND(G8*F8,2)</f>
        <v>236.64</v>
      </c>
    </row>
    <row r="9" customFormat="false" ht="26.4" hidden="false" customHeight="false" outlineLevel="0" collapsed="false">
      <c r="A9" s="90"/>
      <c r="B9" s="84" t="s">
        <v>80</v>
      </c>
      <c r="C9" s="85" t="n">
        <v>1</v>
      </c>
      <c r="D9" s="91" t="s">
        <v>81</v>
      </c>
      <c r="E9" s="92" t="s">
        <v>82</v>
      </c>
      <c r="F9" s="85" t="n">
        <f aca="false">C9*$A$10</f>
        <v>2</v>
      </c>
      <c r="G9" s="88" t="n">
        <v>70.36</v>
      </c>
      <c r="H9" s="89" t="n">
        <f aca="false">ROUND(G9*F9,2)</f>
        <v>140.72</v>
      </c>
    </row>
    <row r="10" customFormat="false" ht="34.8" hidden="false" customHeight="false" outlineLevel="0" collapsed="false">
      <c r="A10" s="93" t="n">
        <v>2</v>
      </c>
      <c r="B10" s="94" t="s">
        <v>83</v>
      </c>
      <c r="C10" s="95" t="n">
        <v>1</v>
      </c>
      <c r="D10" s="91" t="s">
        <v>84</v>
      </c>
      <c r="E10" s="92" t="s">
        <v>85</v>
      </c>
      <c r="F10" s="85" t="n">
        <f aca="false">C10*$A$10</f>
        <v>2</v>
      </c>
      <c r="G10" s="88" t="n">
        <v>41.39</v>
      </c>
      <c r="H10" s="89" t="n">
        <f aca="false">ROUND(G10*F10,2)</f>
        <v>82.78</v>
      </c>
    </row>
    <row r="11" customFormat="false" ht="13.2" hidden="false" customHeight="false" outlineLevel="0" collapsed="false">
      <c r="A11" s="96"/>
      <c r="B11" s="97" t="s">
        <v>86</v>
      </c>
      <c r="C11" s="97"/>
      <c r="D11" s="97"/>
      <c r="E11" s="97"/>
      <c r="F11" s="97"/>
      <c r="G11" s="98"/>
      <c r="H11" s="99" t="n">
        <f aca="false">SUM(H7:H10)</f>
        <v>760.14</v>
      </c>
    </row>
    <row r="12" customFormat="false" ht="15.6" hidden="false" customHeight="false" outlineLevel="0" collapsed="false">
      <c r="A12" s="100" t="s">
        <v>87</v>
      </c>
      <c r="B12" s="100"/>
      <c r="C12" s="100"/>
      <c r="D12" s="100"/>
      <c r="E12" s="100"/>
      <c r="F12" s="100"/>
      <c r="G12" s="101"/>
      <c r="H12" s="102" t="n">
        <f aca="false">ROUND(H11/$A$10/12,2)</f>
        <v>31.67</v>
      </c>
    </row>
    <row r="13" customFormat="false" ht="39.6" hidden="false" customHeight="false" outlineLevel="0" collapsed="false">
      <c r="A13" s="103" t="s">
        <v>88</v>
      </c>
      <c r="B13" s="104" t="s">
        <v>89</v>
      </c>
      <c r="C13" s="105" t="n">
        <v>1</v>
      </c>
      <c r="D13" s="79" t="s">
        <v>90</v>
      </c>
      <c r="E13" s="79" t="s">
        <v>91</v>
      </c>
      <c r="F13" s="78" t="n">
        <f aca="false">ROUND((C13*$A$15),2)</f>
        <v>1</v>
      </c>
      <c r="G13" s="81" t="n">
        <v>75.05</v>
      </c>
      <c r="H13" s="82" t="n">
        <f aca="false">ROUND(F13*G13,2)</f>
        <v>75.05</v>
      </c>
    </row>
    <row r="14" customFormat="false" ht="39.6" hidden="false" customHeight="false" outlineLevel="0" collapsed="false">
      <c r="A14" s="106"/>
      <c r="B14" s="84" t="s">
        <v>92</v>
      </c>
      <c r="C14" s="107" t="n">
        <v>1</v>
      </c>
      <c r="D14" s="91" t="s">
        <v>93</v>
      </c>
      <c r="E14" s="91" t="s">
        <v>91</v>
      </c>
      <c r="F14" s="85" t="n">
        <f aca="false">C14*A15</f>
        <v>1</v>
      </c>
      <c r="G14" s="88" t="n">
        <v>13.47</v>
      </c>
      <c r="H14" s="108" t="n">
        <f aca="false">ROUND(G14*F14,2)</f>
        <v>13.47</v>
      </c>
    </row>
    <row r="15" customFormat="false" ht="34.8" hidden="false" customHeight="false" outlineLevel="0" collapsed="false">
      <c r="A15" s="93" t="n">
        <v>1</v>
      </c>
      <c r="B15" s="84" t="s">
        <v>94</v>
      </c>
      <c r="C15" s="107" t="n">
        <v>1</v>
      </c>
      <c r="D15" s="86" t="s">
        <v>95</v>
      </c>
      <c r="E15" s="86" t="s">
        <v>96</v>
      </c>
      <c r="F15" s="109" t="n">
        <f aca="false">C15*A15</f>
        <v>1</v>
      </c>
      <c r="G15" s="88" t="n">
        <v>21.65</v>
      </c>
      <c r="H15" s="108" t="n">
        <f aca="false">ROUND(G15*F15,2)</f>
        <v>21.65</v>
      </c>
    </row>
    <row r="16" customFormat="false" ht="13.2" hidden="false" customHeight="false" outlineLevel="0" collapsed="false">
      <c r="A16" s="110"/>
      <c r="B16" s="111" t="s">
        <v>86</v>
      </c>
      <c r="C16" s="111"/>
      <c r="D16" s="111"/>
      <c r="E16" s="111"/>
      <c r="F16" s="111"/>
      <c r="G16" s="112"/>
      <c r="H16" s="113" t="n">
        <f aca="false">SUM(H13:H15)</f>
        <v>110.17</v>
      </c>
    </row>
    <row r="17" customFormat="false" ht="15.6" hidden="false" customHeight="false" outlineLevel="0" collapsed="false">
      <c r="A17" s="114" t="s">
        <v>97</v>
      </c>
      <c r="B17" s="114"/>
      <c r="C17" s="114"/>
      <c r="D17" s="114"/>
      <c r="E17" s="114"/>
      <c r="F17" s="114"/>
      <c r="G17" s="114"/>
      <c r="H17" s="115" t="n">
        <f aca="false">ROUND(H16/$A$15/12,2)</f>
        <v>9.18</v>
      </c>
    </row>
    <row r="18" customFormat="false" ht="40.2" hidden="false" customHeight="true" outlineLevel="0" collapsed="false">
      <c r="A18" s="116" t="s">
        <v>98</v>
      </c>
      <c r="B18" s="77" t="s">
        <v>74</v>
      </c>
      <c r="C18" s="78" t="n">
        <v>2</v>
      </c>
      <c r="D18" s="79" t="s">
        <v>99</v>
      </c>
      <c r="E18" s="80" t="s">
        <v>100</v>
      </c>
      <c r="F18" s="85" t="n">
        <f aca="false">ROUND((C18*$A$20),2)</f>
        <v>4</v>
      </c>
      <c r="G18" s="81" t="n">
        <v>77.98</v>
      </c>
      <c r="H18" s="82" t="n">
        <f aca="false">ROUND(F18*G18,2)</f>
        <v>311.92</v>
      </c>
    </row>
    <row r="19" customFormat="false" ht="41.7" hidden="false" customHeight="true" outlineLevel="0" collapsed="false">
      <c r="A19" s="116"/>
      <c r="B19" s="84" t="s">
        <v>77</v>
      </c>
      <c r="C19" s="85" t="n">
        <v>3</v>
      </c>
      <c r="D19" s="86" t="s">
        <v>101</v>
      </c>
      <c r="E19" s="87" t="s">
        <v>102</v>
      </c>
      <c r="F19" s="85" t="n">
        <f aca="false">ROUND((C19*$A$20),2)</f>
        <v>6</v>
      </c>
      <c r="G19" s="88" t="n">
        <v>53.55</v>
      </c>
      <c r="H19" s="89" t="n">
        <f aca="false">ROUND(F19*G19,2)</f>
        <v>321.3</v>
      </c>
      <c r="I19" s="117"/>
    </row>
    <row r="20" customFormat="false" ht="34.8" hidden="false" customHeight="false" outlineLevel="0" collapsed="false">
      <c r="A20" s="93" t="n">
        <v>2</v>
      </c>
      <c r="B20" s="84" t="s">
        <v>80</v>
      </c>
      <c r="C20" s="85" t="n">
        <v>1</v>
      </c>
      <c r="D20" s="91" t="s">
        <v>103</v>
      </c>
      <c r="E20" s="87" t="s">
        <v>85</v>
      </c>
      <c r="F20" s="85" t="n">
        <f aca="false">ROUND((C20*$A$20),2)</f>
        <v>2</v>
      </c>
      <c r="G20" s="88" t="n">
        <v>71.5</v>
      </c>
      <c r="H20" s="89" t="n">
        <f aca="false">ROUND(F20*G20,2)</f>
        <v>143</v>
      </c>
    </row>
    <row r="21" customFormat="false" ht="13.2" hidden="false" customHeight="false" outlineLevel="0" collapsed="false">
      <c r="A21" s="110"/>
      <c r="B21" s="111" t="s">
        <v>86</v>
      </c>
      <c r="C21" s="111"/>
      <c r="D21" s="111"/>
      <c r="E21" s="111"/>
      <c r="F21" s="111"/>
      <c r="G21" s="112"/>
      <c r="H21" s="113" t="n">
        <f aca="false">SUM(H18:H20)</f>
        <v>776.22</v>
      </c>
    </row>
    <row r="22" customFormat="false" ht="15.6" hidden="false" customHeight="false" outlineLevel="0" collapsed="false">
      <c r="A22" s="118" t="s">
        <v>104</v>
      </c>
      <c r="B22" s="118"/>
      <c r="C22" s="118"/>
      <c r="D22" s="118"/>
      <c r="E22" s="118"/>
      <c r="F22" s="118"/>
      <c r="G22" s="118"/>
      <c r="H22" s="115" t="n">
        <f aca="false">ROUND(H21/$A$20/12,2)</f>
        <v>32.34</v>
      </c>
    </row>
  </sheetData>
  <mergeCells count="9">
    <mergeCell ref="A4:H4"/>
    <mergeCell ref="A5:H5"/>
    <mergeCell ref="B11:F11"/>
    <mergeCell ref="A12:F12"/>
    <mergeCell ref="B16:F16"/>
    <mergeCell ref="A17:G17"/>
    <mergeCell ref="A18:A19"/>
    <mergeCell ref="B21:F21"/>
    <mergeCell ref="A22:G2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7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77933C"/>
    <pageSetUpPr fitToPage="false"/>
  </sheetPr>
  <dimension ref="A1:H11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0" activeCellId="0" sqref="A10"/>
    </sheetView>
  </sheetViews>
  <sheetFormatPr defaultRowHeight="13.2" zeroHeight="false" outlineLevelRow="0" outlineLevelCol="0"/>
  <cols>
    <col collapsed="false" customWidth="true" hidden="false" outlineLevel="0" max="1" min="1" style="0" width="10.44"/>
    <col collapsed="false" customWidth="true" hidden="false" outlineLevel="0" max="2" min="2" style="0" width="48.45"/>
    <col collapsed="false" customWidth="true" hidden="false" outlineLevel="0" max="3" min="3" style="0" width="8.67"/>
    <col collapsed="false" customWidth="true" hidden="false" outlineLevel="0" max="5" min="4" style="0" width="13.44"/>
    <col collapsed="false" customWidth="true" hidden="false" outlineLevel="0" max="6" min="6" style="0" width="17.11"/>
    <col collapsed="false" customWidth="true" hidden="false" outlineLevel="0" max="7" min="7" style="0" width="13.11"/>
    <col collapsed="false" customWidth="true" hidden="true" outlineLevel="0" max="8" min="8" style="0" width="0.33"/>
    <col collapsed="false" customWidth="true" hidden="false" outlineLevel="0" max="1025" min="9" style="0" width="8.67"/>
  </cols>
  <sheetData>
    <row r="1" customFormat="false" ht="13.8" hidden="false" customHeight="false" outlineLevel="0" collapsed="false">
      <c r="A1" s="119"/>
      <c r="B1" s="120" t="s">
        <v>0</v>
      </c>
      <c r="C1" s="121"/>
      <c r="D1" s="121"/>
      <c r="E1" s="121"/>
      <c r="F1" s="121"/>
      <c r="G1" s="122"/>
      <c r="H1" s="123"/>
    </row>
    <row r="2" customFormat="false" ht="13.8" hidden="false" customHeight="false" outlineLevel="0" collapsed="false">
      <c r="A2" s="124"/>
      <c r="B2" s="125" t="s">
        <v>1</v>
      </c>
      <c r="C2" s="125"/>
      <c r="D2" s="125"/>
      <c r="E2" s="125"/>
      <c r="F2" s="125"/>
      <c r="G2" s="126"/>
      <c r="H2" s="6"/>
    </row>
    <row r="3" customFormat="false" ht="13.8" hidden="false" customHeight="false" outlineLevel="0" collapsed="false">
      <c r="A3" s="127"/>
      <c r="B3" s="128" t="s">
        <v>2</v>
      </c>
      <c r="C3" s="128"/>
      <c r="D3" s="128"/>
      <c r="E3" s="128"/>
      <c r="F3" s="128"/>
      <c r="G3" s="129" t="n">
        <v>0.2</v>
      </c>
      <c r="H3" s="9"/>
    </row>
    <row r="4" customFormat="false" ht="15.6" hidden="false" customHeight="false" outlineLevel="0" collapsed="false">
      <c r="A4" s="130" t="s">
        <v>105</v>
      </c>
      <c r="B4" s="130"/>
      <c r="C4" s="130"/>
      <c r="D4" s="130"/>
      <c r="E4" s="130"/>
      <c r="F4" s="130"/>
      <c r="G4" s="130"/>
    </row>
    <row r="5" customFormat="false" ht="15.6" hidden="false" customHeight="false" outlineLevel="0" collapsed="false">
      <c r="A5" s="131" t="s">
        <v>106</v>
      </c>
      <c r="B5" s="131"/>
      <c r="C5" s="131"/>
      <c r="D5" s="131"/>
      <c r="E5" s="131"/>
      <c r="F5" s="131"/>
      <c r="G5" s="131"/>
    </row>
    <row r="6" customFormat="false" ht="26.4" hidden="false" customHeight="false" outlineLevel="0" collapsed="false">
      <c r="A6" s="132" t="s">
        <v>107</v>
      </c>
      <c r="B6" s="133" t="s">
        <v>108</v>
      </c>
      <c r="C6" s="133" t="s">
        <v>109</v>
      </c>
      <c r="D6" s="134" t="s">
        <v>110</v>
      </c>
      <c r="E6" s="134" t="s">
        <v>111</v>
      </c>
      <c r="F6" s="135" t="s">
        <v>112</v>
      </c>
      <c r="G6" s="136" t="s">
        <v>113</v>
      </c>
    </row>
    <row r="7" customFormat="false" ht="52.8" hidden="false" customHeight="false" outlineLevel="0" collapsed="false">
      <c r="A7" s="137" t="n">
        <v>1</v>
      </c>
      <c r="B7" s="138" t="s">
        <v>114</v>
      </c>
      <c r="C7" s="139" t="n">
        <v>1</v>
      </c>
      <c r="D7" s="140" t="n">
        <v>282.21</v>
      </c>
      <c r="E7" s="141" t="n">
        <f aca="false">ROUND((D7*C7),2)</f>
        <v>282.21</v>
      </c>
      <c r="F7" s="141" t="n">
        <f aca="false">ROUND(E7*$G$3,2)</f>
        <v>56.44</v>
      </c>
      <c r="G7" s="142" t="n">
        <f aca="false">ROUND(F7/12,2)</f>
        <v>4.7</v>
      </c>
    </row>
    <row r="8" customFormat="false" ht="48" hidden="false" customHeight="true" outlineLevel="0" collapsed="false">
      <c r="A8" s="137" t="n">
        <v>2</v>
      </c>
      <c r="B8" s="138" t="s">
        <v>115</v>
      </c>
      <c r="C8" s="139" t="n">
        <v>1</v>
      </c>
      <c r="D8" s="140" t="n">
        <v>1624.73</v>
      </c>
      <c r="E8" s="141" t="n">
        <f aca="false">ROUND((D8*C8),2)</f>
        <v>1624.73</v>
      </c>
      <c r="F8" s="141" t="n">
        <f aca="false">ROUND(E8*$G$3,2)</f>
        <v>324.95</v>
      </c>
      <c r="G8" s="142" t="n">
        <f aca="false">ROUND(F8/12,2)</f>
        <v>27.08</v>
      </c>
    </row>
    <row r="9" customFormat="false" ht="39.6" hidden="false" customHeight="false" outlineLevel="0" collapsed="false">
      <c r="A9" s="143" t="n">
        <v>3</v>
      </c>
      <c r="B9" s="144" t="s">
        <v>116</v>
      </c>
      <c r="C9" s="145" t="n">
        <v>1</v>
      </c>
      <c r="D9" s="146" t="n">
        <v>654.74</v>
      </c>
      <c r="E9" s="141" t="n">
        <f aca="false">ROUND((D9*C9),2)</f>
        <v>654.74</v>
      </c>
      <c r="F9" s="141" t="n">
        <f aca="false">ROUND(E9*$G$3,2)</f>
        <v>130.95</v>
      </c>
      <c r="G9" s="142" t="n">
        <f aca="false">ROUND(F9/12,2)</f>
        <v>10.91</v>
      </c>
    </row>
    <row r="10" customFormat="false" ht="36" hidden="false" customHeight="true" outlineLevel="0" collapsed="false">
      <c r="A10" s="147" t="s">
        <v>117</v>
      </c>
      <c r="B10" s="147"/>
      <c r="C10" s="147"/>
      <c r="D10" s="147"/>
      <c r="E10" s="147"/>
      <c r="F10" s="147"/>
      <c r="G10" s="148" t="n">
        <f aca="false">SUM(G7:G9)</f>
        <v>42.69</v>
      </c>
    </row>
    <row r="11" customFormat="false" ht="36" hidden="false" customHeight="true" outlineLevel="0" collapsed="false"/>
    <row r="12" customFormat="false" ht="36" hidden="false" customHeight="true" outlineLevel="0" collapsed="false"/>
    <row r="13" customFormat="false" ht="36" hidden="false" customHeight="true" outlineLevel="0" collapsed="false"/>
    <row r="14" customFormat="false" ht="36" hidden="false" customHeight="true" outlineLevel="0" collapsed="false"/>
  </sheetData>
  <mergeCells count="3">
    <mergeCell ref="A4:G4"/>
    <mergeCell ref="A5:G5"/>
    <mergeCell ref="A10:F1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8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7" man="true" max="65535" min="0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E46C0A"/>
    <pageSetUpPr fitToPage="false"/>
  </sheetPr>
  <dimension ref="A1:J40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pane xSplit="2" ySplit="0" topLeftCell="C1" activePane="topRight" state="frozen"/>
      <selection pane="topLeft" activeCell="A1" activeCellId="0" sqref="A1"/>
      <selection pane="topRight" activeCell="E24" activeCellId="0" sqref="E24"/>
    </sheetView>
  </sheetViews>
  <sheetFormatPr defaultRowHeight="13.2" zeroHeight="false" outlineLevelRow="0" outlineLevelCol="0"/>
  <cols>
    <col collapsed="false" customWidth="true" hidden="false" outlineLevel="0" max="1" min="1" style="0" width="6.66"/>
    <col collapsed="false" customWidth="true" hidden="false" outlineLevel="0" max="2" min="2" style="0" width="41.78"/>
    <col collapsed="false" customWidth="true" hidden="false" outlineLevel="0" max="3" min="3" style="0" width="16.66"/>
    <col collapsed="false" customWidth="true" hidden="false" outlineLevel="0" max="4" min="4" style="0" width="10.11"/>
    <col collapsed="false" customWidth="true" hidden="false" outlineLevel="0" max="5" min="5" style="149" width="14.11"/>
    <col collapsed="false" customWidth="true" hidden="false" outlineLevel="0" max="6" min="6" style="150" width="14.11"/>
    <col collapsed="false" customWidth="true" hidden="false" outlineLevel="0" max="7" min="7" style="149" width="14.11"/>
    <col collapsed="false" customWidth="true" hidden="false" outlineLevel="0" max="8" min="8" style="151" width="8.67"/>
    <col collapsed="false" customWidth="true" hidden="false" outlineLevel="0" max="9" min="9" style="0" width="13.33"/>
    <col collapsed="false" customWidth="true" hidden="false" outlineLevel="0" max="10" min="10" style="0" width="14.66"/>
    <col collapsed="false" customWidth="true" hidden="false" outlineLevel="0" max="1025" min="11" style="0" width="8.67"/>
  </cols>
  <sheetData>
    <row r="1" customFormat="false" ht="16.95" hidden="false" customHeight="true" outlineLevel="0" collapsed="false">
      <c r="A1" s="152"/>
      <c r="B1" s="120" t="s">
        <v>0</v>
      </c>
      <c r="C1" s="120"/>
      <c r="D1" s="121"/>
      <c r="E1" s="121"/>
      <c r="F1" s="121"/>
      <c r="G1" s="122"/>
    </row>
    <row r="2" customFormat="false" ht="14.85" hidden="false" customHeight="true" outlineLevel="0" collapsed="false">
      <c r="A2" s="153"/>
      <c r="B2" s="125" t="s">
        <v>1</v>
      </c>
      <c r="C2" s="125"/>
      <c r="D2" s="125"/>
      <c r="E2" s="125"/>
      <c r="F2" s="125"/>
      <c r="G2" s="126"/>
    </row>
    <row r="3" customFormat="false" ht="19.5" hidden="false" customHeight="true" outlineLevel="0" collapsed="false">
      <c r="A3" s="154"/>
      <c r="B3" s="128" t="s">
        <v>2</v>
      </c>
      <c r="C3" s="128"/>
      <c r="D3" s="128"/>
      <c r="E3" s="128"/>
      <c r="F3" s="128"/>
      <c r="G3" s="155"/>
    </row>
    <row r="4" customFormat="false" ht="27" hidden="false" customHeight="true" outlineLevel="0" collapsed="false">
      <c r="A4" s="156" t="s">
        <v>118</v>
      </c>
      <c r="B4" s="156"/>
      <c r="C4" s="156"/>
      <c r="D4" s="156"/>
      <c r="E4" s="156"/>
      <c r="F4" s="156"/>
      <c r="G4" s="156"/>
    </row>
    <row r="5" s="161" customFormat="true" ht="30" hidden="false" customHeight="true" outlineLevel="0" collapsed="false">
      <c r="A5" s="157" t="s">
        <v>119</v>
      </c>
      <c r="B5" s="157"/>
      <c r="C5" s="157"/>
      <c r="D5" s="157"/>
      <c r="E5" s="158" t="s">
        <v>120</v>
      </c>
      <c r="F5" s="158"/>
      <c r="G5" s="158"/>
      <c r="H5" s="159"/>
      <c r="I5" s="160" t="s">
        <v>121</v>
      </c>
      <c r="J5" s="160"/>
    </row>
    <row r="6" customFormat="false" ht="29.85" hidden="false" customHeight="true" outlineLevel="0" collapsed="false">
      <c r="A6" s="162" t="s">
        <v>122</v>
      </c>
      <c r="B6" s="163" t="s">
        <v>123</v>
      </c>
      <c r="C6" s="163" t="s">
        <v>124</v>
      </c>
      <c r="D6" s="164" t="s">
        <v>125</v>
      </c>
      <c r="E6" s="165" t="s">
        <v>126</v>
      </c>
      <c r="F6" s="163" t="s">
        <v>127</v>
      </c>
      <c r="G6" s="166" t="s">
        <v>128</v>
      </c>
      <c r="I6" s="167" t="s">
        <v>129</v>
      </c>
      <c r="J6" s="167" t="s">
        <v>130</v>
      </c>
    </row>
    <row r="7" customFormat="false" ht="30.75" hidden="false" customHeight="true" outlineLevel="0" collapsed="false">
      <c r="A7" s="168" t="n">
        <v>1</v>
      </c>
      <c r="B7" s="169" t="s">
        <v>131</v>
      </c>
      <c r="C7" s="169" t="s">
        <v>132</v>
      </c>
      <c r="D7" s="170" t="s">
        <v>133</v>
      </c>
      <c r="E7" s="169" t="n">
        <f aca="false">I7</f>
        <v>2</v>
      </c>
      <c r="F7" s="171" t="n">
        <v>10.06</v>
      </c>
      <c r="G7" s="172" t="n">
        <f aca="false">F7*E7</f>
        <v>20.12</v>
      </c>
      <c r="I7" s="170" t="n">
        <v>2</v>
      </c>
      <c r="J7" s="170" t="s">
        <v>134</v>
      </c>
    </row>
    <row r="8" customFormat="false" ht="30.75" hidden="false" customHeight="true" outlineLevel="0" collapsed="false">
      <c r="A8" s="168" t="n">
        <v>2</v>
      </c>
      <c r="B8" s="173" t="s">
        <v>135</v>
      </c>
      <c r="C8" s="173" t="s">
        <v>136</v>
      </c>
      <c r="D8" s="174" t="s">
        <v>125</v>
      </c>
      <c r="E8" s="169" t="n">
        <f aca="false">I8</f>
        <v>5</v>
      </c>
      <c r="F8" s="171" t="n">
        <v>7.96</v>
      </c>
      <c r="G8" s="172" t="n">
        <f aca="false">F8*E8</f>
        <v>39.8</v>
      </c>
      <c r="I8" s="174" t="n">
        <v>5</v>
      </c>
      <c r="J8" s="174" t="s">
        <v>134</v>
      </c>
    </row>
    <row r="9" customFormat="false" ht="30.75" hidden="false" customHeight="true" outlineLevel="0" collapsed="false">
      <c r="A9" s="168" t="n">
        <v>3</v>
      </c>
      <c r="B9" s="169" t="s">
        <v>137</v>
      </c>
      <c r="C9" s="169" t="s">
        <v>138</v>
      </c>
      <c r="D9" s="170" t="s">
        <v>133</v>
      </c>
      <c r="E9" s="169" t="n">
        <f aca="false">I9</f>
        <v>1</v>
      </c>
      <c r="F9" s="171" t="n">
        <v>54.67</v>
      </c>
      <c r="G9" s="172" t="n">
        <f aca="false">F9*E9</f>
        <v>54.67</v>
      </c>
      <c r="I9" s="170" t="n">
        <v>1</v>
      </c>
      <c r="J9" s="170" t="s">
        <v>134</v>
      </c>
    </row>
    <row r="10" customFormat="false" ht="26.4" hidden="false" customHeight="false" outlineLevel="0" collapsed="false">
      <c r="A10" s="168" t="n">
        <v>4</v>
      </c>
      <c r="B10" s="169" t="s">
        <v>139</v>
      </c>
      <c r="C10" s="169" t="s">
        <v>140</v>
      </c>
      <c r="D10" s="170" t="s">
        <v>125</v>
      </c>
      <c r="E10" s="169" t="n">
        <f aca="false">I10/12</f>
        <v>0.166666666666667</v>
      </c>
      <c r="F10" s="171" t="n">
        <v>10.98</v>
      </c>
      <c r="G10" s="172" t="n">
        <f aca="false">F10*E10</f>
        <v>1.83</v>
      </c>
      <c r="H10" s="175"/>
      <c r="I10" s="170" t="n">
        <v>2</v>
      </c>
      <c r="J10" s="174" t="s">
        <v>141</v>
      </c>
    </row>
    <row r="11" customFormat="false" ht="34.5" hidden="false" customHeight="true" outlineLevel="0" collapsed="false">
      <c r="A11" s="168" t="n">
        <v>5</v>
      </c>
      <c r="B11" s="169" t="s">
        <v>142</v>
      </c>
      <c r="C11" s="169" t="s">
        <v>143</v>
      </c>
      <c r="D11" s="170" t="s">
        <v>125</v>
      </c>
      <c r="E11" s="169" t="n">
        <f aca="false">I11/12</f>
        <v>0.0833333333333333</v>
      </c>
      <c r="F11" s="171" t="n">
        <v>9.62</v>
      </c>
      <c r="G11" s="172" t="n">
        <f aca="false">F11*E11</f>
        <v>0.801666666666666</v>
      </c>
      <c r="H11" s="175"/>
      <c r="I11" s="170" t="n">
        <v>1</v>
      </c>
      <c r="J11" s="174" t="s">
        <v>141</v>
      </c>
    </row>
    <row r="12" customFormat="false" ht="30.75" hidden="false" customHeight="true" outlineLevel="0" collapsed="false">
      <c r="A12" s="168" t="n">
        <v>6</v>
      </c>
      <c r="B12" s="169" t="s">
        <v>144</v>
      </c>
      <c r="C12" s="169" t="s">
        <v>143</v>
      </c>
      <c r="D12" s="170" t="s">
        <v>125</v>
      </c>
      <c r="E12" s="169" t="n">
        <f aca="false">I12/12</f>
        <v>0.0833333333333333</v>
      </c>
      <c r="F12" s="171" t="n">
        <v>22.64</v>
      </c>
      <c r="G12" s="172" t="n">
        <f aca="false">F12*E12</f>
        <v>1.88666666666667</v>
      </c>
      <c r="H12" s="175"/>
      <c r="I12" s="170" t="n">
        <v>1</v>
      </c>
      <c r="J12" s="174" t="s">
        <v>141</v>
      </c>
    </row>
    <row r="13" customFormat="false" ht="26.4" hidden="false" customHeight="false" outlineLevel="0" collapsed="false">
      <c r="A13" s="168" t="n">
        <v>7</v>
      </c>
      <c r="B13" s="169" t="s">
        <v>145</v>
      </c>
      <c r="C13" s="169" t="s">
        <v>146</v>
      </c>
      <c r="D13" s="170" t="s">
        <v>125</v>
      </c>
      <c r="E13" s="169" t="n">
        <f aca="false">I13</f>
        <v>3</v>
      </c>
      <c r="F13" s="171" t="n">
        <v>13.97</v>
      </c>
      <c r="G13" s="172" t="n">
        <f aca="false">F13*E13</f>
        <v>41.91</v>
      </c>
      <c r="I13" s="170" t="n">
        <v>3</v>
      </c>
      <c r="J13" s="170" t="s">
        <v>134</v>
      </c>
    </row>
    <row r="14" customFormat="false" ht="30.75" hidden="false" customHeight="true" outlineLevel="0" collapsed="false">
      <c r="A14" s="168" t="n">
        <v>8</v>
      </c>
      <c r="B14" s="169" t="s">
        <v>147</v>
      </c>
      <c r="C14" s="169" t="s">
        <v>148</v>
      </c>
      <c r="D14" s="170" t="s">
        <v>125</v>
      </c>
      <c r="E14" s="169" t="n">
        <f aca="false">I14</f>
        <v>2</v>
      </c>
      <c r="F14" s="171" t="n">
        <v>19.13</v>
      </c>
      <c r="G14" s="172" t="n">
        <f aca="false">F14*E14</f>
        <v>38.26</v>
      </c>
      <c r="I14" s="170" t="n">
        <v>2</v>
      </c>
      <c r="J14" s="170" t="s">
        <v>134</v>
      </c>
    </row>
    <row r="15" customFormat="false" ht="30.75" hidden="false" customHeight="true" outlineLevel="0" collapsed="false">
      <c r="A15" s="168" t="n">
        <v>9</v>
      </c>
      <c r="B15" s="169" t="s">
        <v>149</v>
      </c>
      <c r="C15" s="169" t="s">
        <v>150</v>
      </c>
      <c r="D15" s="170" t="s">
        <v>125</v>
      </c>
      <c r="E15" s="169" t="n">
        <f aca="false">I15</f>
        <v>15</v>
      </c>
      <c r="F15" s="171" t="n">
        <v>2.1</v>
      </c>
      <c r="G15" s="172" t="n">
        <f aca="false">F15*E15</f>
        <v>31.5</v>
      </c>
      <c r="I15" s="170" t="n">
        <v>15</v>
      </c>
      <c r="J15" s="170" t="s">
        <v>134</v>
      </c>
    </row>
    <row r="16" customFormat="false" ht="30.75" hidden="false" customHeight="true" outlineLevel="0" collapsed="false">
      <c r="A16" s="168" t="n">
        <v>10</v>
      </c>
      <c r="B16" s="169" t="s">
        <v>151</v>
      </c>
      <c r="C16" s="169" t="s">
        <v>152</v>
      </c>
      <c r="D16" s="170" t="s">
        <v>125</v>
      </c>
      <c r="E16" s="169" t="n">
        <f aca="false">I16/12</f>
        <v>0.0833333333333333</v>
      </c>
      <c r="F16" s="171" t="n">
        <v>3.33</v>
      </c>
      <c r="G16" s="172" t="n">
        <f aca="false">F16*E16</f>
        <v>0.2775</v>
      </c>
      <c r="I16" s="170" t="n">
        <v>1</v>
      </c>
      <c r="J16" s="174" t="s">
        <v>141</v>
      </c>
    </row>
    <row r="17" customFormat="false" ht="26.4" hidden="false" customHeight="false" outlineLevel="0" collapsed="false">
      <c r="A17" s="168" t="n">
        <v>11</v>
      </c>
      <c r="B17" s="169" t="s">
        <v>153</v>
      </c>
      <c r="C17" s="169" t="s">
        <v>154</v>
      </c>
      <c r="D17" s="170" t="s">
        <v>125</v>
      </c>
      <c r="E17" s="169" t="n">
        <f aca="false">I17</f>
        <v>6</v>
      </c>
      <c r="F17" s="171" t="n">
        <v>2.05</v>
      </c>
      <c r="G17" s="172" t="n">
        <f aca="false">F17*E17</f>
        <v>12.3</v>
      </c>
      <c r="I17" s="170" t="n">
        <v>6</v>
      </c>
      <c r="J17" s="170" t="s">
        <v>134</v>
      </c>
    </row>
    <row r="18" customFormat="false" ht="30.75" hidden="false" customHeight="true" outlineLevel="0" collapsed="false">
      <c r="A18" s="168" t="n">
        <v>12</v>
      </c>
      <c r="B18" s="169" t="s">
        <v>155</v>
      </c>
      <c r="C18" s="169" t="s">
        <v>156</v>
      </c>
      <c r="D18" s="170" t="s">
        <v>125</v>
      </c>
      <c r="E18" s="169" t="n">
        <f aca="false">I18/2</f>
        <v>3</v>
      </c>
      <c r="F18" s="171" t="n">
        <v>2.68</v>
      </c>
      <c r="G18" s="172" t="n">
        <f aca="false">F18*E18</f>
        <v>8.04</v>
      </c>
      <c r="I18" s="170" t="n">
        <v>6</v>
      </c>
      <c r="J18" s="170" t="s">
        <v>157</v>
      </c>
    </row>
    <row r="19" customFormat="false" ht="30.75" hidden="false" customHeight="true" outlineLevel="0" collapsed="false">
      <c r="A19" s="168" t="n">
        <v>13</v>
      </c>
      <c r="B19" s="169" t="s">
        <v>158</v>
      </c>
      <c r="C19" s="169" t="s">
        <v>159</v>
      </c>
      <c r="D19" s="170" t="s">
        <v>160</v>
      </c>
      <c r="E19" s="169" t="n">
        <f aca="false">I19</f>
        <v>2</v>
      </c>
      <c r="F19" s="171" t="n">
        <v>3.97</v>
      </c>
      <c r="G19" s="172" t="n">
        <f aca="false">F19*E19</f>
        <v>7.94</v>
      </c>
      <c r="I19" s="170" t="n">
        <v>2</v>
      </c>
      <c r="J19" s="170" t="s">
        <v>134</v>
      </c>
    </row>
    <row r="20" customFormat="false" ht="30.75" hidden="false" customHeight="true" outlineLevel="0" collapsed="false">
      <c r="A20" s="168" t="n">
        <v>14</v>
      </c>
      <c r="B20" s="169" t="s">
        <v>161</v>
      </c>
      <c r="C20" s="169" t="s">
        <v>162</v>
      </c>
      <c r="D20" s="170" t="s">
        <v>160</v>
      </c>
      <c r="E20" s="169" t="n">
        <f aca="false">I20</f>
        <v>2</v>
      </c>
      <c r="F20" s="171" t="n">
        <v>2.51</v>
      </c>
      <c r="G20" s="172" t="n">
        <f aca="false">F20*E20</f>
        <v>5.02</v>
      </c>
      <c r="I20" s="170" t="n">
        <v>2</v>
      </c>
      <c r="J20" s="170" t="s">
        <v>134</v>
      </c>
    </row>
    <row r="21" customFormat="false" ht="30.75" hidden="false" customHeight="true" outlineLevel="0" collapsed="false">
      <c r="A21" s="168" t="n">
        <v>15</v>
      </c>
      <c r="B21" s="169" t="s">
        <v>163</v>
      </c>
      <c r="C21" s="169" t="s">
        <v>164</v>
      </c>
      <c r="D21" s="170" t="s">
        <v>125</v>
      </c>
      <c r="E21" s="169" t="n">
        <f aca="false">I21</f>
        <v>2</v>
      </c>
      <c r="F21" s="171" t="n">
        <v>3.87</v>
      </c>
      <c r="G21" s="172" t="n">
        <f aca="false">F21*E21</f>
        <v>7.74</v>
      </c>
      <c r="I21" s="170" t="n">
        <v>2</v>
      </c>
      <c r="J21" s="170" t="s">
        <v>134</v>
      </c>
    </row>
    <row r="22" customFormat="false" ht="44.25" hidden="false" customHeight="true" outlineLevel="0" collapsed="false">
      <c r="A22" s="168" t="n">
        <v>16</v>
      </c>
      <c r="B22" s="169" t="s">
        <v>165</v>
      </c>
      <c r="C22" s="169" t="s">
        <v>166</v>
      </c>
      <c r="D22" s="170" t="s">
        <v>125</v>
      </c>
      <c r="E22" s="169" t="n">
        <f aca="false">I22</f>
        <v>4</v>
      </c>
      <c r="F22" s="171" t="n">
        <v>3.88</v>
      </c>
      <c r="G22" s="172" t="n">
        <f aca="false">F22*E22</f>
        <v>15.52</v>
      </c>
      <c r="I22" s="170" t="n">
        <v>4</v>
      </c>
      <c r="J22" s="170" t="s">
        <v>134</v>
      </c>
    </row>
    <row r="23" customFormat="false" ht="30.75" hidden="false" customHeight="true" outlineLevel="0" collapsed="false">
      <c r="A23" s="168" t="n">
        <v>17</v>
      </c>
      <c r="B23" s="169" t="s">
        <v>167</v>
      </c>
      <c r="C23" s="169" t="s">
        <v>168</v>
      </c>
      <c r="D23" s="170" t="s">
        <v>125</v>
      </c>
      <c r="E23" s="169" t="n">
        <f aca="false">I23</f>
        <v>15</v>
      </c>
      <c r="F23" s="171" t="n">
        <v>3.55</v>
      </c>
      <c r="G23" s="172" t="n">
        <f aca="false">F23*E23</f>
        <v>53.25</v>
      </c>
      <c r="I23" s="170" t="n">
        <v>15</v>
      </c>
      <c r="J23" s="170" t="s">
        <v>134</v>
      </c>
    </row>
    <row r="24" customFormat="false" ht="26.4" hidden="false" customHeight="false" outlineLevel="0" collapsed="false">
      <c r="A24" s="168" t="n">
        <v>18</v>
      </c>
      <c r="B24" s="169" t="s">
        <v>169</v>
      </c>
      <c r="C24" s="169" t="s">
        <v>170</v>
      </c>
      <c r="D24" s="170" t="s">
        <v>125</v>
      </c>
      <c r="E24" s="169" t="n">
        <f aca="false">I24/12</f>
        <v>0.0833333333333333</v>
      </c>
      <c r="F24" s="171" t="n">
        <v>25.73</v>
      </c>
      <c r="G24" s="172" t="n">
        <f aca="false">F24*E24</f>
        <v>2.14416666666667</v>
      </c>
      <c r="I24" s="170" t="n">
        <v>1</v>
      </c>
      <c r="J24" s="174" t="s">
        <v>141</v>
      </c>
    </row>
    <row r="25" customFormat="false" ht="30.75" hidden="false" customHeight="true" outlineLevel="0" collapsed="false">
      <c r="A25" s="168" t="n">
        <v>19</v>
      </c>
      <c r="B25" s="169" t="s">
        <v>171</v>
      </c>
      <c r="C25" s="169" t="s">
        <v>172</v>
      </c>
      <c r="D25" s="170" t="s">
        <v>125</v>
      </c>
      <c r="E25" s="169" t="n">
        <f aca="false">I25</f>
        <v>4</v>
      </c>
      <c r="F25" s="171" t="n">
        <v>3.79</v>
      </c>
      <c r="G25" s="172" t="n">
        <f aca="false">F25*E25</f>
        <v>15.16</v>
      </c>
      <c r="I25" s="170" t="n">
        <v>4</v>
      </c>
      <c r="J25" s="174" t="s">
        <v>134</v>
      </c>
    </row>
    <row r="26" customFormat="false" ht="30.75" hidden="false" customHeight="true" outlineLevel="0" collapsed="false">
      <c r="A26" s="168" t="n">
        <v>20</v>
      </c>
      <c r="B26" s="169" t="s">
        <v>173</v>
      </c>
      <c r="C26" s="169" t="s">
        <v>174</v>
      </c>
      <c r="D26" s="170" t="s">
        <v>160</v>
      </c>
      <c r="E26" s="169" t="n">
        <f aca="false">I26</f>
        <v>10</v>
      </c>
      <c r="F26" s="171" t="n">
        <v>15.69</v>
      </c>
      <c r="G26" s="172" t="n">
        <f aca="false">F26*E26</f>
        <v>156.9</v>
      </c>
      <c r="I26" s="170" t="n">
        <v>10</v>
      </c>
      <c r="J26" s="170" t="s">
        <v>134</v>
      </c>
    </row>
    <row r="27" customFormat="false" ht="30.75" hidden="false" customHeight="true" outlineLevel="0" collapsed="false">
      <c r="A27" s="168" t="n">
        <v>21</v>
      </c>
      <c r="B27" s="169" t="s">
        <v>175</v>
      </c>
      <c r="C27" s="169" t="s">
        <v>176</v>
      </c>
      <c r="D27" s="170" t="s">
        <v>125</v>
      </c>
      <c r="E27" s="169" t="n">
        <f aca="false">I27</f>
        <v>25</v>
      </c>
      <c r="F27" s="171" t="n">
        <v>18.07</v>
      </c>
      <c r="G27" s="172" t="n">
        <f aca="false">F27*E27</f>
        <v>451.75</v>
      </c>
      <c r="I27" s="170" t="n">
        <v>25</v>
      </c>
      <c r="J27" s="170" t="s">
        <v>134</v>
      </c>
    </row>
    <row r="28" customFormat="false" ht="30.75" hidden="false" customHeight="true" outlineLevel="0" collapsed="false">
      <c r="A28" s="168" t="n">
        <v>22</v>
      </c>
      <c r="B28" s="169" t="s">
        <v>177</v>
      </c>
      <c r="C28" s="169" t="s">
        <v>178</v>
      </c>
      <c r="D28" s="170" t="s">
        <v>125</v>
      </c>
      <c r="E28" s="169" t="n">
        <f aca="false">I28</f>
        <v>30</v>
      </c>
      <c r="F28" s="171" t="n">
        <v>3.18</v>
      </c>
      <c r="G28" s="172" t="n">
        <f aca="false">F28*E28</f>
        <v>95.4</v>
      </c>
      <c r="I28" s="170" t="n">
        <v>30</v>
      </c>
      <c r="J28" s="170" t="s">
        <v>134</v>
      </c>
    </row>
    <row r="29" customFormat="false" ht="39.6" hidden="false" customHeight="false" outlineLevel="0" collapsed="false">
      <c r="A29" s="168" t="n">
        <v>23</v>
      </c>
      <c r="B29" s="169" t="s">
        <v>179</v>
      </c>
      <c r="C29" s="169" t="s">
        <v>180</v>
      </c>
      <c r="D29" s="170" t="s">
        <v>125</v>
      </c>
      <c r="E29" s="169" t="n">
        <f aca="false">I29/12</f>
        <v>0.0833333333333333</v>
      </c>
      <c r="F29" s="171" t="n">
        <v>17.49</v>
      </c>
      <c r="G29" s="172" t="n">
        <f aca="false">F29*E29</f>
        <v>1.4575</v>
      </c>
      <c r="I29" s="170" t="n">
        <v>1</v>
      </c>
      <c r="J29" s="170" t="s">
        <v>141</v>
      </c>
    </row>
    <row r="30" customFormat="false" ht="30.75" hidden="false" customHeight="true" outlineLevel="0" collapsed="false">
      <c r="A30" s="168" t="n">
        <v>24</v>
      </c>
      <c r="B30" s="169" t="s">
        <v>181</v>
      </c>
      <c r="C30" s="169" t="s">
        <v>182</v>
      </c>
      <c r="D30" s="170" t="s">
        <v>160</v>
      </c>
      <c r="E30" s="169" t="n">
        <f aca="false">I30/2</f>
        <v>0.5</v>
      </c>
      <c r="F30" s="171" t="n">
        <v>12.62</v>
      </c>
      <c r="G30" s="172" t="n">
        <f aca="false">F30*E30</f>
        <v>6.31</v>
      </c>
      <c r="I30" s="170" t="n">
        <v>1</v>
      </c>
      <c r="J30" s="170" t="s">
        <v>157</v>
      </c>
    </row>
    <row r="31" customFormat="false" ht="30.75" hidden="false" customHeight="true" outlineLevel="0" collapsed="false">
      <c r="A31" s="168" t="n">
        <v>25</v>
      </c>
      <c r="B31" s="169" t="s">
        <v>183</v>
      </c>
      <c r="C31" s="169" t="s">
        <v>184</v>
      </c>
      <c r="D31" s="170" t="s">
        <v>125</v>
      </c>
      <c r="E31" s="169" t="n">
        <f aca="false">I31/2</f>
        <v>0.5</v>
      </c>
      <c r="F31" s="171" t="n">
        <v>10.83</v>
      </c>
      <c r="G31" s="172" t="n">
        <f aca="false">F31*E31</f>
        <v>5.415</v>
      </c>
      <c r="I31" s="170" t="n">
        <v>1</v>
      </c>
      <c r="J31" s="170" t="s">
        <v>157</v>
      </c>
    </row>
    <row r="32" customFormat="false" ht="52.8" hidden="false" customHeight="false" outlineLevel="0" collapsed="false">
      <c r="A32" s="168" t="n">
        <v>26</v>
      </c>
      <c r="B32" s="169" t="s">
        <v>185</v>
      </c>
      <c r="C32" s="169" t="s">
        <v>186</v>
      </c>
      <c r="D32" s="170" t="s">
        <v>133</v>
      </c>
      <c r="E32" s="169" t="n">
        <f aca="false">I32</f>
        <v>2</v>
      </c>
      <c r="F32" s="171" t="n">
        <v>21.18</v>
      </c>
      <c r="G32" s="172" t="n">
        <f aca="false">F32*E32</f>
        <v>42.36</v>
      </c>
      <c r="I32" s="170" t="n">
        <v>2</v>
      </c>
      <c r="J32" s="170" t="s">
        <v>134</v>
      </c>
    </row>
    <row r="33" customFormat="false" ht="30.75" hidden="false" customHeight="true" outlineLevel="0" collapsed="false">
      <c r="A33" s="168" t="n">
        <v>27</v>
      </c>
      <c r="B33" s="169" t="s">
        <v>187</v>
      </c>
      <c r="C33" s="169" t="s">
        <v>188</v>
      </c>
      <c r="D33" s="170" t="s">
        <v>160</v>
      </c>
      <c r="E33" s="169" t="n">
        <f aca="false">I33/2</f>
        <v>8</v>
      </c>
      <c r="F33" s="171" t="n">
        <v>4.3</v>
      </c>
      <c r="G33" s="172" t="n">
        <f aca="false">F33*E33</f>
        <v>34.4</v>
      </c>
      <c r="I33" s="170" t="n">
        <v>16</v>
      </c>
      <c r="J33" s="174" t="s">
        <v>157</v>
      </c>
    </row>
    <row r="34" customFormat="false" ht="32.25" hidden="false" customHeight="true" outlineLevel="0" collapsed="false">
      <c r="A34" s="168" t="n">
        <v>28</v>
      </c>
      <c r="B34" s="169" t="s">
        <v>189</v>
      </c>
      <c r="C34" s="169" t="s">
        <v>190</v>
      </c>
      <c r="D34" s="170" t="s">
        <v>191</v>
      </c>
      <c r="E34" s="169" t="n">
        <f aca="false">I34</f>
        <v>2</v>
      </c>
      <c r="F34" s="171" t="n">
        <v>16</v>
      </c>
      <c r="G34" s="172" t="n">
        <f aca="false">F34*E34</f>
        <v>32</v>
      </c>
      <c r="I34" s="170" t="n">
        <v>2</v>
      </c>
      <c r="J34" s="174" t="s">
        <v>134</v>
      </c>
    </row>
    <row r="35" customFormat="false" ht="32.25" hidden="false" customHeight="true" outlineLevel="0" collapsed="false">
      <c r="A35" s="168" t="n">
        <v>29</v>
      </c>
      <c r="B35" s="169" t="s">
        <v>192</v>
      </c>
      <c r="C35" s="169" t="s">
        <v>190</v>
      </c>
      <c r="D35" s="170" t="s">
        <v>191</v>
      </c>
      <c r="E35" s="169" t="n">
        <f aca="false">I35</f>
        <v>12</v>
      </c>
      <c r="F35" s="171" t="n">
        <v>56.07</v>
      </c>
      <c r="G35" s="172" t="n">
        <f aca="false">F35*E35</f>
        <v>672.84</v>
      </c>
      <c r="I35" s="170" t="n">
        <v>12</v>
      </c>
      <c r="J35" s="170" t="s">
        <v>134</v>
      </c>
    </row>
    <row r="36" customFormat="false" ht="30.75" hidden="false" customHeight="true" outlineLevel="0" collapsed="false">
      <c r="A36" s="168" t="n">
        <v>30</v>
      </c>
      <c r="B36" s="169" t="s">
        <v>193</v>
      </c>
      <c r="C36" s="169" t="s">
        <v>180</v>
      </c>
      <c r="D36" s="170" t="s">
        <v>125</v>
      </c>
      <c r="E36" s="169" t="n">
        <f aca="false">I36/12</f>
        <v>0.0833333333333333</v>
      </c>
      <c r="F36" s="171" t="n">
        <v>18.7</v>
      </c>
      <c r="G36" s="172" t="n">
        <f aca="false">F36*E36</f>
        <v>1.55833333333333</v>
      </c>
      <c r="I36" s="170" t="n">
        <v>1</v>
      </c>
      <c r="J36" s="174" t="s">
        <v>141</v>
      </c>
    </row>
    <row r="37" customFormat="false" ht="26.4" hidden="false" customHeight="false" outlineLevel="0" collapsed="false">
      <c r="A37" s="168" t="n">
        <v>31</v>
      </c>
      <c r="B37" s="169" t="s">
        <v>194</v>
      </c>
      <c r="C37" s="169" t="s">
        <v>180</v>
      </c>
      <c r="D37" s="170" t="s">
        <v>125</v>
      </c>
      <c r="E37" s="169" t="n">
        <f aca="false">I37/12</f>
        <v>0.166666666666667</v>
      </c>
      <c r="F37" s="171" t="n">
        <v>25.95</v>
      </c>
      <c r="G37" s="172" t="n">
        <f aca="false">F37*E37</f>
        <v>4.325</v>
      </c>
      <c r="I37" s="170" t="n">
        <v>2</v>
      </c>
      <c r="J37" s="174" t="s">
        <v>141</v>
      </c>
    </row>
    <row r="38" customFormat="false" ht="26.4" hidden="false" customHeight="false" outlineLevel="0" collapsed="false">
      <c r="A38" s="168" t="n">
        <v>32</v>
      </c>
      <c r="B38" s="169" t="s">
        <v>195</v>
      </c>
      <c r="C38" s="169" t="s">
        <v>180</v>
      </c>
      <c r="D38" s="170" t="s">
        <v>125</v>
      </c>
      <c r="E38" s="169" t="n">
        <f aca="false">I38/12</f>
        <v>0.0833333333333333</v>
      </c>
      <c r="F38" s="171" t="n">
        <v>10.3</v>
      </c>
      <c r="G38" s="172" t="n">
        <v>0.858333333333333</v>
      </c>
      <c r="I38" s="170" t="n">
        <v>1</v>
      </c>
      <c r="J38" s="174" t="s">
        <v>141</v>
      </c>
    </row>
    <row r="39" customFormat="false" ht="30.75" hidden="false" customHeight="true" outlineLevel="0" collapsed="false">
      <c r="A39" s="168" t="n">
        <v>33</v>
      </c>
      <c r="B39" s="169" t="s">
        <v>196</v>
      </c>
      <c r="C39" s="169" t="s">
        <v>197</v>
      </c>
      <c r="D39" s="170" t="s">
        <v>125</v>
      </c>
      <c r="E39" s="169" t="n">
        <f aca="false">I39/12</f>
        <v>0.0833333333333333</v>
      </c>
      <c r="F39" s="171" t="n">
        <v>145.91</v>
      </c>
      <c r="G39" s="172" t="n">
        <f aca="false">F39*E39</f>
        <v>12.1591666666667</v>
      </c>
      <c r="I39" s="170" t="n">
        <v>1</v>
      </c>
      <c r="J39" s="174" t="s">
        <v>141</v>
      </c>
    </row>
    <row r="40" customFormat="false" ht="30.75" hidden="false" customHeight="true" outlineLevel="0" collapsed="false">
      <c r="A40" s="176" t="s">
        <v>198</v>
      </c>
      <c r="B40" s="176"/>
      <c r="C40" s="176"/>
      <c r="D40" s="176"/>
      <c r="E40" s="176"/>
      <c r="F40" s="176"/>
      <c r="G40" s="177" t="n">
        <f aca="false">SUM(G7:G39)</f>
        <v>1875.90333333333</v>
      </c>
    </row>
  </sheetData>
  <mergeCells count="5">
    <mergeCell ref="A4:G4"/>
    <mergeCell ref="A5:D5"/>
    <mergeCell ref="E5:G5"/>
    <mergeCell ref="I5:J5"/>
    <mergeCell ref="A40:F40"/>
  </mergeCells>
  <printOptions headings="false" gridLines="false" gridLinesSet="true" horizontalCentered="false" verticalCentered="false"/>
  <pageMargins left="1.10208333333333" right="0.511805555555555" top="0.7875" bottom="0.7875" header="0.511805555555555" footer="0.511805555555555"/>
  <pageSetup paperSize="9" scale="3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J14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E12" activeCellId="0" sqref="E12"/>
    </sheetView>
  </sheetViews>
  <sheetFormatPr defaultRowHeight="13.2" zeroHeight="false" outlineLevelRow="0" outlineLevelCol="0"/>
  <cols>
    <col collapsed="false" customWidth="true" hidden="false" outlineLevel="0" max="1" min="1" style="0" width="41.66"/>
    <col collapsed="false" customWidth="true" hidden="false" outlineLevel="0" max="2" min="2" style="0" width="13.33"/>
    <col collapsed="false" customWidth="true" hidden="false" outlineLevel="0" max="3" min="3" style="0" width="13.78"/>
    <col collapsed="false" customWidth="true" hidden="false" outlineLevel="0" max="4" min="4" style="151" width="13"/>
    <col collapsed="false" customWidth="true" hidden="false" outlineLevel="0" max="5" min="5" style="178" width="13"/>
    <col collapsed="false" customWidth="true" hidden="false" outlineLevel="0" max="6" min="6" style="151" width="13"/>
    <col collapsed="false" customWidth="true" hidden="false" outlineLevel="0" max="8" min="7" style="0" width="13"/>
    <col collapsed="false" customWidth="true" hidden="false" outlineLevel="0" max="9" min="9" style="0" width="13.11"/>
    <col collapsed="false" customWidth="true" hidden="false" outlineLevel="0" max="10" min="10" style="0" width="15.1"/>
    <col collapsed="false" customWidth="true" hidden="false" outlineLevel="0" max="1025" min="11" style="0" width="8.67"/>
  </cols>
  <sheetData>
    <row r="1" s="182" customFormat="true" ht="15" hidden="false" customHeight="true" outlineLevel="0" collapsed="false">
      <c r="A1" s="119" t="s">
        <v>199</v>
      </c>
      <c r="B1" s="179"/>
      <c r="C1" s="180"/>
      <c r="D1" s="180"/>
      <c r="E1" s="180"/>
      <c r="F1" s="180"/>
      <c r="G1" s="181"/>
    </row>
    <row r="2" s="182" customFormat="true" ht="15" hidden="false" customHeight="true" outlineLevel="0" collapsed="false">
      <c r="A2" s="124" t="s">
        <v>200</v>
      </c>
      <c r="B2" s="183"/>
      <c r="C2" s="183"/>
      <c r="D2" s="183"/>
      <c r="E2" s="183"/>
      <c r="F2" s="183"/>
      <c r="G2" s="184"/>
    </row>
    <row r="3" s="182" customFormat="true" ht="15" hidden="false" customHeight="true" outlineLevel="0" collapsed="false">
      <c r="A3" s="124" t="s">
        <v>201</v>
      </c>
      <c r="B3" s="183"/>
      <c r="C3" s="183"/>
      <c r="D3" s="183"/>
      <c r="E3" s="183"/>
      <c r="F3" s="183"/>
      <c r="G3" s="184"/>
    </row>
    <row r="4" s="182" customFormat="true" ht="42" hidden="false" customHeight="true" outlineLevel="0" collapsed="false">
      <c r="A4" s="185" t="s">
        <v>202</v>
      </c>
      <c r="B4" s="185"/>
      <c r="C4" s="185"/>
      <c r="D4" s="185"/>
      <c r="E4" s="185"/>
      <c r="F4" s="185"/>
      <c r="G4" s="185"/>
    </row>
    <row r="5" s="182" customFormat="true" ht="26.25" hidden="false" customHeight="true" outlineLevel="0" collapsed="false">
      <c r="A5" s="186" t="s">
        <v>203</v>
      </c>
      <c r="B5" s="186"/>
      <c r="C5" s="186"/>
      <c r="D5" s="186"/>
      <c r="E5" s="186"/>
      <c r="F5" s="186"/>
      <c r="G5" s="186"/>
      <c r="I5" s="160" t="s">
        <v>121</v>
      </c>
      <c r="J5" s="160"/>
    </row>
    <row r="6" s="182" customFormat="true" ht="32.25" hidden="false" customHeight="true" outlineLevel="0" collapsed="false">
      <c r="A6" s="187" t="s">
        <v>122</v>
      </c>
      <c r="B6" s="188" t="s">
        <v>124</v>
      </c>
      <c r="C6" s="189" t="s">
        <v>125</v>
      </c>
      <c r="D6" s="190" t="s">
        <v>204</v>
      </c>
      <c r="E6" s="191" t="s">
        <v>126</v>
      </c>
      <c r="F6" s="192" t="s">
        <v>127</v>
      </c>
      <c r="G6" s="188" t="s">
        <v>128</v>
      </c>
      <c r="I6" s="167" t="s">
        <v>129</v>
      </c>
      <c r="J6" s="167" t="s">
        <v>130</v>
      </c>
    </row>
    <row r="7" s="182" customFormat="true" ht="21.75" hidden="false" customHeight="true" outlineLevel="0" collapsed="false">
      <c r="A7" s="169" t="s">
        <v>205</v>
      </c>
      <c r="B7" s="193"/>
      <c r="C7" s="194" t="s">
        <v>125</v>
      </c>
      <c r="D7" s="195" t="s">
        <v>206</v>
      </c>
      <c r="E7" s="196" t="n">
        <f aca="false">I7/12</f>
        <v>0.0833333333333333</v>
      </c>
      <c r="F7" s="197" t="n">
        <v>9.62</v>
      </c>
      <c r="G7" s="198" t="n">
        <f aca="false">F7*E7</f>
        <v>0.801666666666666</v>
      </c>
      <c r="H7" s="175"/>
      <c r="I7" s="199" t="n">
        <v>1</v>
      </c>
      <c r="J7" s="200" t="s">
        <v>141</v>
      </c>
    </row>
    <row r="8" s="182" customFormat="true" ht="36" hidden="false" customHeight="true" outlineLevel="0" collapsed="false">
      <c r="A8" s="169" t="s">
        <v>207</v>
      </c>
      <c r="B8" s="169" t="s">
        <v>208</v>
      </c>
      <c r="C8" s="194" t="s">
        <v>125</v>
      </c>
      <c r="D8" s="195" t="s">
        <v>209</v>
      </c>
      <c r="E8" s="196" t="n">
        <f aca="false">I8</f>
        <v>4</v>
      </c>
      <c r="F8" s="197" t="n">
        <v>2.1</v>
      </c>
      <c r="G8" s="198" t="n">
        <f aca="false">F8*E8</f>
        <v>8.4</v>
      </c>
      <c r="I8" s="199" t="n">
        <v>4</v>
      </c>
      <c r="J8" s="200" t="s">
        <v>134</v>
      </c>
    </row>
    <row r="9" s="182" customFormat="true" ht="34.2" hidden="false" customHeight="true" outlineLevel="0" collapsed="false">
      <c r="A9" s="169" t="s">
        <v>210</v>
      </c>
      <c r="B9" s="169" t="s">
        <v>211</v>
      </c>
      <c r="C9" s="194" t="s">
        <v>125</v>
      </c>
      <c r="D9" s="195" t="s">
        <v>209</v>
      </c>
      <c r="E9" s="196" t="n">
        <f aca="false">I9</f>
        <v>5</v>
      </c>
      <c r="F9" s="197" t="n">
        <v>2.05</v>
      </c>
      <c r="G9" s="198" t="n">
        <f aca="false">F9*E9</f>
        <v>10.25</v>
      </c>
      <c r="I9" s="199" t="n">
        <v>5</v>
      </c>
      <c r="J9" s="200" t="s">
        <v>134</v>
      </c>
    </row>
    <row r="10" s="182" customFormat="true" ht="27.75" hidden="false" customHeight="true" outlineLevel="0" collapsed="false">
      <c r="A10" s="169" t="s">
        <v>212</v>
      </c>
      <c r="B10" s="193" t="s">
        <v>213</v>
      </c>
      <c r="C10" s="194" t="s">
        <v>160</v>
      </c>
      <c r="D10" s="195" t="s">
        <v>209</v>
      </c>
      <c r="E10" s="196" t="n">
        <f aca="false">I10</f>
        <v>1</v>
      </c>
      <c r="F10" s="197" t="n">
        <v>3.97</v>
      </c>
      <c r="G10" s="198" t="n">
        <f aca="false">F10*E10</f>
        <v>3.97</v>
      </c>
      <c r="I10" s="199" t="n">
        <v>1</v>
      </c>
      <c r="J10" s="200" t="s">
        <v>134</v>
      </c>
    </row>
    <row r="11" s="182" customFormat="true" ht="21.75" hidden="false" customHeight="true" outlineLevel="0" collapsed="false">
      <c r="A11" s="169" t="s">
        <v>214</v>
      </c>
      <c r="B11" s="193" t="s">
        <v>215</v>
      </c>
      <c r="C11" s="194" t="s">
        <v>125</v>
      </c>
      <c r="D11" s="195" t="s">
        <v>209</v>
      </c>
      <c r="E11" s="196" t="n">
        <f aca="false">I11</f>
        <v>2</v>
      </c>
      <c r="F11" s="197" t="n">
        <v>3.55</v>
      </c>
      <c r="G11" s="198" t="n">
        <f aca="false">F11*E11</f>
        <v>7.1</v>
      </c>
      <c r="I11" s="199" t="n">
        <v>2</v>
      </c>
      <c r="J11" s="200" t="s">
        <v>134</v>
      </c>
    </row>
    <row r="12" s="182" customFormat="true" ht="21.75" hidden="false" customHeight="true" outlineLevel="0" collapsed="false">
      <c r="A12" s="169" t="s">
        <v>216</v>
      </c>
      <c r="B12" s="193"/>
      <c r="C12" s="194" t="s">
        <v>125</v>
      </c>
      <c r="D12" s="201" t="s">
        <v>217</v>
      </c>
      <c r="E12" s="196" t="n">
        <f aca="false">I12/2</f>
        <v>3</v>
      </c>
      <c r="F12" s="197" t="n">
        <v>3.79</v>
      </c>
      <c r="G12" s="198" t="n">
        <f aca="false">F12*E12</f>
        <v>11.37</v>
      </c>
      <c r="I12" s="199" t="n">
        <v>6</v>
      </c>
      <c r="J12" s="200" t="s">
        <v>157</v>
      </c>
    </row>
    <row r="13" s="182" customFormat="true" ht="59.25" hidden="false" customHeight="true" outlineLevel="0" collapsed="false">
      <c r="A13" s="202" t="s">
        <v>198</v>
      </c>
      <c r="B13" s="202"/>
      <c r="C13" s="202"/>
      <c r="D13" s="202"/>
      <c r="E13" s="202"/>
      <c r="F13" s="202"/>
      <c r="G13" s="203" t="n">
        <f aca="false">SUM(G7:G12)</f>
        <v>41.8916666666667</v>
      </c>
    </row>
    <row r="14" customFormat="false" ht="15" hidden="false" customHeight="true" outlineLevel="0" collapsed="false"/>
    <row r="15" customFormat="false" ht="15" hidden="false" customHeight="true" outlineLevel="0" collapsed="false"/>
    <row r="16" customFormat="false" ht="15" hidden="false" customHeight="true" outlineLevel="0" collapsed="false"/>
    <row r="17" customFormat="false" ht="15" hidden="false" customHeight="true" outlineLevel="0" collapsed="false"/>
    <row r="18" customFormat="false" ht="15" hidden="false" customHeight="true" outlineLevel="0" collapsed="false"/>
    <row r="19" customFormat="false" ht="15" hidden="false" customHeight="true" outlineLevel="0" collapsed="false"/>
    <row r="20" customFormat="false" ht="15" hidden="false" customHeight="true" outlineLevel="0" collapsed="false"/>
    <row r="21" customFormat="false" ht="15" hidden="false" customHeight="true" outlineLevel="0" collapsed="false"/>
    <row r="22" customFormat="false" ht="15" hidden="false" customHeight="true" outlineLevel="0" collapsed="false"/>
    <row r="23" customFormat="false" ht="15" hidden="false" customHeight="true" outlineLevel="0" collapsed="false"/>
    <row r="24" customFormat="false" ht="15" hidden="false" customHeight="true" outlineLevel="0" collapsed="false"/>
    <row r="25" customFormat="false" ht="15" hidden="false" customHeight="true" outlineLevel="0" collapsed="false"/>
    <row r="26" customFormat="false" ht="15" hidden="false" customHeight="true" outlineLevel="0" collapsed="false"/>
    <row r="27" customFormat="false" ht="15" hidden="false" customHeight="true" outlineLevel="0" collapsed="false"/>
    <row r="28" customFormat="false" ht="15" hidden="false" customHeight="true" outlineLevel="0" collapsed="false"/>
    <row r="29" customFormat="false" ht="15" hidden="false" customHeight="true" outlineLevel="0" collapsed="false"/>
    <row r="30" customFormat="false" ht="15" hidden="false" customHeight="true" outlineLevel="0" collapsed="false"/>
    <row r="31" customFormat="false" ht="15" hidden="false" customHeight="true" outlineLevel="0" collapsed="false"/>
    <row r="32" customFormat="false" ht="15" hidden="false" customHeight="true" outlineLevel="0" collapsed="false"/>
    <row r="33" customFormat="false" ht="15" hidden="false" customHeight="true" outlineLevel="0" collapsed="false"/>
    <row r="34" customFormat="false" ht="15" hidden="false" customHeight="true" outlineLevel="0" collapsed="false"/>
    <row r="35" customFormat="false" ht="15" hidden="false" customHeight="true" outlineLevel="0" collapsed="false"/>
    <row r="36" customFormat="false" ht="15" hidden="false" customHeight="true" outlineLevel="0" collapsed="false"/>
    <row r="37" customFormat="false" ht="15" hidden="false" customHeight="true" outlineLevel="0" collapsed="false"/>
    <row r="38" customFormat="false" ht="15" hidden="false" customHeight="true" outlineLevel="0" collapsed="false"/>
    <row r="39" customFormat="false" ht="15" hidden="false" customHeight="true" outlineLevel="0" collapsed="false"/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/>
    <row r="61" customFormat="false" ht="15" hidden="false" customHeight="true" outlineLevel="0" collapsed="false"/>
    <row r="62" customFormat="false" ht="15" hidden="false" customHeight="true" outlineLevel="0" collapsed="false"/>
    <row r="63" customFormat="false" ht="15" hidden="false" customHeight="true" outlineLevel="0" collapsed="false"/>
    <row r="64" customFormat="false" ht="15" hidden="false" customHeight="true" outlineLevel="0" collapsed="false"/>
    <row r="65" customFormat="false" ht="15" hidden="false" customHeight="true" outlineLevel="0" collapsed="false"/>
    <row r="66" customFormat="false" ht="15" hidden="false" customHeight="true" outlineLevel="0" collapsed="false"/>
    <row r="67" customFormat="false" ht="15" hidden="false" customHeight="true" outlineLevel="0" collapsed="false"/>
    <row r="68" customFormat="false" ht="15" hidden="false" customHeight="true" outlineLevel="0" collapsed="false"/>
    <row r="69" customFormat="false" ht="15" hidden="false" customHeight="true" outlineLevel="0" collapsed="false"/>
    <row r="70" customFormat="false" ht="15" hidden="false" customHeight="true" outlineLevel="0" collapsed="false"/>
    <row r="71" customFormat="false" ht="15" hidden="false" customHeight="true" outlineLevel="0" collapsed="false"/>
    <row r="72" customFormat="false" ht="15" hidden="false" customHeight="true" outlineLevel="0" collapsed="false"/>
    <row r="73" customFormat="false" ht="15" hidden="false" customHeight="true" outlineLevel="0" collapsed="false"/>
    <row r="74" customFormat="false" ht="15" hidden="false" customHeight="true" outlineLevel="0" collapsed="false"/>
    <row r="75" customFormat="false" ht="15" hidden="false" customHeight="true" outlineLevel="0" collapsed="false"/>
    <row r="76" customFormat="false" ht="15" hidden="false" customHeight="true" outlineLevel="0" collapsed="false"/>
    <row r="77" customFormat="false" ht="15" hidden="false" customHeight="true" outlineLevel="0" collapsed="false"/>
    <row r="78" customFormat="false" ht="15" hidden="false" customHeight="true" outlineLevel="0" collapsed="false"/>
    <row r="79" customFormat="false" ht="15" hidden="false" customHeight="true" outlineLevel="0" collapsed="false"/>
    <row r="80" customFormat="false" ht="15" hidden="false" customHeight="true" outlineLevel="0" collapsed="false"/>
    <row r="81" customFormat="false" ht="15" hidden="false" customHeight="true" outlineLevel="0" collapsed="false"/>
    <row r="82" customFormat="false" ht="15" hidden="false" customHeight="true" outlineLevel="0" collapsed="false"/>
    <row r="83" customFormat="false" ht="15" hidden="false" customHeight="true" outlineLevel="0" collapsed="false"/>
    <row r="84" customFormat="false" ht="15" hidden="false" customHeight="true" outlineLevel="0" collapsed="false"/>
    <row r="85" customFormat="false" ht="15" hidden="false" customHeight="true" outlineLevel="0" collapsed="false"/>
    <row r="86" customFormat="false" ht="15" hidden="false" customHeight="true" outlineLevel="0" collapsed="false"/>
    <row r="87" customFormat="false" ht="15" hidden="false" customHeight="true" outlineLevel="0" collapsed="false"/>
    <row r="88" customFormat="false" ht="15" hidden="false" customHeight="true" outlineLevel="0" collapsed="false"/>
    <row r="89" customFormat="false" ht="15" hidden="false" customHeight="true" outlineLevel="0" collapsed="false"/>
    <row r="90" customFormat="false" ht="15" hidden="false" customHeight="true" outlineLevel="0" collapsed="false"/>
    <row r="91" customFormat="false" ht="15" hidden="false" customHeight="true" outlineLevel="0" collapsed="false"/>
    <row r="92" customFormat="false" ht="15" hidden="false" customHeight="true" outlineLevel="0" collapsed="false"/>
    <row r="93" customFormat="false" ht="15" hidden="false" customHeight="true" outlineLevel="0" collapsed="false"/>
    <row r="94" customFormat="false" ht="15" hidden="false" customHeight="true" outlineLevel="0" collapsed="false"/>
    <row r="95" customFormat="false" ht="15" hidden="false" customHeight="true" outlineLevel="0" collapsed="false"/>
    <row r="96" customFormat="false" ht="15" hidden="false" customHeight="true" outlineLevel="0" collapsed="false"/>
    <row r="97" customFormat="false" ht="15" hidden="false" customHeight="true" outlineLevel="0" collapsed="false"/>
    <row r="98" customFormat="false" ht="15" hidden="false" customHeight="true" outlineLevel="0" collapsed="false"/>
    <row r="99" customFormat="false" ht="15" hidden="false" customHeight="true" outlineLevel="0" collapsed="false"/>
    <row r="100" customFormat="false" ht="15" hidden="false" customHeight="true" outlineLevel="0" collapsed="false"/>
    <row r="101" customFormat="false" ht="15" hidden="false" customHeight="true" outlineLevel="0" collapsed="false"/>
    <row r="102" customFormat="false" ht="15" hidden="false" customHeight="true" outlineLevel="0" collapsed="false"/>
    <row r="103" customFormat="false" ht="15" hidden="false" customHeight="true" outlineLevel="0" collapsed="false"/>
    <row r="104" customFormat="false" ht="15" hidden="false" customHeight="true" outlineLevel="0" collapsed="false"/>
    <row r="105" customFormat="false" ht="15" hidden="false" customHeight="true" outlineLevel="0" collapsed="false"/>
    <row r="106" customFormat="false" ht="15" hidden="false" customHeight="true" outlineLevel="0" collapsed="false"/>
    <row r="107" customFormat="false" ht="15" hidden="false" customHeight="true" outlineLevel="0" collapsed="false"/>
    <row r="108" customFormat="false" ht="15" hidden="false" customHeight="true" outlineLevel="0" collapsed="false"/>
    <row r="109" customFormat="false" ht="15" hidden="false" customHeight="true" outlineLevel="0" collapsed="false"/>
    <row r="110" customFormat="false" ht="15" hidden="false" customHeight="true" outlineLevel="0" collapsed="false"/>
    <row r="111" customFormat="false" ht="15" hidden="false" customHeight="true" outlineLevel="0" collapsed="false"/>
    <row r="112" customFormat="false" ht="15" hidden="false" customHeight="true" outlineLevel="0" collapsed="false"/>
    <row r="113" customFormat="false" ht="15" hidden="false" customHeight="true" outlineLevel="0" collapsed="false"/>
    <row r="114" customFormat="false" ht="15" hidden="false" customHeight="true" outlineLevel="0" collapsed="false"/>
    <row r="115" customFormat="false" ht="15" hidden="false" customHeight="true" outlineLevel="0" collapsed="false"/>
    <row r="116" customFormat="false" ht="15" hidden="false" customHeight="true" outlineLevel="0" collapsed="false"/>
    <row r="117" customFormat="false" ht="15" hidden="false" customHeight="true" outlineLevel="0" collapsed="false"/>
    <row r="118" customFormat="false" ht="15" hidden="false" customHeight="true" outlineLevel="0" collapsed="false"/>
    <row r="119" customFormat="false" ht="15" hidden="false" customHeight="true" outlineLevel="0" collapsed="false"/>
    <row r="120" customFormat="false" ht="15" hidden="false" customHeight="true" outlineLevel="0" collapsed="false"/>
    <row r="121" customFormat="false" ht="15" hidden="false" customHeight="true" outlineLevel="0" collapsed="false"/>
    <row r="122" customFormat="false" ht="15" hidden="false" customHeight="true" outlineLevel="0" collapsed="false"/>
    <row r="123" customFormat="false" ht="15" hidden="false" customHeight="true" outlineLevel="0" collapsed="false"/>
    <row r="124" customFormat="false" ht="15" hidden="false" customHeight="true" outlineLevel="0" collapsed="false"/>
    <row r="125" customFormat="false" ht="15" hidden="false" customHeight="true" outlineLevel="0" collapsed="false"/>
    <row r="126" customFormat="false" ht="15" hidden="false" customHeight="true" outlineLevel="0" collapsed="false"/>
    <row r="127" customFormat="false" ht="15" hidden="false" customHeight="true" outlineLevel="0" collapsed="false"/>
    <row r="128" customFormat="false" ht="15" hidden="false" customHeight="true" outlineLevel="0" collapsed="false"/>
    <row r="129" customFormat="false" ht="15" hidden="false" customHeight="true" outlineLevel="0" collapsed="false"/>
    <row r="130" customFormat="false" ht="15" hidden="false" customHeight="true" outlineLevel="0" collapsed="false"/>
    <row r="131" customFormat="false" ht="15" hidden="false" customHeight="true" outlineLevel="0" collapsed="false"/>
    <row r="132" customFormat="false" ht="15" hidden="false" customHeight="true" outlineLevel="0" collapsed="false"/>
    <row r="133" customFormat="false" ht="15" hidden="false" customHeight="true" outlineLevel="0" collapsed="false"/>
    <row r="134" customFormat="false" ht="15" hidden="false" customHeight="true" outlineLevel="0" collapsed="false"/>
    <row r="135" customFormat="false" ht="15" hidden="false" customHeight="true" outlineLevel="0" collapsed="false"/>
    <row r="136" customFormat="false" ht="15" hidden="false" customHeight="true" outlineLevel="0" collapsed="false"/>
    <row r="137" customFormat="false" ht="15" hidden="false" customHeight="true" outlineLevel="0" collapsed="false"/>
    <row r="138" customFormat="false" ht="15" hidden="false" customHeight="true" outlineLevel="0" collapsed="false"/>
    <row r="139" customFormat="false" ht="15" hidden="false" customHeight="true" outlineLevel="0" collapsed="false"/>
    <row r="140" customFormat="false" ht="15" hidden="false" customHeight="true" outlineLevel="0" collapsed="false"/>
    <row r="141" customFormat="false" ht="15" hidden="false" customHeight="true" outlineLevel="0" collapsed="false"/>
    <row r="142" customFormat="false" ht="15" hidden="false" customHeight="true" outlineLevel="0" collapsed="false"/>
    <row r="143" customFormat="false" ht="15" hidden="false" customHeight="true" outlineLevel="0" collapsed="false"/>
    <row r="144" customFormat="false" ht="15" hidden="false" customHeight="true" outlineLevel="0" collapsed="false"/>
    <row r="145" customFormat="false" ht="15" hidden="false" customHeight="true" outlineLevel="0" collapsed="false"/>
    <row r="146" customFormat="false" ht="15" hidden="false" customHeight="true" outlineLevel="0" collapsed="false"/>
    <row r="147" customFormat="false" ht="15" hidden="false" customHeight="true" outlineLevel="0" collapsed="false"/>
    <row r="148" customFormat="false" ht="15" hidden="false" customHeight="true" outlineLevel="0" collapsed="false"/>
    <row r="149" customFormat="false" ht="15" hidden="false" customHeight="true" outlineLevel="0" collapsed="false"/>
    <row r="150" customFormat="false" ht="15" hidden="false" customHeight="true" outlineLevel="0" collapsed="false"/>
    <row r="151" customFormat="false" ht="15" hidden="false" customHeight="true" outlineLevel="0" collapsed="false"/>
    <row r="152" customFormat="false" ht="15" hidden="false" customHeight="true" outlineLevel="0" collapsed="false"/>
    <row r="153" customFormat="false" ht="15" hidden="false" customHeight="true" outlineLevel="0" collapsed="false"/>
    <row r="154" customFormat="false" ht="15" hidden="false" customHeight="true" outlineLevel="0" collapsed="false"/>
    <row r="155" customFormat="false" ht="15" hidden="false" customHeight="true" outlineLevel="0" collapsed="false"/>
    <row r="156" customFormat="false" ht="15" hidden="false" customHeight="true" outlineLevel="0" collapsed="false"/>
    <row r="157" customFormat="false" ht="15" hidden="false" customHeight="true" outlineLevel="0" collapsed="false"/>
    <row r="158" customFormat="false" ht="15" hidden="false" customHeight="true" outlineLevel="0" collapsed="false"/>
    <row r="159" customFormat="false" ht="15" hidden="false" customHeight="true" outlineLevel="0" collapsed="false"/>
    <row r="160" customFormat="false" ht="15" hidden="false" customHeight="true" outlineLevel="0" collapsed="false"/>
    <row r="161" customFormat="false" ht="15" hidden="false" customHeight="true" outlineLevel="0" collapsed="false"/>
    <row r="162" customFormat="false" ht="15" hidden="false" customHeight="true" outlineLevel="0" collapsed="false"/>
    <row r="163" customFormat="false" ht="15" hidden="false" customHeight="true" outlineLevel="0" collapsed="false"/>
    <row r="164" customFormat="false" ht="15" hidden="false" customHeight="true" outlineLevel="0" collapsed="false"/>
    <row r="165" customFormat="false" ht="15" hidden="false" customHeight="true" outlineLevel="0" collapsed="false"/>
    <row r="166" customFormat="false" ht="15" hidden="false" customHeight="true" outlineLevel="0" collapsed="false"/>
    <row r="167" customFormat="false" ht="15" hidden="false" customHeight="true" outlineLevel="0" collapsed="false"/>
    <row r="168" customFormat="false" ht="15" hidden="false" customHeight="true" outlineLevel="0" collapsed="false"/>
    <row r="169" customFormat="false" ht="15" hidden="false" customHeight="true" outlineLevel="0" collapsed="false"/>
    <row r="170" customFormat="false" ht="15" hidden="false" customHeight="true" outlineLevel="0" collapsed="false"/>
    <row r="171" customFormat="false" ht="15" hidden="false" customHeight="true" outlineLevel="0" collapsed="false"/>
    <row r="172" customFormat="false" ht="15" hidden="false" customHeight="true" outlineLevel="0" collapsed="false"/>
    <row r="173" customFormat="false" ht="15" hidden="false" customHeight="true" outlineLevel="0" collapsed="false"/>
    <row r="174" customFormat="false" ht="15" hidden="false" customHeight="true" outlineLevel="0" collapsed="false"/>
    <row r="175" customFormat="false" ht="15" hidden="false" customHeight="true" outlineLevel="0" collapsed="false"/>
    <row r="176" customFormat="false" ht="15" hidden="false" customHeight="true" outlineLevel="0" collapsed="false"/>
    <row r="177" customFormat="false" ht="15" hidden="false" customHeight="true" outlineLevel="0" collapsed="false"/>
    <row r="178" customFormat="false" ht="15" hidden="false" customHeight="true" outlineLevel="0" collapsed="false"/>
    <row r="179" customFormat="false" ht="15" hidden="false" customHeight="true" outlineLevel="0" collapsed="false"/>
    <row r="180" customFormat="false" ht="15" hidden="false" customHeight="true" outlineLevel="0" collapsed="false"/>
    <row r="181" customFormat="false" ht="15" hidden="false" customHeight="true" outlineLevel="0" collapsed="false"/>
    <row r="182" customFormat="false" ht="15" hidden="false" customHeight="true" outlineLevel="0" collapsed="false"/>
    <row r="183" customFormat="false" ht="15" hidden="false" customHeight="true" outlineLevel="0" collapsed="false"/>
    <row r="184" customFormat="false" ht="15" hidden="false" customHeight="true" outlineLevel="0" collapsed="false"/>
    <row r="185" customFormat="false" ht="15" hidden="false" customHeight="true" outlineLevel="0" collapsed="false"/>
    <row r="186" customFormat="false" ht="15" hidden="false" customHeight="true" outlineLevel="0" collapsed="false"/>
    <row r="187" customFormat="false" ht="15" hidden="false" customHeight="true" outlineLevel="0" collapsed="false"/>
    <row r="188" customFormat="false" ht="15" hidden="false" customHeight="true" outlineLevel="0" collapsed="false"/>
    <row r="189" customFormat="false" ht="15" hidden="false" customHeight="true" outlineLevel="0" collapsed="false"/>
    <row r="190" customFormat="false" ht="15" hidden="false" customHeight="true" outlineLevel="0" collapsed="false"/>
    <row r="191" customFormat="false" ht="15" hidden="false" customHeight="true" outlineLevel="0" collapsed="false"/>
    <row r="192" customFormat="false" ht="15" hidden="false" customHeight="true" outlineLevel="0" collapsed="false"/>
    <row r="193" customFormat="false" ht="15" hidden="false" customHeight="true" outlineLevel="0" collapsed="false"/>
    <row r="194" customFormat="false" ht="15" hidden="false" customHeight="true" outlineLevel="0" collapsed="false"/>
    <row r="195" customFormat="false" ht="15" hidden="false" customHeight="true" outlineLevel="0" collapsed="false"/>
    <row r="196" customFormat="false" ht="15" hidden="false" customHeight="true" outlineLevel="0" collapsed="false"/>
    <row r="197" customFormat="false" ht="15" hidden="false" customHeight="true" outlineLevel="0" collapsed="false"/>
    <row r="198" customFormat="false" ht="15" hidden="false" customHeight="true" outlineLevel="0" collapsed="false"/>
    <row r="199" customFormat="false" ht="15" hidden="false" customHeight="true" outlineLevel="0" collapsed="false"/>
    <row r="200" customFormat="false" ht="15" hidden="false" customHeight="true" outlineLevel="0" collapsed="false"/>
    <row r="201" customFormat="false" ht="15" hidden="false" customHeight="true" outlineLevel="0" collapsed="false"/>
    <row r="202" customFormat="false" ht="15" hidden="false" customHeight="true" outlineLevel="0" collapsed="false"/>
    <row r="203" customFormat="false" ht="15" hidden="false" customHeight="true" outlineLevel="0" collapsed="false"/>
    <row r="204" customFormat="false" ht="15" hidden="false" customHeight="true" outlineLevel="0" collapsed="false"/>
    <row r="205" customFormat="false" ht="15" hidden="false" customHeight="true" outlineLevel="0" collapsed="false"/>
    <row r="206" customFormat="false" ht="15" hidden="false" customHeight="true" outlineLevel="0" collapsed="false"/>
    <row r="207" customFormat="false" ht="15" hidden="false" customHeight="true" outlineLevel="0" collapsed="false"/>
    <row r="208" customFormat="false" ht="15" hidden="false" customHeight="true" outlineLevel="0" collapsed="false"/>
    <row r="209" customFormat="false" ht="15" hidden="false" customHeight="true" outlineLevel="0" collapsed="false"/>
    <row r="210" customFormat="false" ht="15" hidden="false" customHeight="true" outlineLevel="0" collapsed="false"/>
    <row r="211" customFormat="false" ht="15" hidden="false" customHeight="true" outlineLevel="0" collapsed="false"/>
    <row r="212" customFormat="false" ht="15" hidden="false" customHeight="true" outlineLevel="0" collapsed="false"/>
    <row r="213" customFormat="false" ht="15" hidden="false" customHeight="true" outlineLevel="0" collapsed="false"/>
    <row r="214" customFormat="false" ht="15" hidden="false" customHeight="true" outlineLevel="0" collapsed="false"/>
    <row r="215" customFormat="false" ht="15" hidden="false" customHeight="true" outlineLevel="0" collapsed="false"/>
    <row r="216" customFormat="false" ht="15" hidden="false" customHeight="true" outlineLevel="0" collapsed="false"/>
    <row r="217" customFormat="false" ht="15" hidden="false" customHeight="true" outlineLevel="0" collapsed="false"/>
    <row r="218" customFormat="false" ht="15" hidden="false" customHeight="true" outlineLevel="0" collapsed="false"/>
    <row r="219" customFormat="false" ht="15" hidden="false" customHeight="true" outlineLevel="0" collapsed="false"/>
    <row r="220" customFormat="false" ht="15" hidden="false" customHeight="true" outlineLevel="0" collapsed="false"/>
    <row r="221" customFormat="false" ht="15" hidden="false" customHeight="true" outlineLevel="0" collapsed="false"/>
    <row r="222" customFormat="false" ht="15" hidden="false" customHeight="true" outlineLevel="0" collapsed="false"/>
    <row r="223" customFormat="false" ht="15" hidden="false" customHeight="true" outlineLevel="0" collapsed="false"/>
    <row r="224" customFormat="false" ht="15" hidden="false" customHeight="true" outlineLevel="0" collapsed="false"/>
    <row r="225" customFormat="false" ht="15" hidden="false" customHeight="true" outlineLevel="0" collapsed="false"/>
    <row r="226" customFormat="false" ht="15" hidden="false" customHeight="true" outlineLevel="0" collapsed="false"/>
    <row r="227" customFormat="false" ht="15" hidden="false" customHeight="true" outlineLevel="0" collapsed="false"/>
    <row r="228" customFormat="false" ht="15" hidden="false" customHeight="true" outlineLevel="0" collapsed="false"/>
    <row r="229" customFormat="false" ht="15" hidden="false" customHeight="true" outlineLevel="0" collapsed="false"/>
    <row r="230" customFormat="false" ht="15" hidden="false" customHeight="true" outlineLevel="0" collapsed="false"/>
    <row r="231" customFormat="false" ht="15" hidden="false" customHeight="true" outlineLevel="0" collapsed="false"/>
    <row r="232" customFormat="false" ht="15" hidden="false" customHeight="true" outlineLevel="0" collapsed="false"/>
    <row r="233" customFormat="false" ht="15" hidden="false" customHeight="true" outlineLevel="0" collapsed="false"/>
    <row r="234" customFormat="false" ht="15" hidden="false" customHeight="true" outlineLevel="0" collapsed="false"/>
    <row r="235" customFormat="false" ht="15" hidden="false" customHeight="true" outlineLevel="0" collapsed="false"/>
    <row r="236" customFormat="false" ht="15" hidden="false" customHeight="true" outlineLevel="0" collapsed="false"/>
    <row r="237" customFormat="false" ht="15" hidden="false" customHeight="true" outlineLevel="0" collapsed="false"/>
    <row r="238" customFormat="false" ht="15" hidden="false" customHeight="true" outlineLevel="0" collapsed="false"/>
    <row r="239" customFormat="false" ht="15" hidden="false" customHeight="true" outlineLevel="0" collapsed="false"/>
    <row r="240" customFormat="false" ht="15" hidden="false" customHeight="true" outlineLevel="0" collapsed="false"/>
    <row r="241" customFormat="false" ht="15" hidden="false" customHeight="true" outlineLevel="0" collapsed="false"/>
    <row r="242" customFormat="false" ht="15" hidden="false" customHeight="true" outlineLevel="0" collapsed="false"/>
    <row r="243" customFormat="false" ht="15" hidden="false" customHeight="true" outlineLevel="0" collapsed="false"/>
    <row r="244" customFormat="false" ht="15" hidden="false" customHeight="true" outlineLevel="0" collapsed="false"/>
    <row r="245" customFormat="false" ht="15" hidden="false" customHeight="true" outlineLevel="0" collapsed="false"/>
    <row r="246" customFormat="false" ht="15" hidden="false" customHeight="true" outlineLevel="0" collapsed="false"/>
    <row r="247" customFormat="false" ht="15" hidden="false" customHeight="true" outlineLevel="0" collapsed="false"/>
    <row r="248" customFormat="false" ht="15" hidden="false" customHeight="true" outlineLevel="0" collapsed="false"/>
    <row r="249" customFormat="false" ht="15" hidden="false" customHeight="true" outlineLevel="0" collapsed="false"/>
    <row r="250" customFormat="false" ht="15" hidden="false" customHeight="true" outlineLevel="0" collapsed="false"/>
    <row r="251" customFormat="false" ht="15" hidden="false" customHeight="true" outlineLevel="0" collapsed="false"/>
    <row r="252" customFormat="false" ht="15" hidden="false" customHeight="true" outlineLevel="0" collapsed="false"/>
    <row r="253" customFormat="false" ht="15" hidden="false" customHeight="true" outlineLevel="0" collapsed="false"/>
    <row r="254" customFormat="false" ht="15" hidden="false" customHeight="true" outlineLevel="0" collapsed="false"/>
    <row r="255" customFormat="false" ht="15" hidden="false" customHeight="true" outlineLevel="0" collapsed="false"/>
    <row r="256" customFormat="false" ht="15" hidden="false" customHeight="true" outlineLevel="0" collapsed="false"/>
    <row r="257" customFormat="false" ht="15" hidden="false" customHeight="true" outlineLevel="0" collapsed="false"/>
    <row r="258" customFormat="false" ht="15" hidden="false" customHeight="true" outlineLevel="0" collapsed="false"/>
    <row r="259" customFormat="false" ht="15" hidden="false" customHeight="true" outlineLevel="0" collapsed="false"/>
    <row r="260" customFormat="false" ht="15" hidden="false" customHeight="true" outlineLevel="0" collapsed="false"/>
    <row r="261" customFormat="false" ht="15" hidden="false" customHeight="true" outlineLevel="0" collapsed="false"/>
    <row r="262" customFormat="false" ht="15" hidden="false" customHeight="true" outlineLevel="0" collapsed="false"/>
    <row r="263" customFormat="false" ht="15" hidden="false" customHeight="true" outlineLevel="0" collapsed="false"/>
    <row r="264" customFormat="false" ht="15" hidden="false" customHeight="true" outlineLevel="0" collapsed="false"/>
    <row r="265" customFormat="false" ht="15" hidden="false" customHeight="true" outlineLevel="0" collapsed="false"/>
    <row r="266" customFormat="false" ht="15" hidden="false" customHeight="true" outlineLevel="0" collapsed="false"/>
    <row r="267" customFormat="false" ht="15" hidden="false" customHeight="true" outlineLevel="0" collapsed="false"/>
    <row r="268" customFormat="false" ht="15" hidden="false" customHeight="true" outlineLevel="0" collapsed="false"/>
    <row r="269" customFormat="false" ht="15" hidden="false" customHeight="true" outlineLevel="0" collapsed="false"/>
    <row r="270" customFormat="false" ht="15" hidden="false" customHeight="true" outlineLevel="0" collapsed="false"/>
    <row r="271" customFormat="false" ht="15" hidden="false" customHeight="true" outlineLevel="0" collapsed="false"/>
    <row r="272" customFormat="false" ht="15" hidden="false" customHeight="true" outlineLevel="0" collapsed="false"/>
    <row r="273" customFormat="false" ht="15" hidden="false" customHeight="true" outlineLevel="0" collapsed="false"/>
    <row r="274" customFormat="false" ht="15" hidden="false" customHeight="true" outlineLevel="0" collapsed="false"/>
    <row r="275" customFormat="false" ht="15" hidden="false" customHeight="true" outlineLevel="0" collapsed="false"/>
    <row r="276" customFormat="false" ht="15" hidden="false" customHeight="true" outlineLevel="0" collapsed="false"/>
    <row r="277" customFormat="false" ht="15" hidden="false" customHeight="true" outlineLevel="0" collapsed="false"/>
    <row r="278" customFormat="false" ht="15" hidden="false" customHeight="true" outlineLevel="0" collapsed="false"/>
    <row r="279" customFormat="false" ht="15" hidden="false" customHeight="true" outlineLevel="0" collapsed="false"/>
    <row r="280" customFormat="false" ht="15" hidden="false" customHeight="true" outlineLevel="0" collapsed="false"/>
    <row r="281" customFormat="false" ht="15" hidden="false" customHeight="true" outlineLevel="0" collapsed="false"/>
    <row r="282" customFormat="false" ht="15" hidden="false" customHeight="true" outlineLevel="0" collapsed="false"/>
    <row r="283" customFormat="false" ht="15" hidden="false" customHeight="true" outlineLevel="0" collapsed="false"/>
    <row r="284" customFormat="false" ht="15" hidden="false" customHeight="true" outlineLevel="0" collapsed="false"/>
    <row r="285" customFormat="false" ht="15" hidden="false" customHeight="true" outlineLevel="0" collapsed="false"/>
    <row r="286" customFormat="false" ht="15" hidden="false" customHeight="true" outlineLevel="0" collapsed="false"/>
    <row r="287" customFormat="false" ht="15" hidden="false" customHeight="true" outlineLevel="0" collapsed="false"/>
    <row r="288" customFormat="false" ht="15" hidden="false" customHeight="true" outlineLevel="0" collapsed="false"/>
    <row r="289" customFormat="false" ht="15" hidden="false" customHeight="true" outlineLevel="0" collapsed="false"/>
    <row r="290" customFormat="false" ht="15" hidden="false" customHeight="true" outlineLevel="0" collapsed="false"/>
    <row r="291" customFormat="false" ht="15" hidden="false" customHeight="true" outlineLevel="0" collapsed="false"/>
    <row r="292" customFormat="false" ht="15" hidden="false" customHeight="true" outlineLevel="0" collapsed="false"/>
    <row r="293" customFormat="false" ht="15" hidden="false" customHeight="true" outlineLevel="0" collapsed="false"/>
    <row r="294" customFormat="false" ht="15" hidden="false" customHeight="true" outlineLevel="0" collapsed="false"/>
    <row r="295" customFormat="false" ht="15" hidden="false" customHeight="true" outlineLevel="0" collapsed="false"/>
    <row r="296" customFormat="false" ht="15" hidden="false" customHeight="true" outlineLevel="0" collapsed="false"/>
    <row r="297" customFormat="false" ht="15" hidden="false" customHeight="true" outlineLevel="0" collapsed="false"/>
    <row r="298" customFormat="false" ht="15" hidden="false" customHeight="true" outlineLevel="0" collapsed="false"/>
    <row r="299" customFormat="false" ht="15" hidden="false" customHeight="true" outlineLevel="0" collapsed="false"/>
    <row r="300" customFormat="false" ht="15" hidden="false" customHeight="true" outlineLevel="0" collapsed="false"/>
    <row r="301" customFormat="false" ht="15" hidden="false" customHeight="true" outlineLevel="0" collapsed="false"/>
    <row r="302" customFormat="false" ht="15" hidden="false" customHeight="true" outlineLevel="0" collapsed="false"/>
    <row r="303" customFormat="false" ht="15" hidden="false" customHeight="true" outlineLevel="0" collapsed="false"/>
    <row r="304" customFormat="false" ht="15" hidden="false" customHeight="true" outlineLevel="0" collapsed="false"/>
    <row r="305" customFormat="false" ht="15" hidden="false" customHeight="true" outlineLevel="0" collapsed="false"/>
    <row r="306" customFormat="false" ht="15" hidden="false" customHeight="true" outlineLevel="0" collapsed="false"/>
    <row r="307" customFormat="false" ht="15" hidden="false" customHeight="true" outlineLevel="0" collapsed="false"/>
    <row r="308" customFormat="false" ht="15" hidden="false" customHeight="true" outlineLevel="0" collapsed="false"/>
    <row r="309" customFormat="false" ht="15" hidden="false" customHeight="true" outlineLevel="0" collapsed="false"/>
    <row r="310" customFormat="false" ht="15" hidden="false" customHeight="true" outlineLevel="0" collapsed="false"/>
    <row r="311" customFormat="false" ht="15" hidden="false" customHeight="true" outlineLevel="0" collapsed="false"/>
    <row r="312" customFormat="false" ht="15" hidden="false" customHeight="true" outlineLevel="0" collapsed="false"/>
    <row r="313" customFormat="false" ht="15" hidden="false" customHeight="true" outlineLevel="0" collapsed="false"/>
    <row r="314" customFormat="false" ht="15" hidden="false" customHeight="true" outlineLevel="0" collapsed="false"/>
    <row r="315" customFormat="false" ht="15" hidden="false" customHeight="true" outlineLevel="0" collapsed="false"/>
    <row r="316" customFormat="false" ht="15" hidden="false" customHeight="true" outlineLevel="0" collapsed="false"/>
    <row r="317" customFormat="false" ht="15" hidden="false" customHeight="true" outlineLevel="0" collapsed="false"/>
    <row r="318" customFormat="false" ht="15" hidden="false" customHeight="true" outlineLevel="0" collapsed="false"/>
    <row r="319" customFormat="false" ht="15" hidden="false" customHeight="true" outlineLevel="0" collapsed="false"/>
    <row r="320" customFormat="false" ht="15" hidden="false" customHeight="true" outlineLevel="0" collapsed="false"/>
    <row r="321" customFormat="false" ht="15" hidden="false" customHeight="true" outlineLevel="0" collapsed="false"/>
    <row r="322" customFormat="false" ht="15" hidden="false" customHeight="true" outlineLevel="0" collapsed="false"/>
    <row r="323" customFormat="false" ht="15" hidden="false" customHeight="true" outlineLevel="0" collapsed="false"/>
    <row r="324" customFormat="false" ht="15" hidden="false" customHeight="true" outlineLevel="0" collapsed="false"/>
    <row r="325" customFormat="false" ht="15" hidden="false" customHeight="true" outlineLevel="0" collapsed="false"/>
    <row r="326" customFormat="false" ht="15" hidden="false" customHeight="true" outlineLevel="0" collapsed="false"/>
    <row r="327" customFormat="false" ht="15" hidden="false" customHeight="true" outlineLevel="0" collapsed="false"/>
    <row r="328" customFormat="false" ht="15" hidden="false" customHeight="true" outlineLevel="0" collapsed="false"/>
    <row r="329" customFormat="false" ht="15" hidden="false" customHeight="true" outlineLevel="0" collapsed="false"/>
    <row r="330" customFormat="false" ht="15" hidden="false" customHeight="true" outlineLevel="0" collapsed="false"/>
    <row r="331" customFormat="false" ht="15" hidden="false" customHeight="true" outlineLevel="0" collapsed="false"/>
    <row r="332" customFormat="false" ht="15" hidden="false" customHeight="true" outlineLevel="0" collapsed="false"/>
    <row r="333" customFormat="false" ht="15" hidden="false" customHeight="true" outlineLevel="0" collapsed="false"/>
    <row r="334" customFormat="false" ht="15" hidden="false" customHeight="true" outlineLevel="0" collapsed="false"/>
    <row r="335" customFormat="false" ht="15" hidden="false" customHeight="true" outlineLevel="0" collapsed="false"/>
  </sheetData>
  <mergeCells count="4">
    <mergeCell ref="A4:G4"/>
    <mergeCell ref="A5:G5"/>
    <mergeCell ref="I5:J5"/>
    <mergeCell ref="A13:F13"/>
  </mergeCells>
  <printOptions headings="false" gridLines="false" gridLinesSet="true" horizontalCentered="false" verticalCentered="false"/>
  <pageMargins left="1.08680555555556" right="0.511805555555555" top="0.7875" bottom="0.7875" header="0.511805555555555" footer="0.511805555555555"/>
  <pageSetup paperSize="9" scale="6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H17" activeCellId="0" sqref="H17"/>
    </sheetView>
  </sheetViews>
  <sheetFormatPr defaultRowHeight="13.2" zeroHeight="false" outlineLevelRow="0" outlineLevelCol="0"/>
  <cols>
    <col collapsed="false" customWidth="true" hidden="false" outlineLevel="0" max="1" min="1" style="0" width="12.78"/>
    <col collapsed="false" customWidth="true" hidden="false" outlineLevel="0" max="2" min="2" style="0" width="41.44"/>
    <col collapsed="false" customWidth="true" hidden="false" outlineLevel="0" max="7" min="3" style="0" width="12.78"/>
    <col collapsed="false" customWidth="true" hidden="false" outlineLevel="0" max="8" min="8" style="0" width="13.66"/>
    <col collapsed="false" customWidth="true" hidden="false" outlineLevel="0" max="1025" min="9" style="0" width="12.78"/>
  </cols>
  <sheetData>
    <row r="1" customFormat="false" ht="20.85" hidden="false" customHeight="true" outlineLevel="0" collapsed="false">
      <c r="A1" s="204"/>
      <c r="B1" s="205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customFormat="false" ht="16.95" hidden="false" customHeight="true" outlineLevel="0" collapsed="false">
      <c r="A2" s="207"/>
      <c r="B2" s="125" t="s">
        <v>1</v>
      </c>
    </row>
    <row r="3" customFormat="false" ht="16.95" hidden="false" customHeight="true" outlineLevel="0" collapsed="false">
      <c r="A3" s="207"/>
      <c r="B3" s="125" t="s">
        <v>2</v>
      </c>
    </row>
    <row r="4" customFormat="false" ht="13.2" hidden="false" customHeight="false" outlineLevel="0" collapsed="false">
      <c r="A4" s="208"/>
    </row>
    <row r="5" customFormat="false" ht="19.95" hidden="false" customHeight="true" outlineLevel="0" collapsed="false">
      <c r="A5" s="209" t="s">
        <v>218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customFormat="false" ht="18.9" hidden="false" customHeight="true" outlineLevel="0" collapsed="false">
      <c r="A6" s="210"/>
      <c r="B6" s="211" t="s">
        <v>219</v>
      </c>
      <c r="C6" s="212"/>
      <c r="D6" s="213" t="s">
        <v>106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customFormat="false" ht="41.4" hidden="false" customHeight="false" outlineLevel="0" collapsed="false">
      <c r="A7" s="214" t="s">
        <v>220</v>
      </c>
      <c r="B7" s="215" t="s">
        <v>221</v>
      </c>
      <c r="C7" s="216" t="s">
        <v>222</v>
      </c>
      <c r="D7" s="216" t="s">
        <v>223</v>
      </c>
      <c r="E7" s="216" t="s">
        <v>224</v>
      </c>
      <c r="F7" s="216" t="s">
        <v>225</v>
      </c>
      <c r="G7" s="216" t="s">
        <v>226</v>
      </c>
      <c r="H7" s="217" t="s">
        <v>227</v>
      </c>
      <c r="I7" s="218" t="s">
        <v>228</v>
      </c>
      <c r="J7" s="218" t="s">
        <v>229</v>
      </c>
      <c r="K7" s="218" t="s">
        <v>230</v>
      </c>
      <c r="L7" s="218" t="s">
        <v>231</v>
      </c>
      <c r="M7" s="218" t="s">
        <v>232</v>
      </c>
      <c r="N7" s="218" t="s">
        <v>233</v>
      </c>
      <c r="O7" s="218" t="s">
        <v>234</v>
      </c>
      <c r="P7" s="218" t="s">
        <v>235</v>
      </c>
    </row>
    <row r="8" customFormat="false" ht="42.75" hidden="false" customHeight="true" outlineLevel="0" collapsed="false">
      <c r="A8" s="219" t="s">
        <v>236</v>
      </c>
      <c r="B8" s="220" t="s">
        <v>237</v>
      </c>
      <c r="C8" s="221" t="n">
        <v>200</v>
      </c>
      <c r="D8" s="222" t="n">
        <v>1440</v>
      </c>
      <c r="E8" s="222" t="n">
        <v>1442</v>
      </c>
      <c r="F8" s="223" t="n">
        <f aca="false">ROUND(((((E8/220)*C8)*0.25)*0.12),2)</f>
        <v>39.33</v>
      </c>
      <c r="G8" s="224" t="n">
        <f aca="false">ROUND(((D8/220)*C8),2)</f>
        <v>1309.09</v>
      </c>
      <c r="H8" s="224" t="n">
        <f aca="false">ROUND((((D8/220)*C8)+F8),2)</f>
        <v>1348.42</v>
      </c>
      <c r="I8" s="224" t="n">
        <f aca="false">Uniformes!H12+Uniformes!H17</f>
        <v>40.85</v>
      </c>
      <c r="J8" s="224" t="n">
        <f aca="false">ROUND(L8/P9,2)</f>
        <v>937.95</v>
      </c>
      <c r="K8" s="224" t="n">
        <f aca="false">ROUND((M8/P10),2)</f>
        <v>41.89</v>
      </c>
      <c r="L8" s="225" t="n">
        <f aca="false">Limpeza!G40</f>
        <v>1875.90333333333</v>
      </c>
      <c r="M8" s="225" t="n">
        <f aca="false">Copa!G13</f>
        <v>41.8916666666667</v>
      </c>
      <c r="N8" s="224" t="n">
        <f aca="false">ROUND($O$8/$P$9,2)</f>
        <v>21.35</v>
      </c>
      <c r="O8" s="225" t="n">
        <f aca="false">Equip!G10</f>
        <v>42.69</v>
      </c>
      <c r="P8" s="226" t="n">
        <v>4</v>
      </c>
    </row>
    <row r="9" customFormat="false" ht="44.7" hidden="false" customHeight="true" outlineLevel="0" collapsed="false">
      <c r="A9" s="219"/>
      <c r="B9" s="220" t="s">
        <v>238</v>
      </c>
      <c r="C9" s="221" t="n">
        <v>200</v>
      </c>
      <c r="D9" s="222" t="n">
        <v>1440</v>
      </c>
      <c r="E9" s="222"/>
      <c r="F9" s="223" t="n">
        <f aca="false">ROUND(($H$23*40%),2)</f>
        <v>528</v>
      </c>
      <c r="G9" s="224" t="n">
        <f aca="false">ROUND(((D9/220)*C9),2)</f>
        <v>1309.09</v>
      </c>
      <c r="H9" s="224" t="n">
        <f aca="false">ROUND((((D9/220)*C9)+F9),2)</f>
        <v>1837.09</v>
      </c>
      <c r="I9" s="224" t="n">
        <f aca="false">Uniformes!H12</f>
        <v>31.67</v>
      </c>
      <c r="J9" s="224" t="n">
        <f aca="false">ROUND(L8/P9,2)</f>
        <v>937.95</v>
      </c>
      <c r="K9" s="224"/>
      <c r="L9" s="225"/>
      <c r="M9" s="225"/>
      <c r="N9" s="224" t="n">
        <f aca="false">ROUND($O$8/$P$9,2)</f>
        <v>21.35</v>
      </c>
      <c r="O9" s="225"/>
      <c r="P9" s="226" t="n">
        <v>2</v>
      </c>
    </row>
    <row r="10" customFormat="false" ht="50.4" hidden="false" customHeight="false" outlineLevel="0" collapsed="false">
      <c r="A10" s="227" t="s">
        <v>239</v>
      </c>
      <c r="B10" s="228" t="s">
        <v>98</v>
      </c>
      <c r="C10" s="229" t="n">
        <v>200</v>
      </c>
      <c r="D10" s="230" t="n">
        <v>1788.66</v>
      </c>
      <c r="E10" s="230"/>
      <c r="F10" s="231"/>
      <c r="G10" s="232" t="n">
        <f aca="false">ROUND(((D10/220)*C10),2)</f>
        <v>1626.05</v>
      </c>
      <c r="H10" s="232" t="n">
        <f aca="false">ROUND((((D10/220)*C10)+F10),2)</f>
        <v>1626.05</v>
      </c>
      <c r="I10" s="232" t="n">
        <f aca="false">Uniformes!H22</f>
        <v>32.34</v>
      </c>
      <c r="J10" s="232"/>
      <c r="K10" s="232"/>
      <c r="L10" s="233"/>
      <c r="M10" s="233"/>
      <c r="N10" s="232"/>
      <c r="O10" s="233"/>
      <c r="P10" s="234" t="n">
        <v>1</v>
      </c>
    </row>
    <row r="11" customFormat="false" ht="15.6" hidden="false" customHeight="false" outlineLevel="0" collapsed="false">
      <c r="A11" s="235" t="s">
        <v>240</v>
      </c>
      <c r="B11" s="235"/>
      <c r="C11" s="235"/>
      <c r="D11" s="235"/>
      <c r="E11" s="235"/>
      <c r="F11" s="235"/>
      <c r="G11" s="235"/>
      <c r="H11" s="235"/>
      <c r="I11" s="236"/>
      <c r="J11" s="237"/>
      <c r="K11" s="237"/>
      <c r="L11" s="237"/>
      <c r="M11" s="237"/>
      <c r="N11" s="238"/>
      <c r="O11" s="237"/>
      <c r="P11" s="239"/>
    </row>
    <row r="12" customFormat="false" ht="15" hidden="false" customHeight="false" outlineLevel="0" collapsed="false">
      <c r="A12" s="240"/>
      <c r="B12" s="241" t="s">
        <v>241</v>
      </c>
      <c r="C12" s="241"/>
      <c r="D12" s="241"/>
      <c r="E12" s="241"/>
      <c r="F12" s="241"/>
      <c r="G12" s="241"/>
      <c r="H12" s="242" t="n">
        <f aca="false">Encargos!C56</f>
        <v>0.7716</v>
      </c>
      <c r="I12" s="243"/>
      <c r="J12" s="244"/>
      <c r="K12" s="245"/>
      <c r="L12" s="246"/>
      <c r="M12" s="247"/>
      <c r="N12" s="246"/>
      <c r="O12" s="243"/>
      <c r="P12" s="243"/>
    </row>
    <row r="13" customFormat="false" ht="15.6" hidden="false" customHeight="false" outlineLevel="0" collapsed="false">
      <c r="A13" s="248" t="s">
        <v>242</v>
      </c>
      <c r="B13" s="248"/>
      <c r="C13" s="248"/>
      <c r="D13" s="248"/>
      <c r="E13" s="248"/>
      <c r="F13" s="248"/>
      <c r="G13" s="248"/>
      <c r="H13" s="248"/>
      <c r="I13" s="249"/>
      <c r="J13" s="244"/>
      <c r="K13" s="244"/>
      <c r="L13" s="249"/>
      <c r="M13" s="249"/>
      <c r="N13" s="249"/>
      <c r="O13" s="249"/>
      <c r="P13" s="249"/>
    </row>
    <row r="14" customFormat="false" ht="15" hidden="false" customHeight="false" outlineLevel="0" collapsed="false">
      <c r="A14" s="250" t="n">
        <v>1</v>
      </c>
      <c r="B14" s="251" t="s">
        <v>243</v>
      </c>
      <c r="C14" s="252"/>
      <c r="D14" s="252"/>
      <c r="E14" s="252"/>
      <c r="F14" s="252"/>
      <c r="G14" s="252"/>
      <c r="H14" s="253" t="n">
        <v>2.5</v>
      </c>
      <c r="I14" s="243"/>
      <c r="J14" s="241"/>
      <c r="K14" s="254"/>
      <c r="L14" s="243"/>
      <c r="M14" s="243"/>
      <c r="N14" s="243"/>
      <c r="O14" s="243"/>
      <c r="P14" s="243"/>
    </row>
    <row r="15" customFormat="false" ht="15.6" hidden="false" customHeight="false" outlineLevel="0" collapsed="false">
      <c r="A15" s="250" t="n">
        <v>2</v>
      </c>
      <c r="B15" s="251" t="s">
        <v>244</v>
      </c>
      <c r="C15" s="252"/>
      <c r="D15" s="252"/>
      <c r="E15" s="252"/>
      <c r="F15" s="252"/>
      <c r="G15" s="252"/>
      <c r="H15" s="255"/>
      <c r="I15" s="256"/>
      <c r="J15" s="257"/>
      <c r="K15" s="258"/>
      <c r="L15" s="256"/>
      <c r="M15" s="243"/>
      <c r="N15" s="243"/>
      <c r="O15" s="243"/>
      <c r="P15" s="243"/>
    </row>
    <row r="16" customFormat="false" ht="21.75" hidden="false" customHeight="true" outlineLevel="0" collapsed="false">
      <c r="A16" s="250" t="n">
        <v>3</v>
      </c>
      <c r="B16" s="259" t="s">
        <v>245</v>
      </c>
      <c r="C16" s="260" t="n">
        <v>0</v>
      </c>
      <c r="D16" s="260"/>
      <c r="E16" s="260"/>
      <c r="F16" s="260"/>
      <c r="G16" s="260"/>
      <c r="H16" s="260" t="n">
        <v>3.5</v>
      </c>
      <c r="I16" s="261" t="n">
        <v>0.06</v>
      </c>
      <c r="J16" s="262" t="s">
        <v>246</v>
      </c>
      <c r="K16" s="262"/>
      <c r="L16" s="262"/>
      <c r="M16" s="263"/>
      <c r="N16" s="243"/>
      <c r="O16" s="243"/>
      <c r="P16" s="243"/>
    </row>
    <row r="17" customFormat="false" ht="21.75" hidden="false" customHeight="true" outlineLevel="0" collapsed="false">
      <c r="A17" s="250" t="n">
        <v>4</v>
      </c>
      <c r="B17" s="264" t="s">
        <v>247</v>
      </c>
      <c r="C17" s="264"/>
      <c r="D17" s="264"/>
      <c r="E17" s="264"/>
      <c r="F17" s="264"/>
      <c r="G17" s="264"/>
      <c r="H17" s="260" t="n">
        <v>24</v>
      </c>
      <c r="I17" s="265" t="n">
        <v>0.2</v>
      </c>
      <c r="J17" s="266" t="s">
        <v>246</v>
      </c>
      <c r="K17" s="266"/>
      <c r="L17" s="266"/>
      <c r="M17" s="263"/>
      <c r="N17" s="243"/>
      <c r="O17" s="243"/>
      <c r="P17" s="243"/>
    </row>
    <row r="18" customFormat="false" ht="21.75" hidden="false" customHeight="true" outlineLevel="0" collapsed="false">
      <c r="A18" s="250" t="n">
        <v>5</v>
      </c>
      <c r="B18" s="266" t="s">
        <v>248</v>
      </c>
      <c r="C18" s="266"/>
      <c r="D18" s="266"/>
      <c r="E18" s="266"/>
      <c r="F18" s="266"/>
      <c r="G18" s="266"/>
      <c r="H18" s="267" t="n">
        <v>22</v>
      </c>
      <c r="I18" s="243"/>
      <c r="J18" s="243"/>
      <c r="K18" s="243"/>
      <c r="L18" s="243"/>
      <c r="M18" s="243"/>
      <c r="N18" s="243"/>
      <c r="O18" s="243"/>
      <c r="P18" s="268"/>
    </row>
    <row r="19" customFormat="false" ht="15.6" hidden="false" customHeight="false" outlineLevel="0" collapsed="false">
      <c r="A19" s="248" t="s">
        <v>249</v>
      </c>
      <c r="B19" s="248"/>
      <c r="C19" s="248"/>
      <c r="D19" s="248"/>
      <c r="E19" s="248"/>
      <c r="F19" s="248"/>
      <c r="G19" s="248"/>
      <c r="H19" s="248"/>
      <c r="I19" s="249"/>
      <c r="J19" s="249"/>
      <c r="K19" s="249"/>
      <c r="L19" s="249"/>
      <c r="M19" s="249"/>
      <c r="N19" s="249"/>
      <c r="O19" s="249"/>
      <c r="P19" s="269"/>
    </row>
    <row r="20" customFormat="false" ht="15" hidden="false" customHeight="false" outlineLevel="0" collapsed="false">
      <c r="A20" s="250" t="n">
        <v>1</v>
      </c>
      <c r="B20" s="264" t="s">
        <v>250</v>
      </c>
      <c r="C20" s="264"/>
      <c r="D20" s="264"/>
      <c r="E20" s="264"/>
      <c r="F20" s="264"/>
      <c r="G20" s="264"/>
      <c r="H20" s="270" t="n">
        <v>0.03</v>
      </c>
      <c r="I20" s="243"/>
      <c r="J20" s="243"/>
      <c r="K20" s="243"/>
      <c r="L20" s="243"/>
      <c r="M20" s="243"/>
      <c r="N20" s="243"/>
      <c r="O20" s="243"/>
      <c r="P20" s="268"/>
    </row>
    <row r="21" customFormat="false" ht="15" hidden="false" customHeight="false" outlineLevel="0" collapsed="false">
      <c r="A21" s="250" t="n">
        <v>2</v>
      </c>
      <c r="B21" s="264" t="s">
        <v>251</v>
      </c>
      <c r="C21" s="264"/>
      <c r="D21" s="264"/>
      <c r="E21" s="264"/>
      <c r="F21" s="264"/>
      <c r="G21" s="264"/>
      <c r="H21" s="270" t="n">
        <v>0.0679</v>
      </c>
      <c r="I21" s="271"/>
      <c r="J21" s="243"/>
      <c r="K21" s="243"/>
      <c r="L21" s="243"/>
      <c r="M21" s="243"/>
      <c r="N21" s="243"/>
      <c r="O21" s="243"/>
      <c r="P21" s="268"/>
    </row>
    <row r="22" customFormat="false" ht="15.6" hidden="false" customHeight="false" outlineLevel="0" collapsed="false">
      <c r="A22" s="248" t="s">
        <v>252</v>
      </c>
      <c r="B22" s="248"/>
      <c r="C22" s="248"/>
      <c r="D22" s="248"/>
      <c r="E22" s="248"/>
      <c r="F22" s="248"/>
      <c r="G22" s="248"/>
      <c r="H22" s="248"/>
      <c r="I22" s="249"/>
      <c r="J22" s="249"/>
      <c r="K22" s="249"/>
      <c r="L22" s="249"/>
      <c r="M22" s="249"/>
      <c r="N22" s="249"/>
      <c r="O22" s="249"/>
      <c r="P22" s="269"/>
    </row>
    <row r="23" customFormat="false" ht="15" hidden="false" customHeight="false" outlineLevel="0" collapsed="false">
      <c r="A23" s="250" t="n">
        <v>1</v>
      </c>
      <c r="B23" s="264" t="s">
        <v>253</v>
      </c>
      <c r="C23" s="264"/>
      <c r="D23" s="264"/>
      <c r="E23" s="264"/>
      <c r="F23" s="264"/>
      <c r="G23" s="264"/>
      <c r="H23" s="260" t="n">
        <v>1320</v>
      </c>
      <c r="I23" s="243"/>
      <c r="J23" s="243"/>
      <c r="K23" s="243"/>
      <c r="L23" s="243"/>
      <c r="M23" s="243"/>
      <c r="N23" s="243"/>
      <c r="O23" s="272"/>
      <c r="P23" s="268"/>
    </row>
    <row r="24" customFormat="false" ht="15" hidden="false" customHeight="false" outlineLevel="0" collapsed="false">
      <c r="A24" s="250"/>
      <c r="B24" s="264" t="s">
        <v>254</v>
      </c>
      <c r="C24" s="264"/>
      <c r="D24" s="264"/>
      <c r="E24" s="264"/>
      <c r="F24" s="264"/>
      <c r="G24" s="264"/>
      <c r="H24" s="270" t="n">
        <v>0.076</v>
      </c>
      <c r="I24" s="243"/>
      <c r="J24" s="243"/>
      <c r="K24" s="243"/>
      <c r="L24" s="243"/>
      <c r="M24" s="243"/>
      <c r="N24" s="243"/>
      <c r="O24" s="243"/>
      <c r="P24" s="268"/>
    </row>
    <row r="25" customFormat="false" ht="15" hidden="false" customHeight="false" outlineLevel="0" collapsed="false">
      <c r="A25" s="250"/>
      <c r="B25" s="264" t="s">
        <v>255</v>
      </c>
      <c r="C25" s="264"/>
      <c r="D25" s="264"/>
      <c r="E25" s="264"/>
      <c r="F25" s="264"/>
      <c r="G25" s="264"/>
      <c r="H25" s="270" t="n">
        <v>0.0165</v>
      </c>
      <c r="I25" s="243"/>
      <c r="J25" s="243"/>
      <c r="K25" s="243"/>
      <c r="L25" s="243"/>
      <c r="M25" s="243"/>
      <c r="N25" s="243"/>
      <c r="O25" s="243"/>
      <c r="P25" s="268"/>
    </row>
    <row r="26" customFormat="false" ht="16.95" hidden="false" customHeight="true" outlineLevel="0" collapsed="false">
      <c r="A26" s="273"/>
      <c r="B26" s="274" t="s">
        <v>256</v>
      </c>
      <c r="C26" s="274"/>
      <c r="D26" s="275"/>
      <c r="E26" s="275"/>
      <c r="F26" s="275"/>
      <c r="G26" s="275"/>
      <c r="H26" s="276" t="n">
        <v>0.03</v>
      </c>
      <c r="I26" s="277"/>
      <c r="J26" s="277"/>
      <c r="K26" s="277"/>
      <c r="L26" s="277"/>
      <c r="M26" s="277"/>
      <c r="N26" s="277"/>
      <c r="O26" s="277"/>
      <c r="P26" s="278"/>
    </row>
  </sheetData>
  <mergeCells count="17">
    <mergeCell ref="A5:P5"/>
    <mergeCell ref="D6:P6"/>
    <mergeCell ref="A8:A9"/>
    <mergeCell ref="A11:H11"/>
    <mergeCell ref="A13:H13"/>
    <mergeCell ref="J16:L16"/>
    <mergeCell ref="B17:C17"/>
    <mergeCell ref="J17:L17"/>
    <mergeCell ref="B18:C18"/>
    <mergeCell ref="A19:H19"/>
    <mergeCell ref="B20:C20"/>
    <mergeCell ref="B21:C21"/>
    <mergeCell ref="A22:H22"/>
    <mergeCell ref="B23:C23"/>
    <mergeCell ref="B24:C24"/>
    <mergeCell ref="B25:C25"/>
    <mergeCell ref="B26:C2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4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&amp;C&amp;12&amp;A</oddHeader>
    <oddFooter>&amp;C&amp;12Página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002060"/>
    <pageSetUpPr fitToPage="true"/>
  </sheetPr>
  <dimension ref="A1:O38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9" activeCellId="0" sqref="A29"/>
    </sheetView>
  </sheetViews>
  <sheetFormatPr defaultRowHeight="13.2" zeroHeight="false" outlineLevelRow="0" outlineLevelCol="0"/>
  <cols>
    <col collapsed="false" customWidth="true" hidden="false" outlineLevel="0" max="1" min="1" style="279" width="13.78"/>
    <col collapsed="false" customWidth="true" hidden="false" outlineLevel="0" max="2" min="2" style="279" width="28.34"/>
    <col collapsed="false" customWidth="true" hidden="false" outlineLevel="0" max="3" min="3" style="279" width="14.78"/>
    <col collapsed="false" customWidth="true" hidden="false" outlineLevel="0" max="4" min="4" style="279" width="18.44"/>
    <col collapsed="false" customWidth="true" hidden="false" outlineLevel="0" max="6" min="5" style="279" width="20.1"/>
    <col collapsed="false" customWidth="true" hidden="false" outlineLevel="0" max="7" min="7" style="279" width="13.44"/>
    <col collapsed="false" customWidth="true" hidden="false" outlineLevel="0" max="8" min="8" style="280" width="20.01"/>
    <col collapsed="false" customWidth="true" hidden="false" outlineLevel="0" max="12" min="9" style="279" width="9.33"/>
    <col collapsed="false" customWidth="true" hidden="false" outlineLevel="0" max="13" min="13" style="279" width="10.77"/>
    <col collapsed="false" customWidth="true" hidden="false" outlineLevel="0" max="14" min="14" style="279" width="9.33"/>
    <col collapsed="false" customWidth="true" hidden="false" outlineLevel="0" max="15" min="15" style="279" width="10.77"/>
    <col collapsed="false" customWidth="true" hidden="false" outlineLevel="0" max="1025" min="16" style="279" width="9.33"/>
  </cols>
  <sheetData>
    <row r="1" customFormat="false" ht="13.8" hidden="false" customHeight="false" outlineLevel="0" collapsed="false">
      <c r="A1" s="281"/>
      <c r="B1" s="2" t="s">
        <v>0</v>
      </c>
      <c r="C1" s="2"/>
      <c r="D1" s="282"/>
      <c r="E1" s="282"/>
      <c r="F1" s="282"/>
      <c r="G1" s="282"/>
      <c r="H1" s="123"/>
    </row>
    <row r="2" customFormat="false" ht="13.8" hidden="false" customHeight="false" outlineLevel="0" collapsed="false">
      <c r="A2" s="283"/>
      <c r="B2" s="284" t="s">
        <v>1</v>
      </c>
      <c r="C2" s="284"/>
      <c r="D2" s="5"/>
      <c r="E2" s="5"/>
      <c r="F2" s="5"/>
      <c r="G2" s="5"/>
      <c r="H2" s="6"/>
    </row>
    <row r="3" customFormat="false" ht="13.95" hidden="false" customHeight="true" outlineLevel="0" collapsed="false">
      <c r="A3" s="283"/>
      <c r="B3" s="284" t="s">
        <v>257</v>
      </c>
      <c r="C3" s="284"/>
      <c r="D3" s="5"/>
      <c r="E3" s="5"/>
      <c r="F3" s="5"/>
      <c r="G3" s="5"/>
      <c r="H3" s="6"/>
    </row>
    <row r="4" customFormat="false" ht="19.5" hidden="false" customHeight="true" outlineLevel="0" collapsed="false">
      <c r="A4" s="285" t="s">
        <v>258</v>
      </c>
      <c r="B4" s="285"/>
      <c r="C4" s="285"/>
      <c r="D4" s="285"/>
      <c r="E4" s="285"/>
      <c r="F4" s="285"/>
      <c r="G4" s="285"/>
      <c r="H4" s="285"/>
    </row>
    <row r="5" customFormat="false" ht="30" hidden="false" customHeight="true" outlineLevel="0" collapsed="false">
      <c r="A5" s="286" t="s">
        <v>259</v>
      </c>
      <c r="B5" s="287"/>
      <c r="C5" s="287"/>
      <c r="D5" s="287"/>
      <c r="E5" s="288" t="str">
        <f aca="false">Dados!B6</f>
        <v>CCT 2023</v>
      </c>
      <c r="F5" s="289" t="s">
        <v>260</v>
      </c>
      <c r="G5" s="289" t="s">
        <v>261</v>
      </c>
      <c r="H5" s="290" t="s">
        <v>262</v>
      </c>
    </row>
    <row r="6" customFormat="false" ht="30" hidden="false" customHeight="true" outlineLevel="0" collapsed="false">
      <c r="A6" s="291" t="s">
        <v>263</v>
      </c>
      <c r="B6" s="291"/>
      <c r="C6" s="291"/>
      <c r="D6" s="291"/>
      <c r="E6" s="292" t="s">
        <v>106</v>
      </c>
      <c r="F6" s="289"/>
      <c r="G6" s="289"/>
      <c r="H6" s="290"/>
    </row>
    <row r="7" customFormat="false" ht="18.75" hidden="false" customHeight="true" outlineLevel="0" collapsed="false">
      <c r="A7" s="293" t="s">
        <v>264</v>
      </c>
      <c r="B7" s="293"/>
      <c r="C7" s="293"/>
      <c r="D7" s="293"/>
      <c r="E7" s="293"/>
      <c r="F7" s="293"/>
      <c r="G7" s="293"/>
      <c r="H7" s="293"/>
    </row>
    <row r="8" customFormat="false" ht="24.6" hidden="false" customHeight="true" outlineLevel="0" collapsed="false">
      <c r="A8" s="292" t="s">
        <v>107</v>
      </c>
      <c r="B8" s="292" t="s">
        <v>265</v>
      </c>
      <c r="C8" s="292"/>
      <c r="D8" s="294" t="s">
        <v>266</v>
      </c>
      <c r="E8" s="294" t="s">
        <v>267</v>
      </c>
      <c r="F8" s="294" t="s">
        <v>110</v>
      </c>
      <c r="G8" s="294"/>
      <c r="H8" s="294"/>
    </row>
    <row r="9" customFormat="false" ht="18" hidden="false" customHeight="true" outlineLevel="0" collapsed="false">
      <c r="A9" s="295" t="n">
        <v>1</v>
      </c>
      <c r="B9" s="296" t="s">
        <v>98</v>
      </c>
      <c r="C9" s="296"/>
      <c r="D9" s="297" t="n">
        <v>200</v>
      </c>
      <c r="E9" s="298" t="n">
        <f aca="false">Dados!D10</f>
        <v>1788.66</v>
      </c>
      <c r="F9" s="299" t="n">
        <f aca="false">ROUND(E9/220*D9,2)</f>
        <v>1626.05</v>
      </c>
      <c r="G9" s="299"/>
      <c r="H9" s="300"/>
      <c r="M9" s="301"/>
    </row>
    <row r="10" customFormat="false" ht="18" hidden="false" customHeight="true" outlineLevel="0" collapsed="false">
      <c r="A10" s="295"/>
      <c r="B10" s="302" t="s">
        <v>268</v>
      </c>
      <c r="C10" s="302"/>
      <c r="D10" s="302"/>
      <c r="E10" s="302"/>
      <c r="F10" s="303" t="n">
        <f aca="false">F9</f>
        <v>1626.05</v>
      </c>
      <c r="G10" s="302"/>
      <c r="H10" s="304"/>
      <c r="M10" s="301"/>
    </row>
    <row r="11" customFormat="false" ht="18" hidden="false" customHeight="true" outlineLevel="0" collapsed="false">
      <c r="A11" s="295" t="s">
        <v>269</v>
      </c>
      <c r="B11" s="305" t="s">
        <v>270</v>
      </c>
      <c r="C11" s="305"/>
      <c r="D11" s="305"/>
      <c r="E11" s="306" t="n">
        <f aca="false">Dados!H12</f>
        <v>0.7716</v>
      </c>
      <c r="F11" s="307" t="n">
        <f aca="false">ROUND(($E$11*$F$10),2)</f>
        <v>1254.66</v>
      </c>
      <c r="G11" s="308"/>
      <c r="H11" s="300"/>
      <c r="M11" s="301"/>
    </row>
    <row r="12" customFormat="false" ht="18" hidden="false" customHeight="true" outlineLevel="0" collapsed="false">
      <c r="A12" s="309" t="s">
        <v>271</v>
      </c>
      <c r="B12" s="309"/>
      <c r="C12" s="309"/>
      <c r="D12" s="309"/>
      <c r="E12" s="309"/>
      <c r="F12" s="303" t="n">
        <f aca="false">SUM(F10:F11)</f>
        <v>2880.71</v>
      </c>
      <c r="G12" s="302"/>
      <c r="H12" s="304"/>
      <c r="M12" s="301"/>
    </row>
    <row r="13" customFormat="false" ht="18" hidden="false" customHeight="true" outlineLevel="0" collapsed="false">
      <c r="A13" s="291" t="s">
        <v>272</v>
      </c>
      <c r="B13" s="291"/>
      <c r="C13" s="291"/>
      <c r="D13" s="291"/>
      <c r="E13" s="291"/>
      <c r="F13" s="291"/>
      <c r="G13" s="291"/>
      <c r="H13" s="291"/>
      <c r="M13" s="301"/>
    </row>
    <row r="14" customFormat="false" ht="23.1" hidden="false" customHeight="true" outlineLevel="0" collapsed="false">
      <c r="A14" s="292" t="s">
        <v>122</v>
      </c>
      <c r="B14" s="292"/>
      <c r="C14" s="292" t="s">
        <v>109</v>
      </c>
      <c r="D14" s="292" t="s">
        <v>273</v>
      </c>
      <c r="E14" s="292"/>
      <c r="F14" s="310" t="s">
        <v>273</v>
      </c>
      <c r="G14" s="310"/>
      <c r="H14" s="310" t="s">
        <v>274</v>
      </c>
      <c r="M14" s="301"/>
      <c r="O14" s="280"/>
    </row>
    <row r="15" customFormat="false" ht="18" hidden="false" customHeight="true" outlineLevel="0" collapsed="false">
      <c r="A15" s="305" t="s">
        <v>228</v>
      </c>
      <c r="B15" s="305"/>
      <c r="C15" s="287"/>
      <c r="D15" s="287"/>
      <c r="E15" s="287"/>
      <c r="F15" s="311" t="n">
        <f aca="false">Dados!I10</f>
        <v>32.34</v>
      </c>
      <c r="G15" s="287"/>
      <c r="H15" s="312"/>
      <c r="M15" s="301"/>
      <c r="O15" s="301"/>
    </row>
    <row r="16" customFormat="false" ht="23.85" hidden="false" customHeight="true" outlineLevel="0" collapsed="false">
      <c r="A16" s="313" t="s">
        <v>275</v>
      </c>
      <c r="B16" s="313"/>
      <c r="C16" s="287"/>
      <c r="D16" s="287"/>
      <c r="E16" s="287"/>
      <c r="F16" s="311" t="n">
        <f aca="false">Dados!H14</f>
        <v>2.5</v>
      </c>
      <c r="G16" s="287"/>
      <c r="H16" s="312"/>
      <c r="M16" s="301"/>
      <c r="O16" s="301"/>
    </row>
    <row r="17" customFormat="false" ht="27.6" hidden="false" customHeight="true" outlineLevel="0" collapsed="false">
      <c r="A17" s="313" t="s">
        <v>276</v>
      </c>
      <c r="B17" s="313"/>
      <c r="C17" s="287"/>
      <c r="D17" s="287"/>
      <c r="E17" s="287"/>
      <c r="F17" s="311" t="n">
        <f aca="false">Dados!H15</f>
        <v>0</v>
      </c>
      <c r="G17" s="287"/>
      <c r="H17" s="312"/>
      <c r="M17" s="301"/>
    </row>
    <row r="18" customFormat="false" ht="18" hidden="false" customHeight="true" outlineLevel="0" collapsed="false">
      <c r="A18" s="305" t="s">
        <v>277</v>
      </c>
      <c r="B18" s="305"/>
      <c r="C18" s="300" t="n">
        <f aca="false">Dados!H18</f>
        <v>22</v>
      </c>
      <c r="D18" s="311" t="n">
        <f aca="false">Dados!H17</f>
        <v>24</v>
      </c>
      <c r="E18" s="314" t="n">
        <f aca="false">Dados!I17</f>
        <v>0.2</v>
      </c>
      <c r="F18" s="315" t="n">
        <f aca="false">ROUND((IF(D9&gt;150,((C18*D18)-(E18*(C18*D18))),0)),2)</f>
        <v>422.4</v>
      </c>
      <c r="G18" s="315"/>
      <c r="H18" s="312"/>
      <c r="M18" s="301"/>
    </row>
    <row r="19" customFormat="false" ht="18" hidden="false" customHeight="true" outlineLevel="0" collapsed="false">
      <c r="A19" s="305" t="s">
        <v>245</v>
      </c>
      <c r="B19" s="305"/>
      <c r="C19" s="300" t="n">
        <f aca="false">Dados!H18</f>
        <v>22</v>
      </c>
      <c r="D19" s="287"/>
      <c r="E19" s="311" t="n">
        <f aca="false">Dados!H16</f>
        <v>3.5</v>
      </c>
      <c r="F19" s="287" t="n">
        <f aca="false">ROUND(((D19+E19)*2*C19)-(F9*0.06),2)</f>
        <v>56.44</v>
      </c>
      <c r="G19" s="287"/>
      <c r="H19" s="312" t="n">
        <f aca="false">F19</f>
        <v>56.44</v>
      </c>
      <c r="M19" s="301"/>
    </row>
    <row r="20" customFormat="false" ht="18" hidden="false" customHeight="true" outlineLevel="0" collapsed="false">
      <c r="A20" s="305" t="s">
        <v>278</v>
      </c>
      <c r="B20" s="305"/>
      <c r="C20" s="305"/>
      <c r="D20" s="305"/>
      <c r="E20" s="305"/>
      <c r="F20" s="311" t="n">
        <f aca="false">Dados!J10</f>
        <v>0</v>
      </c>
      <c r="G20" s="311" t="n">
        <f aca="false">F20</f>
        <v>0</v>
      </c>
      <c r="H20" s="312"/>
      <c r="M20" s="301"/>
    </row>
    <row r="21" customFormat="false" ht="18" hidden="false" customHeight="true" outlineLevel="0" collapsed="false">
      <c r="A21" s="305" t="s">
        <v>279</v>
      </c>
      <c r="B21" s="305"/>
      <c r="C21" s="305"/>
      <c r="D21" s="305"/>
      <c r="E21" s="305"/>
      <c r="F21" s="311" t="n">
        <f aca="false">Dados!K10</f>
        <v>0</v>
      </c>
      <c r="G21" s="311" t="n">
        <f aca="false">F21</f>
        <v>0</v>
      </c>
      <c r="H21" s="312"/>
      <c r="M21" s="301"/>
    </row>
    <row r="22" customFormat="false" ht="18" hidden="false" customHeight="true" outlineLevel="0" collapsed="false">
      <c r="A22" s="305" t="s">
        <v>280</v>
      </c>
      <c r="B22" s="305"/>
      <c r="C22" s="305"/>
      <c r="D22" s="305"/>
      <c r="E22" s="305"/>
      <c r="F22" s="311" t="n">
        <f aca="false">Dados!N10</f>
        <v>0</v>
      </c>
      <c r="G22" s="287"/>
      <c r="H22" s="312"/>
      <c r="M22" s="301"/>
    </row>
    <row r="23" customFormat="false" ht="18" hidden="false" customHeight="true" outlineLevel="0" collapsed="false">
      <c r="A23" s="302" t="s">
        <v>281</v>
      </c>
      <c r="B23" s="302"/>
      <c r="C23" s="302"/>
      <c r="D23" s="302"/>
      <c r="E23" s="302"/>
      <c r="F23" s="316" t="n">
        <f aca="false">SUM(F15:F22)</f>
        <v>513.68</v>
      </c>
      <c r="G23" s="316" t="n">
        <f aca="false">SUM(G15:G22)</f>
        <v>0</v>
      </c>
      <c r="H23" s="304" t="n">
        <f aca="false">SUM(H15:H22)</f>
        <v>56.44</v>
      </c>
      <c r="I23" s="317"/>
      <c r="J23" s="317"/>
      <c r="M23" s="301"/>
    </row>
    <row r="24" customFormat="false" ht="18" hidden="false" customHeight="true" outlineLevel="0" collapsed="false">
      <c r="A24" s="302" t="s">
        <v>282</v>
      </c>
      <c r="B24" s="302"/>
      <c r="C24" s="302"/>
      <c r="D24" s="302"/>
      <c r="E24" s="302"/>
      <c r="F24" s="303" t="n">
        <f aca="false">F12+F23</f>
        <v>3394.39</v>
      </c>
      <c r="G24" s="316" t="n">
        <f aca="false">G12+G23</f>
        <v>0</v>
      </c>
      <c r="H24" s="304" t="n">
        <f aca="false">H12+H23</f>
        <v>56.44</v>
      </c>
      <c r="M24" s="301"/>
    </row>
    <row r="25" customFormat="false" ht="21.75" hidden="false" customHeight="true" outlineLevel="0" collapsed="false">
      <c r="A25" s="291" t="s">
        <v>283</v>
      </c>
      <c r="B25" s="291"/>
      <c r="C25" s="291"/>
      <c r="D25" s="291"/>
      <c r="E25" s="291"/>
      <c r="F25" s="291"/>
      <c r="G25" s="291"/>
      <c r="H25" s="291"/>
      <c r="M25" s="301"/>
    </row>
    <row r="26" customFormat="false" ht="18" hidden="false" customHeight="true" outlineLevel="0" collapsed="false">
      <c r="A26" s="292" t="s">
        <v>284</v>
      </c>
      <c r="B26" s="292"/>
      <c r="C26" s="292"/>
      <c r="D26" s="292" t="s">
        <v>8</v>
      </c>
      <c r="E26" s="292"/>
      <c r="F26" s="318" t="s">
        <v>274</v>
      </c>
      <c r="G26" s="318"/>
      <c r="H26" s="318"/>
      <c r="M26" s="301"/>
    </row>
    <row r="27" customFormat="false" ht="18" hidden="false" customHeight="true" outlineLevel="0" collapsed="false">
      <c r="A27" s="287" t="s">
        <v>285</v>
      </c>
      <c r="B27" s="287"/>
      <c r="C27" s="287"/>
      <c r="D27" s="319" t="n">
        <f aca="false">Dados!H20</f>
        <v>0.03</v>
      </c>
      <c r="E27" s="320"/>
      <c r="F27" s="300" t="n">
        <f aca="false">ROUND(($F$24*$D$27),2)</f>
        <v>101.83</v>
      </c>
      <c r="G27" s="300" t="n">
        <f aca="false">ROUND((G24*$D$27),2)</f>
        <v>0</v>
      </c>
      <c r="H27" s="300" t="n">
        <f aca="false">ROUND((H24*$D$27),2)</f>
        <v>1.69</v>
      </c>
      <c r="M27" s="301"/>
    </row>
    <row r="28" customFormat="false" ht="18" hidden="false" customHeight="true" outlineLevel="0" collapsed="false">
      <c r="A28" s="287" t="s">
        <v>286</v>
      </c>
      <c r="B28" s="287"/>
      <c r="C28" s="287"/>
      <c r="D28" s="287"/>
      <c r="E28" s="320"/>
      <c r="F28" s="321" t="n">
        <f aca="false">$F$24+$F$27</f>
        <v>3496.22</v>
      </c>
      <c r="G28" s="321" t="n">
        <f aca="false">G24+G27</f>
        <v>0</v>
      </c>
      <c r="H28" s="321" t="n">
        <f aca="false">H24+H27</f>
        <v>58.13</v>
      </c>
      <c r="M28" s="301"/>
    </row>
    <row r="29" customFormat="false" ht="18" hidden="false" customHeight="true" outlineLevel="0" collapsed="false">
      <c r="A29" s="305" t="s">
        <v>251</v>
      </c>
      <c r="B29" s="305"/>
      <c r="C29" s="287"/>
      <c r="D29" s="319" t="n">
        <f aca="false">Dados!H21</f>
        <v>0.0679</v>
      </c>
      <c r="E29" s="320"/>
      <c r="F29" s="321" t="n">
        <f aca="false">ROUND(($F$28*$D$29),2)</f>
        <v>237.39</v>
      </c>
      <c r="G29" s="321" t="n">
        <f aca="false">ROUND((G28*$D$29),2)</f>
        <v>0</v>
      </c>
      <c r="H29" s="321" t="n">
        <f aca="false">ROUND((H28*$D$29),2)</f>
        <v>3.95</v>
      </c>
      <c r="M29" s="301"/>
    </row>
    <row r="30" customFormat="false" ht="18" hidden="false" customHeight="true" outlineLevel="0" collapsed="false">
      <c r="A30" s="322" t="s">
        <v>287</v>
      </c>
      <c r="B30" s="322"/>
      <c r="C30" s="322"/>
      <c r="D30" s="323" t="n">
        <f aca="false">SUM(D27:D29)</f>
        <v>0.0979</v>
      </c>
      <c r="E30" s="324"/>
      <c r="F30" s="304" t="n">
        <f aca="false">F27+F29</f>
        <v>339.22</v>
      </c>
      <c r="G30" s="304" t="n">
        <f aca="false">G27+G29</f>
        <v>0</v>
      </c>
      <c r="H30" s="304" t="n">
        <f aca="false">H27+H29</f>
        <v>5.64</v>
      </c>
      <c r="M30" s="301"/>
    </row>
    <row r="31" customFormat="false" ht="18" hidden="false" customHeight="true" outlineLevel="0" collapsed="false">
      <c r="A31" s="302" t="s">
        <v>288</v>
      </c>
      <c r="B31" s="302"/>
      <c r="C31" s="302"/>
      <c r="D31" s="302"/>
      <c r="E31" s="302"/>
      <c r="F31" s="303" t="n">
        <f aca="false">$F$12+$F$23+$F$30</f>
        <v>3733.61</v>
      </c>
      <c r="G31" s="316" t="n">
        <f aca="false">G12+G30+G23</f>
        <v>0</v>
      </c>
      <c r="H31" s="325" t="n">
        <f aca="false">H12+H30+H23</f>
        <v>62.08</v>
      </c>
      <c r="M31" s="301"/>
    </row>
    <row r="32" customFormat="false" ht="22.5" hidden="false" customHeight="true" outlineLevel="0" collapsed="false">
      <c r="A32" s="291" t="s">
        <v>289</v>
      </c>
      <c r="B32" s="291"/>
      <c r="C32" s="291"/>
      <c r="D32" s="291"/>
      <c r="E32" s="291"/>
      <c r="F32" s="291"/>
      <c r="G32" s="291"/>
      <c r="H32" s="291"/>
      <c r="M32" s="301"/>
    </row>
    <row r="33" customFormat="false" ht="18" hidden="false" customHeight="true" outlineLevel="0" collapsed="false">
      <c r="A33" s="305" t="s">
        <v>254</v>
      </c>
      <c r="B33" s="305"/>
      <c r="C33" s="305"/>
      <c r="D33" s="319" t="n">
        <f aca="false">Dados!H24</f>
        <v>0.076</v>
      </c>
      <c r="E33" s="306"/>
      <c r="F33" s="300" t="n">
        <f aca="false">ROUND((F37*$D$33),2)</f>
        <v>323.37</v>
      </c>
      <c r="G33" s="300" t="n">
        <f aca="false">ROUND((G37*$D$33),2)</f>
        <v>0</v>
      </c>
      <c r="H33" s="300" t="n">
        <f aca="false">ROUND((H37*$D$33),2)</f>
        <v>5.38</v>
      </c>
      <c r="M33" s="301"/>
    </row>
    <row r="34" customFormat="false" ht="18" hidden="false" customHeight="true" outlineLevel="0" collapsed="false">
      <c r="A34" s="305" t="s">
        <v>255</v>
      </c>
      <c r="B34" s="305"/>
      <c r="C34" s="305"/>
      <c r="D34" s="319" t="n">
        <f aca="false">Dados!H25</f>
        <v>0.0165</v>
      </c>
      <c r="E34" s="306"/>
      <c r="F34" s="300" t="n">
        <f aca="false">ROUND((F37*$D$34),2)</f>
        <v>70.2</v>
      </c>
      <c r="G34" s="300" t="n">
        <f aca="false">ROUND((G37*$D$34),2)</f>
        <v>0</v>
      </c>
      <c r="H34" s="300" t="n">
        <f aca="false">ROUND((H37*$D$34),2)</f>
        <v>1.17</v>
      </c>
      <c r="M34" s="301"/>
    </row>
    <row r="35" customFormat="false" ht="18" hidden="false" customHeight="true" outlineLevel="0" collapsed="false">
      <c r="A35" s="305" t="s">
        <v>256</v>
      </c>
      <c r="B35" s="305"/>
      <c r="C35" s="305"/>
      <c r="D35" s="319" t="n">
        <f aca="false">Dados!H26</f>
        <v>0.03</v>
      </c>
      <c r="E35" s="306"/>
      <c r="F35" s="300" t="n">
        <f aca="false">ROUND((F37*$D$35),2)</f>
        <v>127.64</v>
      </c>
      <c r="G35" s="300" t="n">
        <f aca="false">ROUND((G37*$D$35),2)</f>
        <v>0</v>
      </c>
      <c r="H35" s="300" t="n">
        <f aca="false">ROUND((H37*$D$35),2)</f>
        <v>2.12</v>
      </c>
      <c r="M35" s="301"/>
    </row>
    <row r="36" customFormat="false" ht="18" hidden="false" customHeight="true" outlineLevel="0" collapsed="false">
      <c r="A36" s="302" t="s">
        <v>290</v>
      </c>
      <c r="B36" s="302"/>
      <c r="C36" s="302"/>
      <c r="D36" s="323" t="n">
        <f aca="false">SUM(D33:D35)</f>
        <v>0.1225</v>
      </c>
      <c r="E36" s="324"/>
      <c r="F36" s="304" t="n">
        <f aca="false">SUM(F33:F35)</f>
        <v>521.21</v>
      </c>
      <c r="G36" s="304" t="n">
        <f aca="false">SUM(G33:G35)</f>
        <v>0</v>
      </c>
      <c r="H36" s="304" t="n">
        <f aca="false">SUM(H33:H35)</f>
        <v>8.67</v>
      </c>
      <c r="M36" s="301"/>
    </row>
    <row r="37" customFormat="false" ht="29.25" hidden="false" customHeight="true" outlineLevel="0" collapsed="false">
      <c r="A37" s="326" t="s">
        <v>291</v>
      </c>
      <c r="B37" s="326"/>
      <c r="C37" s="326"/>
      <c r="D37" s="326"/>
      <c r="E37" s="326"/>
      <c r="F37" s="327" t="n">
        <f aca="false">ROUND(F31/(1-$D$36),2)</f>
        <v>4254.83</v>
      </c>
      <c r="G37" s="327" t="n">
        <f aca="false">ROUND(G31/(1-$D$36),2)</f>
        <v>0</v>
      </c>
      <c r="H37" s="327" t="n">
        <f aca="false">ROUND(H31/(1-$D$36),2)</f>
        <v>70.75</v>
      </c>
      <c r="M37" s="301"/>
    </row>
    <row r="38" customFormat="false" ht="31.5" hidden="false" customHeight="true" outlineLevel="0" collapsed="false">
      <c r="A38" s="328" t="s">
        <v>292</v>
      </c>
      <c r="B38" s="328"/>
      <c r="C38" s="328"/>
      <c r="D38" s="328"/>
      <c r="E38" s="328"/>
      <c r="F38" s="329" t="n">
        <f aca="false">(F37/F10)/100</f>
        <v>0.026166661541773</v>
      </c>
      <c r="G38" s="330"/>
      <c r="H38" s="331"/>
      <c r="M38" s="301"/>
    </row>
  </sheetData>
  <mergeCells count="41">
    <mergeCell ref="A4:H4"/>
    <mergeCell ref="F5:F6"/>
    <mergeCell ref="G5:G6"/>
    <mergeCell ref="H5:H6"/>
    <mergeCell ref="A6:D6"/>
    <mergeCell ref="A7:H7"/>
    <mergeCell ref="B8:C8"/>
    <mergeCell ref="F8:H8"/>
    <mergeCell ref="A9:A11"/>
    <mergeCell ref="B9:C9"/>
    <mergeCell ref="B10:E10"/>
    <mergeCell ref="B11:D11"/>
    <mergeCell ref="A12:E12"/>
    <mergeCell ref="A13:H13"/>
    <mergeCell ref="A14:B14"/>
    <mergeCell ref="D14:E14"/>
    <mergeCell ref="F14:H14"/>
    <mergeCell ref="A15:B15"/>
    <mergeCell ref="A16:B16"/>
    <mergeCell ref="A17:B17"/>
    <mergeCell ref="A18:B18"/>
    <mergeCell ref="A19:B19"/>
    <mergeCell ref="A20:B20"/>
    <mergeCell ref="A21:B21"/>
    <mergeCell ref="A22:B22"/>
    <mergeCell ref="A23:E23"/>
    <mergeCell ref="I23:J23"/>
    <mergeCell ref="A24:E24"/>
    <mergeCell ref="A25:H25"/>
    <mergeCell ref="A26:C26"/>
    <mergeCell ref="D26:E26"/>
    <mergeCell ref="F26:H26"/>
    <mergeCell ref="A29:B29"/>
    <mergeCell ref="A31:E31"/>
    <mergeCell ref="A32:H32"/>
    <mergeCell ref="A33:C33"/>
    <mergeCell ref="A34:C34"/>
    <mergeCell ref="A35:C35"/>
    <mergeCell ref="A36:C36"/>
    <mergeCell ref="A37:E37"/>
    <mergeCell ref="A38:E38"/>
  </mergeCells>
  <printOptions headings="false" gridLines="false" gridLinesSet="true" horizontalCentered="false" verticalCentered="false"/>
  <pageMargins left="0.7875" right="0.39375" top="1.575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A1:P44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9" activeCellId="0" sqref="B9"/>
    </sheetView>
  </sheetViews>
  <sheetFormatPr defaultRowHeight="13.2" zeroHeight="false" outlineLevelRow="0" outlineLevelCol="0"/>
  <cols>
    <col collapsed="false" customWidth="true" hidden="false" outlineLevel="0" max="1" min="1" style="279" width="9.78"/>
    <col collapsed="false" customWidth="true" hidden="false" outlineLevel="0" max="2" min="2" style="279" width="22.11"/>
    <col collapsed="false" customWidth="true" hidden="false" outlineLevel="0" max="3" min="3" style="279" width="15.77"/>
    <col collapsed="false" customWidth="true" hidden="false" outlineLevel="0" max="4" min="4" style="279" width="16.32"/>
    <col collapsed="false" customWidth="true" hidden="false" outlineLevel="0" max="5" min="5" style="279" width="16.78"/>
    <col collapsed="false" customWidth="true" hidden="false" outlineLevel="0" max="6" min="6" style="279" width="20.1"/>
    <col collapsed="false" customWidth="true" hidden="false" outlineLevel="0" max="7" min="7" style="280" width="14.78"/>
    <col collapsed="false" customWidth="true" hidden="false" outlineLevel="0" max="8" min="8" style="279" width="16.78"/>
    <col collapsed="false" customWidth="true" hidden="false" outlineLevel="0" max="9" min="9" style="279" width="9.44"/>
    <col collapsed="false" customWidth="true" hidden="false" outlineLevel="0" max="13" min="10" style="279" width="9.33"/>
    <col collapsed="false" customWidth="true" hidden="false" outlineLevel="0" max="14" min="14" style="279" width="10.77"/>
    <col collapsed="false" customWidth="true" hidden="false" outlineLevel="0" max="15" min="15" style="279" width="9.33"/>
    <col collapsed="false" customWidth="true" hidden="false" outlineLevel="0" max="16" min="16" style="279" width="10.77"/>
    <col collapsed="false" customWidth="true" hidden="false" outlineLevel="0" max="1025" min="17" style="279" width="9.33"/>
  </cols>
  <sheetData>
    <row r="1" customFormat="false" ht="12.75" hidden="false" customHeight="true" outlineLevel="0" collapsed="false">
      <c r="A1" s="281"/>
      <c r="B1" s="2" t="s">
        <v>0</v>
      </c>
      <c r="C1" s="2"/>
      <c r="D1" s="2"/>
      <c r="E1" s="2"/>
      <c r="F1" s="2"/>
      <c r="G1" s="2"/>
      <c r="H1" s="332"/>
    </row>
    <row r="2" customFormat="false" ht="13.8" hidden="false" customHeight="false" outlineLevel="0" collapsed="false">
      <c r="A2" s="283"/>
      <c r="B2" s="284" t="s">
        <v>1</v>
      </c>
      <c r="C2" s="5"/>
      <c r="D2" s="5"/>
      <c r="E2" s="5"/>
      <c r="F2" s="5"/>
      <c r="G2" s="5"/>
      <c r="H2" s="11"/>
    </row>
    <row r="3" customFormat="false" ht="13.8" hidden="false" customHeight="false" outlineLevel="0" collapsed="false">
      <c r="A3" s="283"/>
      <c r="B3" s="284" t="s">
        <v>2</v>
      </c>
      <c r="C3" s="5"/>
      <c r="D3" s="5"/>
      <c r="E3" s="5"/>
      <c r="F3" s="5"/>
      <c r="G3" s="5"/>
      <c r="H3" s="11"/>
    </row>
    <row r="4" customFormat="false" ht="21.75" hidden="false" customHeight="true" outlineLevel="0" collapsed="false">
      <c r="A4" s="285" t="s">
        <v>258</v>
      </c>
      <c r="B4" s="285"/>
      <c r="C4" s="285"/>
      <c r="D4" s="285"/>
      <c r="E4" s="285"/>
      <c r="F4" s="285"/>
      <c r="G4" s="285"/>
      <c r="H4" s="285"/>
    </row>
    <row r="5" customFormat="false" ht="27" hidden="false" customHeight="true" outlineLevel="0" collapsed="false">
      <c r="A5" s="326" t="s">
        <v>293</v>
      </c>
      <c r="B5" s="326"/>
      <c r="C5" s="326"/>
      <c r="D5" s="326"/>
      <c r="E5" s="333" t="str">
        <f aca="false">Dados!B6</f>
        <v>CCT 2023</v>
      </c>
      <c r="F5" s="164" t="s">
        <v>260</v>
      </c>
      <c r="G5" s="164" t="s">
        <v>261</v>
      </c>
      <c r="H5" s="334" t="s">
        <v>262</v>
      </c>
    </row>
    <row r="6" customFormat="false" ht="27" hidden="false" customHeight="true" outlineLevel="0" collapsed="false">
      <c r="A6" s="335" t="s">
        <v>294</v>
      </c>
      <c r="B6" s="335"/>
      <c r="C6" s="335"/>
      <c r="D6" s="335"/>
      <c r="E6" s="287" t="s">
        <v>106</v>
      </c>
      <c r="F6" s="164"/>
      <c r="G6" s="164"/>
      <c r="H6" s="334"/>
    </row>
    <row r="7" customFormat="false" ht="24" hidden="false" customHeight="true" outlineLevel="0" collapsed="false">
      <c r="A7" s="293" t="s">
        <v>295</v>
      </c>
      <c r="B7" s="293"/>
      <c r="C7" s="293"/>
      <c r="D7" s="293"/>
      <c r="E7" s="293"/>
      <c r="F7" s="293"/>
      <c r="G7" s="293"/>
      <c r="H7" s="293"/>
    </row>
    <row r="8" customFormat="false" ht="26.1" hidden="false" customHeight="true" outlineLevel="0" collapsed="false">
      <c r="A8" s="294" t="s">
        <v>107</v>
      </c>
      <c r="B8" s="294" t="s">
        <v>265</v>
      </c>
      <c r="C8" s="294" t="s">
        <v>296</v>
      </c>
      <c r="D8" s="294" t="s">
        <v>266</v>
      </c>
      <c r="E8" s="294" t="s">
        <v>267</v>
      </c>
      <c r="F8" s="294" t="s">
        <v>110</v>
      </c>
      <c r="G8" s="294"/>
      <c r="H8" s="294"/>
    </row>
    <row r="9" customFormat="false" ht="18" hidden="false" customHeight="true" outlineLevel="0" collapsed="false">
      <c r="A9" s="295" t="n">
        <v>1</v>
      </c>
      <c r="B9" s="296" t="s">
        <v>297</v>
      </c>
      <c r="C9" s="296"/>
      <c r="D9" s="295" t="n">
        <v>200</v>
      </c>
      <c r="E9" s="299" t="n">
        <f aca="false">Dados!D8</f>
        <v>1440</v>
      </c>
      <c r="F9" s="299" t="n">
        <f aca="false">ROUND(E9/220*D9,2)</f>
        <v>1309.09</v>
      </c>
      <c r="G9" s="300"/>
      <c r="H9" s="300"/>
      <c r="N9" s="301"/>
    </row>
    <row r="10" customFormat="false" ht="28.5" hidden="false" customHeight="true" outlineLevel="0" collapsed="false">
      <c r="A10" s="295"/>
      <c r="B10" s="336" t="s">
        <v>298</v>
      </c>
      <c r="C10" s="337" t="n">
        <v>0.12</v>
      </c>
      <c r="D10" s="338" t="n">
        <v>0.25</v>
      </c>
      <c r="E10" s="339" t="n">
        <f aca="false">Dados!E8</f>
        <v>1442</v>
      </c>
      <c r="F10" s="339" t="n">
        <f aca="false">ROUND(((($E$10/220*$D$9)*$D$10)*$C$10),2)</f>
        <v>39.33</v>
      </c>
      <c r="G10" s="300"/>
      <c r="H10" s="300"/>
      <c r="N10" s="301"/>
    </row>
    <row r="11" customFormat="false" ht="18" hidden="false" customHeight="true" outlineLevel="0" collapsed="false">
      <c r="A11" s="295" t="s">
        <v>268</v>
      </c>
      <c r="B11" s="302" t="s">
        <v>268</v>
      </c>
      <c r="C11" s="302"/>
      <c r="D11" s="302"/>
      <c r="E11" s="302"/>
      <c r="F11" s="303" t="n">
        <f aca="false">SUM(F9:F10)</f>
        <v>1348.42</v>
      </c>
      <c r="G11" s="304"/>
      <c r="H11" s="304"/>
      <c r="N11" s="301"/>
    </row>
    <row r="12" customFormat="false" ht="18" hidden="false" customHeight="true" outlineLevel="0" collapsed="false">
      <c r="A12" s="295" t="s">
        <v>269</v>
      </c>
      <c r="B12" s="305" t="s">
        <v>270</v>
      </c>
      <c r="C12" s="305"/>
      <c r="D12" s="305"/>
      <c r="E12" s="340" t="n">
        <f aca="false">Dados!H12</f>
        <v>0.7716</v>
      </c>
      <c r="F12" s="307" t="n">
        <f aca="false">ROUND(($E$12*$F$11),2)</f>
        <v>1040.44</v>
      </c>
      <c r="G12" s="300"/>
      <c r="H12" s="300"/>
      <c r="N12" s="301"/>
    </row>
    <row r="13" customFormat="false" ht="18" hidden="false" customHeight="true" outlineLevel="0" collapsed="false">
      <c r="A13" s="302" t="s">
        <v>271</v>
      </c>
      <c r="B13" s="302"/>
      <c r="C13" s="302"/>
      <c r="D13" s="302"/>
      <c r="E13" s="302"/>
      <c r="F13" s="303" t="n">
        <f aca="false">SUM(F11:F12)</f>
        <v>2388.86</v>
      </c>
      <c r="G13" s="304"/>
      <c r="H13" s="304"/>
      <c r="N13" s="301"/>
    </row>
    <row r="14" customFormat="false" ht="18" hidden="false" customHeight="true" outlineLevel="0" collapsed="false">
      <c r="A14" s="291" t="s">
        <v>272</v>
      </c>
      <c r="B14" s="291"/>
      <c r="C14" s="291"/>
      <c r="D14" s="291"/>
      <c r="E14" s="291"/>
      <c r="F14" s="291"/>
      <c r="G14" s="291"/>
      <c r="H14" s="291"/>
      <c r="N14" s="301"/>
    </row>
    <row r="15" customFormat="false" ht="24.75" hidden="false" customHeight="true" outlineLevel="0" collapsed="false">
      <c r="A15" s="292" t="s">
        <v>122</v>
      </c>
      <c r="B15" s="292"/>
      <c r="C15" s="292" t="s">
        <v>109</v>
      </c>
      <c r="D15" s="292" t="s">
        <v>273</v>
      </c>
      <c r="E15" s="292" t="s">
        <v>273</v>
      </c>
      <c r="F15" s="310" t="s">
        <v>273</v>
      </c>
      <c r="G15" s="310" t="s">
        <v>274</v>
      </c>
      <c r="H15" s="310"/>
      <c r="N15" s="301"/>
      <c r="P15" s="280"/>
    </row>
    <row r="16" customFormat="false" ht="18" hidden="false" customHeight="true" outlineLevel="0" collapsed="false">
      <c r="A16" s="305" t="s">
        <v>228</v>
      </c>
      <c r="B16" s="305"/>
      <c r="C16" s="287"/>
      <c r="D16" s="287"/>
      <c r="E16" s="318"/>
      <c r="F16" s="341" t="n">
        <f aca="false">Dados!I8</f>
        <v>40.85</v>
      </c>
      <c r="G16" s="312"/>
      <c r="H16" s="312"/>
      <c r="N16" s="301"/>
      <c r="P16" s="301"/>
    </row>
    <row r="17" s="347" customFormat="true" ht="26.85" hidden="false" customHeight="true" outlineLevel="0" collapsed="false">
      <c r="A17" s="342" t="s">
        <v>275</v>
      </c>
      <c r="B17" s="342"/>
      <c r="C17" s="343"/>
      <c r="D17" s="343"/>
      <c r="E17" s="344"/>
      <c r="F17" s="345" t="n">
        <f aca="false">Dados!H14</f>
        <v>2.5</v>
      </c>
      <c r="G17" s="346"/>
      <c r="H17" s="346"/>
      <c r="N17" s="348"/>
      <c r="P17" s="348"/>
    </row>
    <row r="18" customFormat="false" ht="28.35" hidden="false" customHeight="true" outlineLevel="0" collapsed="false">
      <c r="A18" s="313" t="s">
        <v>276</v>
      </c>
      <c r="B18" s="313"/>
      <c r="C18" s="287"/>
      <c r="D18" s="287"/>
      <c r="E18" s="318"/>
      <c r="F18" s="341" t="n">
        <f aca="false">Dados!H15</f>
        <v>0</v>
      </c>
      <c r="G18" s="312"/>
      <c r="H18" s="312"/>
      <c r="N18" s="301"/>
    </row>
    <row r="19" customFormat="false" ht="18" hidden="false" customHeight="true" outlineLevel="0" collapsed="false">
      <c r="A19" s="305" t="s">
        <v>277</v>
      </c>
      <c r="B19" s="305"/>
      <c r="C19" s="300" t="n">
        <f aca="false">Dados!H18</f>
        <v>22</v>
      </c>
      <c r="D19" s="349" t="n">
        <f aca="false">Dados!H17</f>
        <v>24</v>
      </c>
      <c r="E19" s="319" t="n">
        <f aca="false">Dados!I17</f>
        <v>0.2</v>
      </c>
      <c r="F19" s="341" t="n">
        <f aca="false">ROUND((IF(D9&gt;150,((C19*D19)-(E19*(C19*D19))),0)),2)</f>
        <v>422.4</v>
      </c>
      <c r="G19" s="350"/>
      <c r="H19" s="350"/>
      <c r="N19" s="301"/>
    </row>
    <row r="20" customFormat="false" ht="18" hidden="false" customHeight="true" outlineLevel="0" collapsed="false">
      <c r="A20" s="305" t="s">
        <v>245</v>
      </c>
      <c r="B20" s="305"/>
      <c r="C20" s="300" t="n">
        <f aca="false">Dados!H18</f>
        <v>22</v>
      </c>
      <c r="D20" s="351"/>
      <c r="E20" s="341" t="n">
        <f aca="false">Dados!H16</f>
        <v>3.5</v>
      </c>
      <c r="F20" s="341" t="n">
        <f aca="false">ROUND(((D20+E20)*2*C20)-(F9*0.06),2)</f>
        <v>75.45</v>
      </c>
      <c r="G20" s="312"/>
      <c r="H20" s="312" t="n">
        <f aca="false">F20</f>
        <v>75.45</v>
      </c>
      <c r="N20" s="301"/>
    </row>
    <row r="21" customFormat="false" ht="18" hidden="false" customHeight="true" outlineLevel="0" collapsed="false">
      <c r="A21" s="305" t="str">
        <f aca="false">'Aux. Administrativo 200h'!A20</f>
        <v>Material de Limpeza</v>
      </c>
      <c r="B21" s="305"/>
      <c r="C21" s="305"/>
      <c r="D21" s="305"/>
      <c r="E21" s="300"/>
      <c r="F21" s="341" t="n">
        <f aca="false">Dados!J8</f>
        <v>937.95</v>
      </c>
      <c r="G21" s="300" t="n">
        <f aca="false">F21</f>
        <v>937.95</v>
      </c>
      <c r="H21" s="287"/>
      <c r="N21" s="301"/>
    </row>
    <row r="22" customFormat="false" ht="18" hidden="false" customHeight="true" outlineLevel="0" collapsed="false">
      <c r="A22" s="305" t="s">
        <v>279</v>
      </c>
      <c r="B22" s="305"/>
      <c r="C22" s="287"/>
      <c r="D22" s="351"/>
      <c r="E22" s="352"/>
      <c r="F22" s="341" t="n">
        <f aca="false">Dados!K8</f>
        <v>41.89</v>
      </c>
      <c r="G22" s="312" t="n">
        <f aca="false">F22</f>
        <v>41.89</v>
      </c>
      <c r="H22" s="312"/>
      <c r="L22" s="353"/>
      <c r="N22" s="301"/>
    </row>
    <row r="23" customFormat="false" ht="18" hidden="false" customHeight="true" outlineLevel="0" collapsed="false">
      <c r="A23" s="305" t="s">
        <v>280</v>
      </c>
      <c r="B23" s="305"/>
      <c r="C23" s="287"/>
      <c r="D23" s="351"/>
      <c r="E23" s="352"/>
      <c r="F23" s="341" t="n">
        <f aca="false">Dados!N8</f>
        <v>21.35</v>
      </c>
      <c r="G23" s="312"/>
      <c r="H23" s="312"/>
      <c r="N23" s="301"/>
    </row>
    <row r="24" customFormat="false" ht="18" hidden="false" customHeight="true" outlineLevel="0" collapsed="false">
      <c r="A24" s="302" t="s">
        <v>281</v>
      </c>
      <c r="B24" s="302"/>
      <c r="C24" s="302"/>
      <c r="D24" s="302"/>
      <c r="E24" s="302"/>
      <c r="F24" s="303" t="n">
        <f aca="false">SUM(F16:F23)</f>
        <v>1542.39</v>
      </c>
      <c r="G24" s="303" t="n">
        <f aca="false">SUM(G16:G23)</f>
        <v>979.84</v>
      </c>
      <c r="H24" s="304" t="n">
        <f aca="false">SUM(H16:H23)</f>
        <v>75.45</v>
      </c>
      <c r="J24" s="317"/>
      <c r="K24" s="317"/>
      <c r="N24" s="301"/>
    </row>
    <row r="25" customFormat="false" ht="18" hidden="false" customHeight="true" outlineLevel="0" collapsed="false">
      <c r="A25" s="302" t="s">
        <v>282</v>
      </c>
      <c r="B25" s="302"/>
      <c r="C25" s="302"/>
      <c r="D25" s="302"/>
      <c r="E25" s="302"/>
      <c r="F25" s="303" t="n">
        <f aca="false">F13+F24</f>
        <v>3931.25</v>
      </c>
      <c r="G25" s="303" t="n">
        <f aca="false">G13+G24</f>
        <v>979.84</v>
      </c>
      <c r="H25" s="303" t="n">
        <f aca="false">H13+H24</f>
        <v>75.45</v>
      </c>
      <c r="N25" s="301"/>
    </row>
    <row r="26" customFormat="false" ht="18" hidden="false" customHeight="true" outlineLevel="0" collapsed="false">
      <c r="A26" s="291" t="s">
        <v>283</v>
      </c>
      <c r="B26" s="291"/>
      <c r="C26" s="291"/>
      <c r="D26" s="291"/>
      <c r="E26" s="291"/>
      <c r="F26" s="291"/>
      <c r="G26" s="291"/>
      <c r="H26" s="291"/>
      <c r="N26" s="301"/>
    </row>
    <row r="27" customFormat="false" ht="18" hidden="false" customHeight="true" outlineLevel="0" collapsed="false">
      <c r="A27" s="292" t="s">
        <v>284</v>
      </c>
      <c r="B27" s="292"/>
      <c r="C27" s="292"/>
      <c r="D27" s="292" t="s">
        <v>8</v>
      </c>
      <c r="E27" s="292" t="s">
        <v>274</v>
      </c>
      <c r="F27" s="352" t="s">
        <v>274</v>
      </c>
      <c r="G27" s="352"/>
      <c r="H27" s="352"/>
      <c r="N27" s="301"/>
    </row>
    <row r="28" customFormat="false" ht="18" hidden="false" customHeight="true" outlineLevel="0" collapsed="false">
      <c r="A28" s="287" t="s">
        <v>285</v>
      </c>
      <c r="B28" s="287"/>
      <c r="C28" s="287"/>
      <c r="D28" s="320" t="n">
        <f aca="false">Dados!H20</f>
        <v>0.03</v>
      </c>
      <c r="E28" s="321"/>
      <c r="F28" s="321" t="n">
        <f aca="false">ROUND((F24*$D$28),2)</f>
        <v>46.27</v>
      </c>
      <c r="G28" s="321" t="n">
        <f aca="false">ROUND((G24*$D$28),2)</f>
        <v>29.4</v>
      </c>
      <c r="H28" s="321" t="n">
        <f aca="false">ROUND((H24*$D$28),2)</f>
        <v>2.26</v>
      </c>
      <c r="N28" s="301"/>
    </row>
    <row r="29" customFormat="false" ht="18" hidden="false" customHeight="true" outlineLevel="0" collapsed="false">
      <c r="A29" s="287" t="s">
        <v>299</v>
      </c>
      <c r="B29" s="287"/>
      <c r="C29" s="287"/>
      <c r="D29" s="320"/>
      <c r="E29" s="321"/>
      <c r="F29" s="321" t="n">
        <f aca="false">F25+F28</f>
        <v>3977.52</v>
      </c>
      <c r="G29" s="321" t="n">
        <f aca="false">G25+G28</f>
        <v>1009.24</v>
      </c>
      <c r="H29" s="321" t="n">
        <f aca="false">H25+H28</f>
        <v>77.71</v>
      </c>
      <c r="N29" s="301"/>
    </row>
    <row r="30" customFormat="false" ht="18" hidden="false" customHeight="true" outlineLevel="0" collapsed="false">
      <c r="A30" s="305" t="s">
        <v>251</v>
      </c>
      <c r="B30" s="305"/>
      <c r="C30" s="287"/>
      <c r="D30" s="320" t="n">
        <f aca="false">Dados!H21</f>
        <v>0.0679</v>
      </c>
      <c r="E30" s="321"/>
      <c r="F30" s="321" t="n">
        <f aca="false">ROUND((F29*$D$30),2)</f>
        <v>270.07</v>
      </c>
      <c r="G30" s="321" t="n">
        <f aca="false">ROUND((G29*$D$30),2)</f>
        <v>68.53</v>
      </c>
      <c r="H30" s="321" t="n">
        <f aca="false">ROUND((H29*$D$30),2)</f>
        <v>5.28</v>
      </c>
      <c r="N30" s="301"/>
    </row>
    <row r="31" customFormat="false" ht="18" hidden="false" customHeight="true" outlineLevel="0" collapsed="false">
      <c r="A31" s="322" t="s">
        <v>287</v>
      </c>
      <c r="B31" s="322"/>
      <c r="C31" s="322"/>
      <c r="D31" s="324" t="n">
        <f aca="false">SUM(D28:D30)</f>
        <v>0.0979</v>
      </c>
      <c r="E31" s="354"/>
      <c r="F31" s="354" t="n">
        <f aca="false">F28+F30</f>
        <v>316.34</v>
      </c>
      <c r="G31" s="354" t="n">
        <f aca="false">G28+G30</f>
        <v>97.93</v>
      </c>
      <c r="H31" s="354" t="n">
        <f aca="false">H28+H30</f>
        <v>7.54</v>
      </c>
      <c r="N31" s="301"/>
    </row>
    <row r="32" customFormat="false" ht="18" hidden="false" customHeight="true" outlineLevel="0" collapsed="false">
      <c r="A32" s="302" t="s">
        <v>288</v>
      </c>
      <c r="B32" s="302"/>
      <c r="C32" s="302"/>
      <c r="D32" s="302"/>
      <c r="E32" s="302"/>
      <c r="F32" s="303" t="n">
        <f aca="false">F13+F24+F31</f>
        <v>4247.59</v>
      </c>
      <c r="G32" s="303" t="n">
        <f aca="false">G13+G24+G31</f>
        <v>1077.77</v>
      </c>
      <c r="H32" s="303" t="n">
        <f aca="false">H13+H24+H31</f>
        <v>82.99</v>
      </c>
      <c r="N32" s="301"/>
    </row>
    <row r="33" customFormat="false" ht="18" hidden="false" customHeight="true" outlineLevel="0" collapsed="false">
      <c r="A33" s="291" t="s">
        <v>289</v>
      </c>
      <c r="B33" s="291"/>
      <c r="C33" s="291"/>
      <c r="D33" s="291"/>
      <c r="E33" s="291"/>
      <c r="F33" s="291"/>
      <c r="G33" s="291"/>
      <c r="H33" s="291"/>
      <c r="I33" s="280"/>
      <c r="N33" s="301"/>
    </row>
    <row r="34" customFormat="false" ht="18" hidden="false" customHeight="true" outlineLevel="0" collapsed="false">
      <c r="A34" s="305" t="s">
        <v>254</v>
      </c>
      <c r="B34" s="305"/>
      <c r="C34" s="287"/>
      <c r="D34" s="306" t="n">
        <f aca="false">Dados!H24</f>
        <v>0.076</v>
      </c>
      <c r="E34" s="300"/>
      <c r="F34" s="300" t="n">
        <f aca="false">ROUND((F38*$D$34),2)</f>
        <v>367.88</v>
      </c>
      <c r="G34" s="300" t="n">
        <f aca="false">ROUND((G38*$D$34),2)</f>
        <v>93.35</v>
      </c>
      <c r="H34" s="300" t="n">
        <f aca="false">ROUND((H38*$D$34),2)</f>
        <v>7.19</v>
      </c>
      <c r="N34" s="301"/>
    </row>
    <row r="35" customFormat="false" ht="18" hidden="false" customHeight="true" outlineLevel="0" collapsed="false">
      <c r="A35" s="287" t="s">
        <v>255</v>
      </c>
      <c r="B35" s="287"/>
      <c r="C35" s="287"/>
      <c r="D35" s="306" t="n">
        <f aca="false">Dados!H25</f>
        <v>0.0165</v>
      </c>
      <c r="E35" s="300"/>
      <c r="F35" s="300" t="n">
        <f aca="false">ROUND((F38*$D$35),2)</f>
        <v>79.87</v>
      </c>
      <c r="G35" s="300" t="n">
        <f aca="false">ROUND((G38*$D$35),2)</f>
        <v>20.27</v>
      </c>
      <c r="H35" s="300" t="n">
        <f aca="false">ROUND((H38*$D$35),2)</f>
        <v>1.56</v>
      </c>
      <c r="N35" s="301"/>
    </row>
    <row r="36" customFormat="false" ht="18" hidden="false" customHeight="true" outlineLevel="0" collapsed="false">
      <c r="A36" s="305" t="s">
        <v>256</v>
      </c>
      <c r="B36" s="305"/>
      <c r="C36" s="287"/>
      <c r="D36" s="306" t="n">
        <f aca="false">Dados!H26</f>
        <v>0.03</v>
      </c>
      <c r="E36" s="300"/>
      <c r="F36" s="300" t="n">
        <f aca="false">ROUND((F38*$D$36),2)</f>
        <v>145.22</v>
      </c>
      <c r="G36" s="300" t="n">
        <f aca="false">ROUND((G38*$D$36),2)</f>
        <v>36.85</v>
      </c>
      <c r="H36" s="300" t="n">
        <f aca="false">ROUND((H38*$D$36),2)</f>
        <v>2.84</v>
      </c>
      <c r="N36" s="301"/>
    </row>
    <row r="37" customFormat="false" ht="18" hidden="false" customHeight="true" outlineLevel="0" collapsed="false">
      <c r="A37" s="286" t="s">
        <v>290</v>
      </c>
      <c r="B37" s="286"/>
      <c r="C37" s="286"/>
      <c r="D37" s="355" t="n">
        <f aca="false">SUM(D34:D36)</f>
        <v>0.1225</v>
      </c>
      <c r="E37" s="327"/>
      <c r="F37" s="327" t="n">
        <f aca="false">SUM(F34:F36)</f>
        <v>592.97</v>
      </c>
      <c r="G37" s="327" t="n">
        <f aca="false">SUM(G34:G36)</f>
        <v>150.47</v>
      </c>
      <c r="H37" s="327" t="n">
        <f aca="false">SUM(H34:H36)</f>
        <v>11.59</v>
      </c>
      <c r="N37" s="301"/>
    </row>
    <row r="38" customFormat="false" ht="27.75" hidden="false" customHeight="true" outlineLevel="0" collapsed="false">
      <c r="A38" s="356" t="s">
        <v>300</v>
      </c>
      <c r="B38" s="356"/>
      <c r="C38" s="356"/>
      <c r="D38" s="356"/>
      <c r="E38" s="356"/>
      <c r="F38" s="357" t="n">
        <f aca="false">ROUND(F32/(1-$D$37),2)</f>
        <v>4840.56</v>
      </c>
      <c r="G38" s="357" t="n">
        <f aca="false">ROUND(G32/(1-$D$37),2)</f>
        <v>1228.23</v>
      </c>
      <c r="H38" s="357" t="n">
        <f aca="false">ROUND(H32/(1-$D$37),2)</f>
        <v>94.58</v>
      </c>
      <c r="N38" s="301"/>
    </row>
    <row r="39" customFormat="false" ht="36" hidden="false" customHeight="true" outlineLevel="0" collapsed="false">
      <c r="A39" s="356" t="s">
        <v>292</v>
      </c>
      <c r="B39" s="356"/>
      <c r="C39" s="356"/>
      <c r="D39" s="356"/>
      <c r="E39" s="356"/>
      <c r="F39" s="358" t="n">
        <f aca="false">(F38/F11)/100</f>
        <v>0.0358980139719079</v>
      </c>
      <c r="G39" s="331"/>
      <c r="H39" s="331"/>
      <c r="N39" s="301"/>
    </row>
    <row r="42" customFormat="false" ht="121.5" hidden="false" customHeight="true" outlineLevel="0" collapsed="false"/>
    <row r="44" customFormat="false" ht="124.5" hidden="false" customHeight="true" outlineLevel="0" collapsed="false"/>
  </sheetData>
  <mergeCells count="40">
    <mergeCell ref="A4:H4"/>
    <mergeCell ref="A5:D5"/>
    <mergeCell ref="F5:F6"/>
    <mergeCell ref="G5:G6"/>
    <mergeCell ref="H5:H6"/>
    <mergeCell ref="A6:D6"/>
    <mergeCell ref="A7:H7"/>
    <mergeCell ref="B8:C8"/>
    <mergeCell ref="F8:H8"/>
    <mergeCell ref="A9:A12"/>
    <mergeCell ref="B9:C9"/>
    <mergeCell ref="B11:E11"/>
    <mergeCell ref="B12:D12"/>
    <mergeCell ref="A13:E13"/>
    <mergeCell ref="A14:H14"/>
    <mergeCell ref="A15:B15"/>
    <mergeCell ref="D15:E15"/>
    <mergeCell ref="F15:H15"/>
    <mergeCell ref="A16:B16"/>
    <mergeCell ref="A17:B17"/>
    <mergeCell ref="A18:B18"/>
    <mergeCell ref="A19:B19"/>
    <mergeCell ref="A20:B20"/>
    <mergeCell ref="A21:B21"/>
    <mergeCell ref="A22:B22"/>
    <mergeCell ref="A23:B23"/>
    <mergeCell ref="A24:E24"/>
    <mergeCell ref="J24:K24"/>
    <mergeCell ref="A25:E25"/>
    <mergeCell ref="A26:H26"/>
    <mergeCell ref="A27:C27"/>
    <mergeCell ref="D27:E27"/>
    <mergeCell ref="F27:H27"/>
    <mergeCell ref="A30:B30"/>
    <mergeCell ref="A32:E32"/>
    <mergeCell ref="A33:H33"/>
    <mergeCell ref="A34:B34"/>
    <mergeCell ref="A36:B36"/>
    <mergeCell ref="A38:E38"/>
    <mergeCell ref="A39:E39"/>
  </mergeCells>
  <printOptions headings="false" gridLines="false" gridLinesSet="true" horizontalCentered="false" verticalCentered="false"/>
  <pageMargins left="0.7875" right="0.39375" top="1.575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B3A2C7"/>
    <pageSetUpPr fitToPage="false"/>
  </sheetPr>
  <dimension ref="A1:Q39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4" activeCellId="0" sqref="A14"/>
    </sheetView>
  </sheetViews>
  <sheetFormatPr defaultRowHeight="13.2" zeroHeight="false" outlineLevelRow="0" outlineLevelCol="0"/>
  <cols>
    <col collapsed="false" customWidth="true" hidden="false" outlineLevel="0" max="1" min="1" style="279" width="9.78"/>
    <col collapsed="false" customWidth="true" hidden="false" outlineLevel="0" max="2" min="2" style="279" width="23.11"/>
    <col collapsed="false" customWidth="true" hidden="false" outlineLevel="0" max="3" min="3" style="279" width="16.45"/>
    <col collapsed="false" customWidth="true" hidden="false" outlineLevel="0" max="5" min="4" style="279" width="17.33"/>
    <col collapsed="false" customWidth="true" hidden="false" outlineLevel="0" max="6" min="6" style="279" width="18.78"/>
    <col collapsed="false" customWidth="true" hidden="false" outlineLevel="0" max="7" min="7" style="280" width="14.66"/>
    <col collapsed="false" customWidth="true" hidden="false" outlineLevel="0" max="8" min="8" style="280" width="17.33"/>
    <col collapsed="false" customWidth="true" hidden="false" outlineLevel="0" max="9" min="9" style="279" width="17.78"/>
    <col collapsed="false" customWidth="true" hidden="false" outlineLevel="0" max="10" min="10" style="279" width="9.44"/>
    <col collapsed="false" customWidth="true" hidden="false" outlineLevel="0" max="14" min="11" style="279" width="9.33"/>
    <col collapsed="false" customWidth="true" hidden="false" outlineLevel="0" max="15" min="15" style="279" width="10.77"/>
    <col collapsed="false" customWidth="true" hidden="false" outlineLevel="0" max="16" min="16" style="279" width="9.33"/>
    <col collapsed="false" customWidth="true" hidden="false" outlineLevel="0" max="17" min="17" style="279" width="10.77"/>
    <col collapsed="false" customWidth="true" hidden="false" outlineLevel="0" max="1025" min="18" style="279" width="9.33"/>
  </cols>
  <sheetData>
    <row r="1" customFormat="false" ht="13.8" hidden="false" customHeight="false" outlineLevel="0" collapsed="false">
      <c r="A1" s="1"/>
      <c r="B1" s="2" t="s">
        <v>0</v>
      </c>
      <c r="C1" s="282"/>
      <c r="D1" s="282"/>
      <c r="E1" s="282"/>
      <c r="F1" s="282"/>
      <c r="G1" s="282"/>
      <c r="H1" s="282"/>
      <c r="I1" s="332"/>
    </row>
    <row r="2" customFormat="false" ht="13.8" hidden="false" customHeight="false" outlineLevel="0" collapsed="false">
      <c r="A2" s="283"/>
      <c r="B2" s="284" t="s">
        <v>1</v>
      </c>
      <c r="C2" s="5"/>
      <c r="D2" s="5"/>
      <c r="E2" s="5"/>
      <c r="F2" s="5"/>
      <c r="G2" s="5"/>
      <c r="H2" s="5"/>
      <c r="I2" s="359"/>
    </row>
    <row r="3" customFormat="false" ht="13.8" hidden="false" customHeight="false" outlineLevel="0" collapsed="false">
      <c r="A3" s="4"/>
      <c r="B3" s="284" t="s">
        <v>2</v>
      </c>
      <c r="C3" s="5"/>
      <c r="D3" s="5"/>
      <c r="E3" s="5"/>
      <c r="F3" s="5"/>
      <c r="G3" s="5"/>
      <c r="H3" s="5"/>
      <c r="I3" s="359"/>
    </row>
    <row r="4" customFormat="false" ht="22.5" hidden="false" customHeight="true" outlineLevel="0" collapsed="false">
      <c r="A4" s="285" t="s">
        <v>258</v>
      </c>
      <c r="B4" s="285"/>
      <c r="C4" s="285"/>
      <c r="D4" s="285"/>
      <c r="E4" s="285"/>
      <c r="F4" s="285"/>
      <c r="G4" s="285"/>
      <c r="H4" s="285"/>
      <c r="I4" s="285"/>
    </row>
    <row r="5" customFormat="false" ht="23.25" hidden="false" customHeight="true" outlineLevel="0" collapsed="false">
      <c r="A5" s="286" t="s">
        <v>301</v>
      </c>
      <c r="B5" s="287"/>
      <c r="C5" s="287"/>
      <c r="D5" s="287"/>
      <c r="E5" s="360" t="str">
        <f aca="false">Dados!B6</f>
        <v>CCT 2023</v>
      </c>
      <c r="F5" s="164" t="s">
        <v>260</v>
      </c>
      <c r="G5" s="164" t="s">
        <v>302</v>
      </c>
      <c r="H5" s="334" t="s">
        <v>262</v>
      </c>
      <c r="I5" s="361" t="s">
        <v>303</v>
      </c>
    </row>
    <row r="6" customFormat="false" ht="23.25" hidden="false" customHeight="true" outlineLevel="0" collapsed="false">
      <c r="A6" s="335" t="s">
        <v>294</v>
      </c>
      <c r="B6" s="335"/>
      <c r="C6" s="335"/>
      <c r="D6" s="335"/>
      <c r="E6" s="292" t="s">
        <v>304</v>
      </c>
      <c r="F6" s="164"/>
      <c r="G6" s="164"/>
      <c r="H6" s="334"/>
      <c r="I6" s="334"/>
    </row>
    <row r="7" customFormat="false" ht="24" hidden="false" customHeight="true" outlineLevel="0" collapsed="false">
      <c r="A7" s="293" t="s">
        <v>295</v>
      </c>
      <c r="B7" s="293"/>
      <c r="C7" s="293"/>
      <c r="D7" s="293"/>
      <c r="E7" s="293"/>
      <c r="F7" s="293"/>
      <c r="G7" s="293"/>
      <c r="H7" s="293"/>
      <c r="I7" s="293"/>
    </row>
    <row r="8" customFormat="false" ht="24.6" hidden="false" customHeight="true" outlineLevel="0" collapsed="false">
      <c r="A8" s="294" t="s">
        <v>107</v>
      </c>
      <c r="B8" s="294" t="s">
        <v>265</v>
      </c>
      <c r="C8" s="294" t="s">
        <v>296</v>
      </c>
      <c r="D8" s="294" t="s">
        <v>266</v>
      </c>
      <c r="E8" s="294" t="s">
        <v>267</v>
      </c>
      <c r="F8" s="294" t="s">
        <v>110</v>
      </c>
      <c r="G8" s="294" t="s">
        <v>305</v>
      </c>
      <c r="H8" s="294"/>
      <c r="I8" s="294" t="s">
        <v>306</v>
      </c>
    </row>
    <row r="9" customFormat="false" ht="18" hidden="false" customHeight="true" outlineLevel="0" collapsed="false">
      <c r="A9" s="295" t="n">
        <v>1</v>
      </c>
      <c r="B9" s="296" t="s">
        <v>307</v>
      </c>
      <c r="C9" s="296"/>
      <c r="D9" s="362" t="n">
        <v>200</v>
      </c>
      <c r="E9" s="299" t="n">
        <f aca="false">Dados!D9</f>
        <v>1440</v>
      </c>
      <c r="F9" s="299" t="n">
        <f aca="false">ROUND(E9/220*D9,2)</f>
        <v>1309.09</v>
      </c>
      <c r="G9" s="300"/>
      <c r="H9" s="300"/>
      <c r="I9" s="300"/>
      <c r="O9" s="301"/>
    </row>
    <row r="10" customFormat="false" ht="18" hidden="false" customHeight="true" outlineLevel="0" collapsed="false">
      <c r="A10" s="295"/>
      <c r="B10" s="296" t="s">
        <v>308</v>
      </c>
      <c r="C10" s="296"/>
      <c r="D10" s="363" t="n">
        <v>0.4</v>
      </c>
      <c r="E10" s="364" t="n">
        <f aca="false">Dados!H23</f>
        <v>1320</v>
      </c>
      <c r="F10" s="364" t="n">
        <f aca="false">ROUND(E10*D10,2)</f>
        <v>528</v>
      </c>
      <c r="G10" s="300"/>
      <c r="H10" s="300"/>
      <c r="I10" s="300" t="n">
        <f aca="false">F10</f>
        <v>528</v>
      </c>
      <c r="M10" s="365"/>
      <c r="O10" s="301"/>
    </row>
    <row r="11" customFormat="false" ht="18" hidden="false" customHeight="true" outlineLevel="0" collapsed="false">
      <c r="A11" s="295"/>
      <c r="B11" s="302" t="s">
        <v>268</v>
      </c>
      <c r="C11" s="302"/>
      <c r="D11" s="302"/>
      <c r="E11" s="302"/>
      <c r="F11" s="303" t="n">
        <f aca="false">SUM(F9:F10)</f>
        <v>1837.09</v>
      </c>
      <c r="G11" s="304"/>
      <c r="H11" s="304"/>
      <c r="I11" s="304" t="n">
        <f aca="false">SUM(I9:I10)</f>
        <v>528</v>
      </c>
      <c r="O11" s="301"/>
    </row>
    <row r="12" customFormat="false" ht="18" hidden="false" customHeight="true" outlineLevel="0" collapsed="false">
      <c r="A12" s="295"/>
      <c r="B12" s="305" t="s">
        <v>309</v>
      </c>
      <c r="C12" s="305"/>
      <c r="D12" s="305"/>
      <c r="E12" s="308" t="n">
        <f aca="false">Dados!H12</f>
        <v>0.7716</v>
      </c>
      <c r="F12" s="307" t="n">
        <f aca="false">ROUND(($E$12*$F$11),2)</f>
        <v>1417.5</v>
      </c>
      <c r="G12" s="300"/>
      <c r="H12" s="300"/>
      <c r="I12" s="300" t="n">
        <f aca="false">ROUND(($E$12*$I$11),2)</f>
        <v>407.4</v>
      </c>
      <c r="O12" s="301"/>
    </row>
    <row r="13" customFormat="false" ht="18" hidden="false" customHeight="true" outlineLevel="0" collapsed="false">
      <c r="A13" s="302" t="s">
        <v>271</v>
      </c>
      <c r="B13" s="302"/>
      <c r="C13" s="302"/>
      <c r="D13" s="302"/>
      <c r="E13" s="302"/>
      <c r="F13" s="303" t="n">
        <f aca="false">SUM(F11:F12)</f>
        <v>3254.59</v>
      </c>
      <c r="G13" s="304"/>
      <c r="H13" s="304"/>
      <c r="I13" s="304" t="n">
        <f aca="false">SUM(I11:I12)</f>
        <v>935.4</v>
      </c>
      <c r="O13" s="301"/>
    </row>
    <row r="14" customFormat="false" ht="20.85" hidden="false" customHeight="true" outlineLevel="0" collapsed="false">
      <c r="A14" s="291" t="s">
        <v>272</v>
      </c>
      <c r="B14" s="291"/>
      <c r="C14" s="291"/>
      <c r="D14" s="291"/>
      <c r="E14" s="291"/>
      <c r="F14" s="291"/>
      <c r="G14" s="291"/>
      <c r="H14" s="291"/>
      <c r="I14" s="291"/>
      <c r="O14" s="301"/>
    </row>
    <row r="15" customFormat="false" ht="23.1" hidden="false" customHeight="true" outlineLevel="0" collapsed="false">
      <c r="A15" s="294" t="s">
        <v>122</v>
      </c>
      <c r="B15" s="294"/>
      <c r="C15" s="294" t="s">
        <v>109</v>
      </c>
      <c r="D15" s="294" t="s">
        <v>273</v>
      </c>
      <c r="E15" s="294" t="s">
        <v>310</v>
      </c>
      <c r="F15" s="310" t="s">
        <v>273</v>
      </c>
      <c r="G15" s="310"/>
      <c r="H15" s="310"/>
      <c r="I15" s="310"/>
      <c r="O15" s="301"/>
      <c r="Q15" s="280"/>
    </row>
    <row r="16" customFormat="false" ht="18" hidden="false" customHeight="true" outlineLevel="0" collapsed="false">
      <c r="A16" s="305" t="s">
        <v>228</v>
      </c>
      <c r="B16" s="305"/>
      <c r="C16" s="287"/>
      <c r="D16" s="287"/>
      <c r="E16" s="318"/>
      <c r="F16" s="341" t="n">
        <f aca="false">Dados!I9</f>
        <v>31.67</v>
      </c>
      <c r="G16" s="312"/>
      <c r="H16" s="312"/>
      <c r="I16" s="312"/>
      <c r="O16" s="301"/>
      <c r="Q16" s="301"/>
    </row>
    <row r="17" customFormat="false" ht="25.35" hidden="false" customHeight="true" outlineLevel="0" collapsed="false">
      <c r="A17" s="313" t="s">
        <v>275</v>
      </c>
      <c r="B17" s="313"/>
      <c r="C17" s="287"/>
      <c r="D17" s="287"/>
      <c r="E17" s="318"/>
      <c r="F17" s="341" t="n">
        <f aca="false">Dados!H14</f>
        <v>2.5</v>
      </c>
      <c r="G17" s="312"/>
      <c r="H17" s="312"/>
      <c r="I17" s="312"/>
      <c r="O17" s="301"/>
      <c r="Q17" s="301"/>
    </row>
    <row r="18" customFormat="false" ht="26.85" hidden="false" customHeight="true" outlineLevel="0" collapsed="false">
      <c r="A18" s="313" t="s">
        <v>276</v>
      </c>
      <c r="B18" s="313"/>
      <c r="C18" s="287"/>
      <c r="D18" s="313"/>
      <c r="E18" s="318"/>
      <c r="F18" s="341" t="n">
        <f aca="false">Dados!H15</f>
        <v>0</v>
      </c>
      <c r="G18" s="312"/>
      <c r="H18" s="312"/>
      <c r="I18" s="312"/>
      <c r="O18" s="301"/>
    </row>
    <row r="19" customFormat="false" ht="18" hidden="false" customHeight="true" outlineLevel="0" collapsed="false">
      <c r="A19" s="305" t="s">
        <v>277</v>
      </c>
      <c r="B19" s="305"/>
      <c r="C19" s="300" t="n">
        <f aca="false">Dados!H18</f>
        <v>22</v>
      </c>
      <c r="D19" s="349" t="n">
        <f aca="false">Dados!H17</f>
        <v>24</v>
      </c>
      <c r="E19" s="319" t="n">
        <f aca="false">Dados!I17</f>
        <v>0.2</v>
      </c>
      <c r="F19" s="341" t="n">
        <f aca="false">ROUND((IF(D9&gt;150,((D19*C19)-(E19*(D19*C19))),0)),2)</f>
        <v>422.4</v>
      </c>
      <c r="G19" s="350"/>
      <c r="H19" s="350"/>
      <c r="I19" s="350"/>
      <c r="O19" s="301"/>
    </row>
    <row r="20" customFormat="false" ht="18" hidden="false" customHeight="true" outlineLevel="0" collapsed="false">
      <c r="A20" s="305" t="s">
        <v>245</v>
      </c>
      <c r="B20" s="305"/>
      <c r="C20" s="300" t="n">
        <f aca="false">Dados!H18</f>
        <v>22</v>
      </c>
      <c r="D20" s="351"/>
      <c r="E20" s="341" t="n">
        <f aca="false">Dados!H16</f>
        <v>3.5</v>
      </c>
      <c r="F20" s="341" t="n">
        <f aca="false">ROUND(((D20+E20)*2*C20)-(F9*0.06),2)</f>
        <v>75.45</v>
      </c>
      <c r="G20" s="312"/>
      <c r="H20" s="312" t="n">
        <f aca="false">F20</f>
        <v>75.45</v>
      </c>
      <c r="I20" s="312"/>
      <c r="O20" s="301"/>
    </row>
    <row r="21" customFormat="false" ht="18" hidden="false" customHeight="true" outlineLevel="0" collapsed="false">
      <c r="A21" s="305" t="s">
        <v>278</v>
      </c>
      <c r="B21" s="305"/>
      <c r="C21" s="305"/>
      <c r="D21" s="305"/>
      <c r="E21" s="300"/>
      <c r="F21" s="341" t="n">
        <f aca="false">Dados!J9</f>
        <v>937.95</v>
      </c>
      <c r="G21" s="300" t="n">
        <f aca="false">F21</f>
        <v>937.95</v>
      </c>
      <c r="H21" s="287"/>
      <c r="I21" s="287"/>
      <c r="O21" s="301"/>
    </row>
    <row r="22" customFormat="false" ht="18" hidden="false" customHeight="true" outlineLevel="0" collapsed="false">
      <c r="A22" s="305" t="s">
        <v>279</v>
      </c>
      <c r="B22" s="305"/>
      <c r="C22" s="287"/>
      <c r="D22" s="351"/>
      <c r="E22" s="352"/>
      <c r="F22" s="341" t="n">
        <f aca="false">Dados!K9</f>
        <v>0</v>
      </c>
      <c r="G22" s="312" t="n">
        <f aca="false">F22</f>
        <v>0</v>
      </c>
      <c r="H22" s="312"/>
      <c r="I22" s="312"/>
      <c r="O22" s="301"/>
    </row>
    <row r="23" customFormat="false" ht="18" hidden="false" customHeight="true" outlineLevel="0" collapsed="false">
      <c r="A23" s="305" t="s">
        <v>280</v>
      </c>
      <c r="B23" s="305"/>
      <c r="C23" s="287"/>
      <c r="D23" s="351"/>
      <c r="E23" s="352"/>
      <c r="F23" s="341" t="n">
        <f aca="false">Dados!N9</f>
        <v>21.35</v>
      </c>
      <c r="G23" s="312"/>
      <c r="H23" s="312"/>
      <c r="I23" s="312"/>
      <c r="O23" s="301"/>
    </row>
    <row r="24" customFormat="false" ht="18" hidden="false" customHeight="true" outlineLevel="0" collapsed="false">
      <c r="A24" s="302" t="s">
        <v>281</v>
      </c>
      <c r="B24" s="302"/>
      <c r="C24" s="302"/>
      <c r="D24" s="302"/>
      <c r="E24" s="302"/>
      <c r="F24" s="303" t="n">
        <f aca="false">SUM(F16:F23)</f>
        <v>1491.32</v>
      </c>
      <c r="G24" s="303" t="n">
        <f aca="false">SUM(G16:G23)</f>
        <v>937.95</v>
      </c>
      <c r="H24" s="303" t="n">
        <f aca="false">SUM(H16:H23)</f>
        <v>75.45</v>
      </c>
      <c r="I24" s="303" t="n">
        <f aca="false">SUM(I16:I23)</f>
        <v>0</v>
      </c>
      <c r="K24" s="317"/>
      <c r="L24" s="317"/>
      <c r="O24" s="301"/>
    </row>
    <row r="25" customFormat="false" ht="18" hidden="false" customHeight="true" outlineLevel="0" collapsed="false">
      <c r="A25" s="302" t="s">
        <v>282</v>
      </c>
      <c r="B25" s="302"/>
      <c r="C25" s="302"/>
      <c r="D25" s="302"/>
      <c r="E25" s="302"/>
      <c r="F25" s="303" t="n">
        <f aca="false">F13+F24</f>
        <v>4745.91</v>
      </c>
      <c r="G25" s="304" t="n">
        <f aca="false">SUM(G13,G24)</f>
        <v>937.95</v>
      </c>
      <c r="H25" s="304" t="n">
        <f aca="false">SUM(H13,H24)</f>
        <v>75.45</v>
      </c>
      <c r="I25" s="304" t="n">
        <f aca="false">SUM(I13,I24)</f>
        <v>935.4</v>
      </c>
      <c r="O25" s="301"/>
    </row>
    <row r="26" customFormat="false" ht="18" hidden="false" customHeight="true" outlineLevel="0" collapsed="false">
      <c r="A26" s="291" t="s">
        <v>283</v>
      </c>
      <c r="B26" s="291"/>
      <c r="C26" s="291"/>
      <c r="D26" s="291"/>
      <c r="E26" s="291"/>
      <c r="F26" s="291"/>
      <c r="G26" s="291"/>
      <c r="H26" s="291"/>
      <c r="I26" s="291"/>
      <c r="O26" s="301"/>
    </row>
    <row r="27" customFormat="false" ht="18" hidden="false" customHeight="true" outlineLevel="0" collapsed="false">
      <c r="A27" s="292" t="s">
        <v>284</v>
      </c>
      <c r="B27" s="292"/>
      <c r="C27" s="292"/>
      <c r="D27" s="292" t="s">
        <v>8</v>
      </c>
      <c r="E27" s="292" t="s">
        <v>274</v>
      </c>
      <c r="F27" s="352" t="s">
        <v>274</v>
      </c>
      <c r="G27" s="352"/>
      <c r="H27" s="352"/>
      <c r="I27" s="352"/>
      <c r="O27" s="301"/>
    </row>
    <row r="28" customFormat="false" ht="18" hidden="false" customHeight="true" outlineLevel="0" collapsed="false">
      <c r="A28" s="287" t="s">
        <v>285</v>
      </c>
      <c r="B28" s="287"/>
      <c r="C28" s="287"/>
      <c r="D28" s="320" t="n">
        <f aca="false">Dados!H20</f>
        <v>0.03</v>
      </c>
      <c r="E28" s="321"/>
      <c r="F28" s="321" t="n">
        <f aca="false">ROUND((F25*$D$28),2)</f>
        <v>142.38</v>
      </c>
      <c r="G28" s="321" t="n">
        <f aca="false">ROUND((G25*$D$28),2)</f>
        <v>28.14</v>
      </c>
      <c r="H28" s="321" t="n">
        <f aca="false">ROUND((H25*$D$28),2)</f>
        <v>2.26</v>
      </c>
      <c r="I28" s="321" t="n">
        <f aca="false">ROUND((I25*$D$28),2)</f>
        <v>28.06</v>
      </c>
      <c r="O28" s="301"/>
    </row>
    <row r="29" customFormat="false" ht="18" hidden="false" customHeight="true" outlineLevel="0" collapsed="false">
      <c r="A29" s="287" t="s">
        <v>286</v>
      </c>
      <c r="B29" s="287"/>
      <c r="C29" s="287"/>
      <c r="D29" s="320"/>
      <c r="E29" s="366" t="n">
        <f aca="false">I25+I28</f>
        <v>963.46</v>
      </c>
      <c r="F29" s="321" t="n">
        <f aca="false">F25+F28</f>
        <v>4888.29</v>
      </c>
      <c r="G29" s="321" t="n">
        <f aca="false">G25+G28</f>
        <v>966.09</v>
      </c>
      <c r="H29" s="321" t="n">
        <f aca="false">H25+H28</f>
        <v>77.71</v>
      </c>
      <c r="I29" s="321" t="n">
        <f aca="false">I25+I28</f>
        <v>963.46</v>
      </c>
      <c r="O29" s="301"/>
    </row>
    <row r="30" customFormat="false" ht="18" hidden="false" customHeight="true" outlineLevel="0" collapsed="false">
      <c r="A30" s="305" t="s">
        <v>251</v>
      </c>
      <c r="B30" s="305"/>
      <c r="C30" s="287"/>
      <c r="D30" s="320" t="n">
        <f aca="false">Dados!H21</f>
        <v>0.0679</v>
      </c>
      <c r="E30" s="366"/>
      <c r="F30" s="321" t="n">
        <f aca="false">ROUND((F29*$D$30),2)</f>
        <v>331.91</v>
      </c>
      <c r="G30" s="321" t="n">
        <f aca="false">ROUND((G29*$D$30),2)</f>
        <v>65.6</v>
      </c>
      <c r="H30" s="321" t="n">
        <f aca="false">ROUND((H29*$D$30),2)</f>
        <v>5.28</v>
      </c>
      <c r="I30" s="321" t="n">
        <f aca="false">ROUND((I29*$D$30),2)</f>
        <v>65.42</v>
      </c>
      <c r="O30" s="301"/>
    </row>
    <row r="31" customFormat="false" ht="18" hidden="false" customHeight="true" outlineLevel="0" collapsed="false">
      <c r="A31" s="322" t="s">
        <v>287</v>
      </c>
      <c r="B31" s="322"/>
      <c r="C31" s="322"/>
      <c r="D31" s="324" t="n">
        <f aca="false">SUM(D28:D30)</f>
        <v>0.0979</v>
      </c>
      <c r="E31" s="304"/>
      <c r="F31" s="354" t="n">
        <f aca="false">F28+F30</f>
        <v>474.29</v>
      </c>
      <c r="G31" s="354" t="n">
        <f aca="false">G28+G30</f>
        <v>93.74</v>
      </c>
      <c r="H31" s="354" t="n">
        <f aca="false">H28+H30</f>
        <v>7.54</v>
      </c>
      <c r="I31" s="354" t="n">
        <f aca="false">I28+I30</f>
        <v>93.48</v>
      </c>
      <c r="O31" s="301"/>
    </row>
    <row r="32" customFormat="false" ht="18" hidden="false" customHeight="true" outlineLevel="0" collapsed="false">
      <c r="A32" s="302" t="s">
        <v>288</v>
      </c>
      <c r="B32" s="302"/>
      <c r="C32" s="302"/>
      <c r="D32" s="302"/>
      <c r="E32" s="302"/>
      <c r="F32" s="367" t="n">
        <f aca="false">F13+F24+F31</f>
        <v>5220.2</v>
      </c>
      <c r="G32" s="367" t="n">
        <f aca="false">G13+G24+G31</f>
        <v>1031.69</v>
      </c>
      <c r="H32" s="367" t="n">
        <f aca="false">H13+H24+H31</f>
        <v>82.99</v>
      </c>
      <c r="I32" s="367" t="n">
        <f aca="false">I13+I24+I31</f>
        <v>1028.88</v>
      </c>
      <c r="O32" s="301"/>
    </row>
    <row r="33" customFormat="false" ht="18" hidden="false" customHeight="true" outlineLevel="0" collapsed="false">
      <c r="A33" s="291" t="s">
        <v>289</v>
      </c>
      <c r="B33" s="291"/>
      <c r="C33" s="291"/>
      <c r="D33" s="291"/>
      <c r="E33" s="291"/>
      <c r="F33" s="291"/>
      <c r="G33" s="291"/>
      <c r="H33" s="291"/>
      <c r="I33" s="291"/>
      <c r="J33" s="280"/>
      <c r="O33" s="301"/>
    </row>
    <row r="34" customFormat="false" ht="18" hidden="false" customHeight="true" outlineLevel="0" collapsed="false">
      <c r="A34" s="305" t="s">
        <v>254</v>
      </c>
      <c r="B34" s="305"/>
      <c r="C34" s="287"/>
      <c r="D34" s="306" t="n">
        <f aca="false">Dados!H24</f>
        <v>0.076</v>
      </c>
      <c r="E34" s="300"/>
      <c r="F34" s="300" t="n">
        <f aca="false">ROUND((F38*$D$34),2)</f>
        <v>452.12</v>
      </c>
      <c r="G34" s="300" t="n">
        <f aca="false">ROUND((G38*$D$34),2)</f>
        <v>89.35</v>
      </c>
      <c r="H34" s="300" t="n">
        <f aca="false">ROUND((H38*$D$34),2)</f>
        <v>7.19</v>
      </c>
      <c r="I34" s="300" t="n">
        <f aca="false">ROUND((I38*$D$34),2)</f>
        <v>89.11</v>
      </c>
      <c r="O34" s="301"/>
    </row>
    <row r="35" customFormat="false" ht="18" hidden="false" customHeight="true" outlineLevel="0" collapsed="false">
      <c r="A35" s="287" t="s">
        <v>255</v>
      </c>
      <c r="B35" s="287"/>
      <c r="C35" s="287"/>
      <c r="D35" s="306" t="n">
        <f aca="false">Dados!H25</f>
        <v>0.0165</v>
      </c>
      <c r="E35" s="300"/>
      <c r="F35" s="300" t="n">
        <f aca="false">ROUND((F38*$D$35),2)</f>
        <v>98.16</v>
      </c>
      <c r="G35" s="300" t="n">
        <f aca="false">ROUND((G38*$D$35),2)</f>
        <v>19.4</v>
      </c>
      <c r="H35" s="300" t="n">
        <f aca="false">ROUND((H38*$D$35),2)</f>
        <v>1.56</v>
      </c>
      <c r="I35" s="300" t="n">
        <f aca="false">ROUND((I38*$D$35),2)</f>
        <v>19.35</v>
      </c>
      <c r="O35" s="301"/>
    </row>
    <row r="36" customFormat="false" ht="18" hidden="false" customHeight="true" outlineLevel="0" collapsed="false">
      <c r="A36" s="305" t="s">
        <v>256</v>
      </c>
      <c r="B36" s="305"/>
      <c r="C36" s="287"/>
      <c r="D36" s="306" t="n">
        <f aca="false">Dados!H26</f>
        <v>0.03</v>
      </c>
      <c r="E36" s="300"/>
      <c r="F36" s="300" t="n">
        <f aca="false">ROUND((F38*$D$36),2)</f>
        <v>178.47</v>
      </c>
      <c r="G36" s="300" t="n">
        <f aca="false">ROUND((G38*$D$36),2)</f>
        <v>35.27</v>
      </c>
      <c r="H36" s="300" t="n">
        <f aca="false">ROUND((H38*$D$36),2)</f>
        <v>2.84</v>
      </c>
      <c r="I36" s="300" t="n">
        <f aca="false">ROUND((I38*$D$36),2)</f>
        <v>35.18</v>
      </c>
      <c r="O36" s="301"/>
    </row>
    <row r="37" customFormat="false" ht="18" hidden="false" customHeight="true" outlineLevel="0" collapsed="false">
      <c r="A37" s="322" t="s">
        <v>290</v>
      </c>
      <c r="B37" s="322"/>
      <c r="C37" s="322"/>
      <c r="D37" s="324" t="n">
        <f aca="false">SUM(D34:D36)</f>
        <v>0.1225</v>
      </c>
      <c r="E37" s="304"/>
      <c r="F37" s="304" t="n">
        <f aca="false">SUM(F34:F36)</f>
        <v>728.75</v>
      </c>
      <c r="G37" s="304" t="n">
        <f aca="false">SUM(G34:G36)</f>
        <v>144.02</v>
      </c>
      <c r="H37" s="304" t="n">
        <f aca="false">SUM(H34:H36)</f>
        <v>11.59</v>
      </c>
      <c r="I37" s="304" t="n">
        <f aca="false">SUM(I34:I36)</f>
        <v>143.64</v>
      </c>
      <c r="O37" s="301"/>
    </row>
    <row r="38" customFormat="false" ht="18" hidden="false" customHeight="true" outlineLevel="0" collapsed="false">
      <c r="A38" s="286" t="s">
        <v>311</v>
      </c>
      <c r="B38" s="286"/>
      <c r="C38" s="286"/>
      <c r="D38" s="355"/>
      <c r="E38" s="327"/>
      <c r="F38" s="327" t="n">
        <f aca="false">ROUND(F32/(1-$D$37),2)</f>
        <v>5948.95</v>
      </c>
      <c r="G38" s="327" t="n">
        <f aca="false">ROUND(G32/(1-$D$37),2)</f>
        <v>1175.72</v>
      </c>
      <c r="H38" s="327" t="n">
        <f aca="false">ROUND(H32/(1-$D$37),2)</f>
        <v>94.58</v>
      </c>
      <c r="I38" s="327" t="n">
        <f aca="false">ROUND(I32/(1-$D$37),2)</f>
        <v>1172.51</v>
      </c>
      <c r="O38" s="301"/>
    </row>
    <row r="39" customFormat="false" ht="24" hidden="false" customHeight="true" outlineLevel="0" collapsed="false">
      <c r="A39" s="368" t="s">
        <v>292</v>
      </c>
      <c r="B39" s="368"/>
      <c r="C39" s="368"/>
      <c r="D39" s="368"/>
      <c r="E39" s="368"/>
      <c r="F39" s="369" t="n">
        <f aca="false">(F38/F11)/100</f>
        <v>0.0323824635701027</v>
      </c>
      <c r="G39" s="331"/>
      <c r="H39" s="331"/>
      <c r="I39" s="370" t="n">
        <f aca="false">ROUND((I38/30),2)</f>
        <v>39.08</v>
      </c>
      <c r="O39" s="301"/>
    </row>
  </sheetData>
  <mergeCells count="39">
    <mergeCell ref="A4:I4"/>
    <mergeCell ref="F5:F6"/>
    <mergeCell ref="G5:G6"/>
    <mergeCell ref="H5:H6"/>
    <mergeCell ref="I5:I6"/>
    <mergeCell ref="A6:D6"/>
    <mergeCell ref="A7:I7"/>
    <mergeCell ref="B8:C8"/>
    <mergeCell ref="F8:I8"/>
    <mergeCell ref="A9:A12"/>
    <mergeCell ref="B9:C9"/>
    <mergeCell ref="B10:C10"/>
    <mergeCell ref="B12:D12"/>
    <mergeCell ref="A13:E13"/>
    <mergeCell ref="A14:I14"/>
    <mergeCell ref="A15:B15"/>
    <mergeCell ref="D15:E15"/>
    <mergeCell ref="F15:I15"/>
    <mergeCell ref="A16:B16"/>
    <mergeCell ref="A17:B17"/>
    <mergeCell ref="A18:B18"/>
    <mergeCell ref="A19:B19"/>
    <mergeCell ref="A20:B20"/>
    <mergeCell ref="A21:B21"/>
    <mergeCell ref="A22:B22"/>
    <mergeCell ref="A23:B23"/>
    <mergeCell ref="A24:E24"/>
    <mergeCell ref="K24:L24"/>
    <mergeCell ref="A25:E25"/>
    <mergeCell ref="A26:I26"/>
    <mergeCell ref="A27:C27"/>
    <mergeCell ref="D27:E27"/>
    <mergeCell ref="F27:I27"/>
    <mergeCell ref="A30:B30"/>
    <mergeCell ref="A32:E32"/>
    <mergeCell ref="A33:I33"/>
    <mergeCell ref="A34:B34"/>
    <mergeCell ref="A36:B36"/>
    <mergeCell ref="A39:E3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68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LibreOffice/5.3.7.2$Windows_x86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2001-07-31T18:00:38Z</dcterms:created>
  <dc:creator>Romulo Villela</dc:creator>
  <dc:description/>
  <dc:language>pt-BR</dc:language>
  <cp:lastModifiedBy>Justiça Federal de 1º Grau em MG</cp:lastModifiedBy>
  <dcterms:modified xsi:type="dcterms:W3CDTF">2023-08-28T12:15:20Z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