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2"/>
  </bookViews>
  <sheets>
    <sheet name="Ocorrências Mensais - FAT" sheetId="1" state="hidden" r:id="rId2"/>
    <sheet name="INSTRUÇÕES" sheetId="2" state="visible" r:id="rId3"/>
    <sheet name="Resumo" sheetId="3" state="visible" r:id="rId4"/>
    <sheet name="Dados" sheetId="4" state="visible" r:id="rId5"/>
    <sheet name="Encargos" sheetId="5" state="visible" r:id="rId6"/>
    <sheet name="Uniforme" sheetId="6" state="visible" r:id="rId7"/>
    <sheet name="Ascensorista 150" sheetId="7" state="visible" r:id="rId8"/>
    <sheet name="Atendente 200" sheetId="8" state="visible" r:id="rId9"/>
    <sheet name="Aux Admin I 150" sheetId="9" state="visible" r:id="rId10"/>
    <sheet name="Aux. Almoxarifado 200" sheetId="10" state="visible" r:id="rId11"/>
    <sheet name="Aux Admin II 200" sheetId="11" state="visible" r:id="rId12"/>
    <sheet name="Aux Admin III 150" sheetId="12" state="visible" r:id="rId13"/>
    <sheet name="Assistente Financeiro 200" sheetId="13" state="visible" r:id="rId14"/>
    <sheet name="Aux Admin IV 200" sheetId="14" state="visible" r:id="rId15"/>
    <sheet name="Encarregado Geral 220" sheetId="15" state="visible" r:id="rId16"/>
    <sheet name="Op. Ed. Audio e Video 150" sheetId="16" state="visible" r:id="rId17"/>
    <sheet name="Recepcionista 220" sheetId="17" state="visible" r:id="rId18"/>
    <sheet name="Custo Estimativo Substituto" sheetId="18" state="visible" r:id="rId19"/>
    <sheet name="IPCA" sheetId="19" state="visible" r:id="rId20"/>
  </sheets>
  <definedNames>
    <definedName function="false" hidden="false" localSheetId="3" name="_xlnm.Print_Area" vbProcedure="false">Dados!$A$1:$L$62</definedName>
    <definedName function="false" hidden="true" localSheetId="16" name="_xlnm._FilterDatabase" vbProcedure="false">'Recepcionista 220'!$A$1:$I$41</definedName>
    <definedName function="false" hidden="false" localSheetId="2" name="_xlnm.Print_Area" vbProcedure="false">Resumo!$A$1:$U$23</definedName>
    <definedName function="false" hidden="false" localSheetId="5" name="_xlnm.Print_Area" vbProcedure="false">Uniforme!$A$1:$F$65</definedName>
    <definedName function="false" hidden="false" name="BS" vbProcedure="false">NA()</definedName>
    <definedName function="false" hidden="false" name="BT" vbProcedure="false">NA()</definedName>
    <definedName function="false" hidden="false" name="CIDADE" vbProcedure="false">NA()</definedName>
    <definedName function="false" hidden="false" name="CIDADES" vbProcedure="false">NA()</definedName>
    <definedName function="false" hidden="false" name="CPMF" vbProcedure="false">NA()</definedName>
    <definedName function="false" hidden="false" name="d" vbProcedure="false">NA()</definedName>
    <definedName function="false" hidden="false" name="ENCARGOS" vbProcedure="false">NA()</definedName>
    <definedName function="false" hidden="false" name="Excel_BuiltIn_Print_Area_1_1" vbProcedure="false">"$#REF!.$A$2:$C$99"</definedName>
    <definedName function="false" hidden="false" name="Excel_BuiltIn_Print_Area_6_1" vbProcedure="false">NA()</definedName>
    <definedName function="false" hidden="false" name="Excel_BuiltIn_Print_Area_7_1" vbProcedure="false">NA()</definedName>
    <definedName function="false" hidden="false" name="Excel_BuiltIn_Print_Area_8_1" vbProcedure="false">NA()</definedName>
    <definedName function="false" hidden="false" name="Excel_BuiltIn_Print_Area_9_1" vbProcedure="false">NA()</definedName>
    <definedName function="false" hidden="false" name="ISS" vbProcedure="false">NA()</definedName>
    <definedName function="false" hidden="false" name="Jornada" vbProcedure="false">NA()</definedName>
    <definedName function="false" hidden="false" name="TERRIT" vbProcedure="false">NA()</definedName>
    <definedName function="false" hidden="false" name="Tipo_de_Joranda_de_Trabalho" vbProcedure="false">NA()</definedName>
    <definedName function="false" hidden="false" name="TP_SERV" vbProcedure="false">NA()</definedName>
    <definedName function="false" hidden="false" name="TP_SERVPERC" vbProcedure="false">NA()</definedName>
    <definedName function="false" hidden="false" name="VRSELEC" vbProcedure="false">NA()</definedName>
    <definedName function="false" hidden="false" localSheetId="2" name="_xlnm.Print_Area" vbProcedure="false">Resumo!$A$1:$U$23</definedName>
    <definedName function="false" hidden="false" localSheetId="3" name="_xlnm.Print_Area" vbProcedure="false">Dados!$A$1:$L$62</definedName>
    <definedName function="false" hidden="false" localSheetId="5" name="_xlnm.Print_Area" vbProcedure="false">Uniforme!$A$1:$F$65</definedName>
    <definedName function="false" hidden="false" localSheetId="16" name="_xlnm._FilterDatabase" vbProcedure="false">'Recepcionista 220'!$A$1:$I$41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<sst xmlns="http://schemas.openxmlformats.org/spreadsheetml/2006/main" count="1201" uniqueCount="473">
  <si>
    <t xml:space="preserve">Tribunal Regional Federal da 6ª Região</t>
  </si>
  <si>
    <t xml:space="preserve">Belo Horizonte - MG</t>
  </si>
  <si>
    <t xml:space="preserve">Seção de Gestão e Suporte a Contratos de Terceirização - Seget/MG</t>
  </si>
  <si>
    <t xml:space="preserve">OCORRÊNCIAS MENSAIS DO FATURAMENTO </t>
  </si>
  <si>
    <t xml:space="preserve">UTILIZAÇÃO DO GESTOR CONTRATUAL PARA REALIZAÇÃO DO FATURAMENTO MENSAL</t>
  </si>
  <si>
    <t xml:space="preserve">DEFINIR VERSÃO DE APRESENTAÇÃO:</t>
  </si>
  <si>
    <t xml:space="preserve">PLANILHA PARA LICITAÇÃO (PRECIFICAÇÃO)</t>
  </si>
  <si>
    <t xml:space="preserve">DEFINIR BASE DE DESCONTOS/GLOSAS:</t>
  </si>
  <si>
    <t xml:space="preserve">MÊS CONTÁBIL</t>
  </si>
  <si>
    <r>
      <rPr>
        <b val="true"/>
        <sz val="10"/>
        <color rgb="FFFF0000"/>
        <rFont val="Calibri"/>
        <family val="2"/>
        <charset val="1"/>
      </rPr>
      <t xml:space="preserve">INSTRUÇÕES DE PREENCHIMENTO
UTILIZAÇÃO EXCLUSIVA FISCAL/GESTOR
PARA AUXILIAR NO VALOR DE FATURAMENTO
</t>
    </r>
    <r>
      <rPr>
        <b val="true"/>
        <sz val="10"/>
        <rFont val="Calibri"/>
        <family val="2"/>
        <charset val="1"/>
      </rPr>
      <t xml:space="preserve">
Preencher as células destacadas na cor vermelha para realização dos cálculos das demais abas.
Não é necessário preenchimento de outras abas.</t>
    </r>
  </si>
  <si>
    <t xml:space="preserve">Informar número de Postos que não utilizam V.T.
(Coluna "D")</t>
  </si>
  <si>
    <t xml:space="preserve">Desconto automático de V.T.
(Coluna "E")</t>
  </si>
  <si>
    <t xml:space="preserve">Desconto automático de V.T.
(Coluna "F")</t>
  </si>
  <si>
    <t xml:space="preserve">Preencher o número de dias úteis em que o optante de V.T realizou trabalho em Home Office
(Coluna "G")</t>
  </si>
  <si>
    <t xml:space="preserve">Preencher o número de dias (corridos) que o terceirizado que não recebe vt ficou afastado por férias ou faltas
(Coluna "H")</t>
  </si>
  <si>
    <t xml:space="preserve">Conversão das horas de ausências em dias de ausências
(Coluna "I")</t>
  </si>
  <si>
    <t xml:space="preserve">Conversão das horas de ausência em dias de ausência
(Coluna "J")</t>
  </si>
  <si>
    <t xml:space="preserve">Nº dias de faltas comuns sem substituição.
(Coluna "K")</t>
  </si>
  <si>
    <t xml:space="preserve">Informar número de dias por férias no mês (dias)
(Coluna "L")</t>
  </si>
  <si>
    <t xml:space="preserve">Desconto de V.A. por dias de recesso forense e/ou ponto facultativo.
(Coluna "M")</t>
  </si>
  <si>
    <t xml:space="preserve">Nº de dias de férias sem substituição quando o adicional de insalubridade é passado para outra servente do quadro 
(Coluna "N")</t>
  </si>
  <si>
    <t xml:space="preserve">Somatório de glosas.
(Coluna "O")</t>
  </si>
  <si>
    <t xml:space="preserve">Somatório de acrésimo por substituição do posto insalubre por outro profissional do quadro.
(Coluna "P")</t>
  </si>
  <si>
    <t xml:space="preserve">Informativo sobre valor faturado por tipo de função.
(Coluna "Q")</t>
  </si>
  <si>
    <t xml:space="preserve">Valores correspondentes ao fornecimento de materiais e epis.
(incluindo impostos)
(Coluna "R")</t>
  </si>
  <si>
    <t xml:space="preserve">Informar código de elemento de despesa
(Coluna "S")</t>
  </si>
  <si>
    <t xml:space="preserve">INFORMATIVO PARA GESTÃO CONTRATUAL</t>
  </si>
  <si>
    <t xml:space="preserve">Quant</t>
  </si>
  <si>
    <t xml:space="preserve">Descrição das Categorias</t>
  </si>
  <si>
    <t xml:space="preserve">Carga Horária (horas)</t>
  </si>
  <si>
    <t xml:space="preserve">Nº Postos não optantes pelo recebimento de V.T.</t>
  </si>
  <si>
    <t xml:space="preserve">Realizar glosa por não fornecimento de V.T.?</t>
  </si>
  <si>
    <t xml:space="preserve">Dias de
Glosa V.T.
Para Não Optantes</t>
  </si>
  <si>
    <t xml:space="preserve">Dias de Home Office para os postos Optantes de V.T.</t>
  </si>
  <si>
    <t xml:space="preserve">Ajuste de V.T para fornecimento para
postos Não Optantes</t>
  </si>
  <si>
    <t xml:space="preserve">Dias de faltas após conversão das horas
(planilha auxiliar)</t>
  </si>
  <si>
    <t xml:space="preserve">Quant. Atrasos e Faltas</t>
  </si>
  <si>
    <t xml:space="preserve">Dias de Férias</t>
  </si>
  <si>
    <t xml:space="preserve">Dias de Glosas de V.A no Mês</t>
  </si>
  <si>
    <t xml:space="preserve">*1 Dias de Deslocamento de Insalubridade</t>
  </si>
  <si>
    <t xml:space="preserve">VALOR TOTAL GLOSADO</t>
  </si>
  <si>
    <t xml:space="preserve">VALOR TOTAL ACRESCIDO</t>
  </si>
  <si>
    <t xml:space="preserve">Valor Mensal 
Faturado com aplicação de descontos</t>
  </si>
  <si>
    <t xml:space="preserve">VALOR TOTAL INSUMOS FORNECIDOS NO MÊS.</t>
  </si>
  <si>
    <t xml:space="preserve">Elemento de Despesa </t>
  </si>
  <si>
    <t xml:space="preserve">VALOR DE RETENÇÃO CONTA VINCULADA</t>
  </si>
  <si>
    <t xml:space="preserve">CÓDIGOS ELEMENTO DE DESPESA</t>
  </si>
  <si>
    <t xml:space="preserve">FATURAMENTO MENSAL</t>
  </si>
  <si>
    <r>
      <rPr>
        <b val="true"/>
        <sz val="10"/>
        <rFont val="Calibri"/>
        <family val="2"/>
        <charset val="1"/>
      </rPr>
      <t xml:space="preserve">RETENÇÃO 
GLOSA CONTA VINCULADA
</t>
    </r>
    <r>
      <rPr>
        <b val="true"/>
        <sz val="10"/>
        <color rgb="FFFF0000"/>
        <rFont val="Calibri"/>
        <family val="2"/>
        <charset val="1"/>
      </rPr>
      <t xml:space="preserve">(VERIFICAR NECESSIDADE)</t>
    </r>
  </si>
  <si>
    <t xml:space="preserve">SIM</t>
  </si>
  <si>
    <t xml:space="preserve">ELEMENTO 1</t>
  </si>
  <si>
    <t xml:space="preserve">ELEMENTO 2</t>
  </si>
  <si>
    <t xml:space="preserve">ELEMENTO 3</t>
  </si>
  <si>
    <t xml:space="preserve">ELEMENTO 4</t>
  </si>
  <si>
    <t xml:space="preserve">ELEMENTO 5</t>
  </si>
  <si>
    <t xml:space="preserve">VALOR TOTAL GLOSADOS</t>
  </si>
  <si>
    <t xml:space="preserve">OBSERVAÇÕES:</t>
  </si>
  <si>
    <t xml:space="preserve">1. Para apoio ao lançamento de ausências de horas, sugere-se a utilização da planilha complementar abaixo. O preenchimento das horas convertidas deve ocorrer na Coluna "I".</t>
  </si>
  <si>
    <t xml:space="preserve">Planilha auxiliar para conversão de horas de ausências em dias de faltas. (preenchimento coluna "I")</t>
  </si>
  <si>
    <t xml:space="preserve">Jornada</t>
  </si>
  <si>
    <t xml:space="preserve">Total de Horas</t>
  </si>
  <si>
    <t xml:space="preserve">Total de Minutos</t>
  </si>
  <si>
    <t xml:space="preserve">Conversão em Dias</t>
  </si>
  <si>
    <t xml:space="preserve">Obs: Informar a jornada de trabalho do posto analisado. Em sequência, informar as horas completas faltantes e posteriormente os minutos. Ex: 10:25h faltantes - Lançar 10 na célula "D22" e lançar 25 na célula "E22". Lançar o resultado convertido na coluna "H".</t>
  </si>
  <si>
    <t xml:space="preserve">LISTA PARA OPÇÕES DE GLOSAS</t>
  </si>
  <si>
    <t xml:space="preserve">DIAS ÚTEIS (CONTRATO)</t>
  </si>
  <si>
    <t xml:space="preserve">Obs: Desconto por dias definidos em contrato.</t>
  </si>
  <si>
    <t xml:space="preserve">Obs: Desconto atualmente aplicado (30 dias corridos).</t>
  </si>
  <si>
    <t xml:space="preserve">DIAS DO MÊS VIGENTE</t>
  </si>
  <si>
    <t xml:space="preserve">Informar</t>
  </si>
  <si>
    <t xml:space="preserve">Obs: Desconto por dias úteis mensais, ocorrência variável, devendo ser informado mensalmente.</t>
  </si>
  <si>
    <t xml:space="preserve">LISTA PARA JORNADA DE TRABALHO</t>
  </si>
  <si>
    <t xml:space="preserve">DIVISOR DE HORAS</t>
  </si>
  <si>
    <t xml:space="preserve">LISTA PARA TOTAL DE POSTOS</t>
  </si>
  <si>
    <t xml:space="preserve">INSTRUÇÕES DE PREENCHIMENTO - ANEXO IX - PLANILHAS DE COMPOSIÇÃO DE CUSTOS</t>
  </si>
  <si>
    <t xml:space="preserve">1.</t>
  </si>
  <si>
    <t xml:space="preserve">SOMENTE SERÃO ACEITAS MODIFICAÇÕES NAS CÉLULAS DESTACADAS NA COR AMARELA COMO NO EXEMPLO ABAIXO:</t>
  </si>
  <si>
    <t xml:space="preserve">Células de livre edição.</t>
  </si>
  <si>
    <t xml:space="preserve">2.</t>
  </si>
  <si>
    <t xml:space="preserve">As demais células, estarão bloqueadas para edição das licitantes.</t>
  </si>
  <si>
    <t xml:space="preserve">3.</t>
  </si>
  <si>
    <t xml:space="preserve">As Abas necessárias para o preenchimento estão organizadas em uma sequencia lógica, sendo Dados; Encargos; Uniforme, devidamente abreviadas para otimização da planilha.</t>
  </si>
  <si>
    <t xml:space="preserve">Sugere-se o preenchimento das seguintes abas em sequência, Dados, Encargos, Uniforme, para a realização de cálulos completa da planilha de composição de custos.</t>
  </si>
  <si>
    <t xml:space="preserve">3.1</t>
  </si>
  <si>
    <t xml:space="preserve">Estas Abas estarão destacadas na Cor Amarela.</t>
  </si>
  <si>
    <t xml:space="preserve">3.2</t>
  </si>
  <si>
    <t xml:space="preserve">PREENCHIMENTO ABA "DADOS"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</si>
  <si>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"E21:E25").</t>
  </si>
  <si>
    <t xml:space="preserve"> - Informar piso salarial de cada categoria, correspondente à jornada de 220h. (Células "E8":"E18") na eventualidade de ser superior aos salários fixados.</t>
  </si>
  <si>
    <t xml:space="preserve"> - Informar o percentual correspondente ao RAT, conforme atividade principal da licitante. (Célula "G31").</t>
  </si>
  <si>
    <t xml:space="preserve"> - Informar o fator correspdente ao FAP, conforme extraído do relatório FapWeb. (Célula "G32").</t>
  </si>
  <si>
    <t xml:space="preserve"> - Informar o valor unitário do Seguro de Vida, nos casos exigidos, conforme legislação vigente. (Célula "G35").</t>
  </si>
  <si>
    <t xml:space="preserve"> - Informar o valor unitário do Programa de Assistência Familiar - PAF, nos casos exigidos, conforme legislação vigente. (Célula "G36").</t>
  </si>
  <si>
    <t xml:space="preserve"> - Informar o quantitativo unitário diário de tarifas de transporte público (ex.: 2 tarifas para ida e 2 tarifas para volta = Total de 4 tarifas). (Célula "G40 e G42").</t>
  </si>
  <si>
    <t xml:space="preserve"> - Informar o valor unitário da tarifa de transporte público vigente à data de apresentação da proposta, nos casos exigidos, conforme legislação vigente. (Célula "G41 e G43").</t>
  </si>
  <si>
    <t xml:space="preserve"> - Informar o percentual de desconto à título de participação do trabalhador em relação ao fornecimento de vale transporte, nos casos exigidos, conforme legislação vigente. (Célula "G45").</t>
  </si>
  <si>
    <t xml:space="preserve"> - Informar o valor unitário do tícket de Vale Alimentação, nos casos exigidos, conforme legislação vigente. (Célula "G37").</t>
  </si>
  <si>
    <t xml:space="preserve"> - Informar o percentual de desconto à título de participação do trabalhador em relação ao fornecimento de Vale Alimentação, nos casos exigidos, conforme legislação vigente. (Célula "G39").</t>
  </si>
  <si>
    <t xml:space="preserve"> - Incluir outros custos não previstos previamente, bem como descreve-los, em caso de previsão legal, devendo ser apresentadas justificativas para a inserção. (Células "B46" e "H46").</t>
  </si>
  <si>
    <t xml:space="preserve"> - Incluir outros custos não previstos previamente, bem como descreve-los, em caso de previsão legal, devendo ser apresentadas justificativas para a inserção. (Células "B47" e "G47").</t>
  </si>
  <si>
    <t xml:space="preserve"> - Informar o percentual relativo às Despesas Administrativas da licitante. (Células "G50").</t>
  </si>
  <si>
    <t xml:space="preserve"> - Informar o percentual relativo ao Lucro da licitante. (Células "G51").</t>
  </si>
  <si>
    <t xml:space="preserve"> - Informar a opção tributária da licitante (Células "F57") conforme legislação vigente, OBSERVANDO as instruções contantes na Célula "B54".</t>
  </si>
  <si>
    <t xml:space="preserve"> - Informar o percentual da alíquota COFINS (Células "G58") conforme legislação vigente, OBSERVANDO as instruções contantes na Célula "B54".</t>
  </si>
  <si>
    <t xml:space="preserve"> - Informar o percentual da alíquota PIS/PASEP (Células "G59") conforme legislação vigente, OBSERVANDO as instruções contantes na Célula "B54".</t>
  </si>
  <si>
    <t xml:space="preserve"> - Incluir outros impostos não inseridos previamente, bem como descreve-los, em caso de previsão legal, devendo ser apresentadas justificativas para a inserção. (Célula "G61").</t>
  </si>
  <si>
    <t xml:space="preserve"> - Alterar SOMENTE aqueles destacados na COR AMARELA.</t>
  </si>
  <si>
    <t xml:space="preserve">3.3</t>
  </si>
  <si>
    <t xml:space="preserve"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</si>
  <si>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</si>
  <si>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"B57"), com as demais instruções cabíveis aos percentuais dispostos nesta Aba.</t>
  </si>
  <si>
    <t xml:space="preserve">3.4</t>
  </si>
  <si>
    <t xml:space="preserve">PREENCHIMENTO ABA "UNIFORMES"</t>
  </si>
  <si>
    <t xml:space="preserve"> - Informar os valores unitários de cada peça de uniforme nas células destacadas em amarelo dispostas na "Coluna E", de acordo com sua descrição no Anexo IV - Uniformes.</t>
  </si>
  <si>
    <t xml:space="preserve">4.</t>
  </si>
  <si>
    <r>
      <rPr>
        <b val="true"/>
        <sz val="11"/>
        <rFont val="Calibri"/>
        <family val="2"/>
        <charset val="1"/>
      </rPr>
      <t xml:space="preserve">Destaca-se que após o preenchimento destas Abas, os preços individuais das categorias profissionais serão refletidos para as suas abas correspondentes </t>
    </r>
    <r>
      <rPr>
        <sz val="11"/>
        <rFont val="Calibri"/>
        <family val="2"/>
        <charset val="1"/>
      </rPr>
      <t xml:space="preserve">(Ascensorista, Atendente, Auxiliar de Almoxarifado, Aux. Administrativo - Classe I, II, III e IV, Assistente de Apoio Financeiro, Encarregado Geral, Operador e Editor de Áudio e Vídeo, Recepcionista).</t>
    </r>
  </si>
  <si>
    <t xml:space="preserve">4.1</t>
  </si>
  <si>
    <r>
      <rPr>
        <b val="true"/>
        <sz val="11"/>
        <color rgb="FFCC0000"/>
        <rFont val="Calibri"/>
        <family val="2"/>
        <charset val="1"/>
      </rPr>
      <t xml:space="preserve">Não será necessário realizar nenhuma alteração nas abas contendo o detalhamento de custos de cada categoria profissional. </t>
    </r>
    <r>
      <rPr>
        <b val="true"/>
        <sz val="11"/>
        <rFont val="Calibri"/>
        <family val="2"/>
        <charset val="1"/>
      </rPr>
      <t xml:space="preserve">Estas abas conterão apenas o reflexo dos dados preenchdidos nas abas anteriores (conforme explicação nº 3).</t>
    </r>
  </si>
  <si>
    <t xml:space="preserve">4.2</t>
  </si>
  <si>
    <t xml:space="preserve">Estas abas estão destacadas na Cor Cinza.</t>
  </si>
  <si>
    <t xml:space="preserve">5.</t>
  </si>
  <si>
    <t xml:space="preserve">A Aba "Resumo", contém o detalhadamento dos custos unitários por categoria profissional, além de conter o preço final da proposta.</t>
  </si>
  <si>
    <t xml:space="preserve">5.1</t>
  </si>
  <si>
    <t xml:space="preserve">Para efeitos de lance/oferta as licitantes devem considerar o valor da célula "Q22", da Aba "Resumo", correspondente ao VALOR MENSAL.</t>
  </si>
  <si>
    <t xml:space="preserve">5.2</t>
  </si>
  <si>
    <t xml:space="preserve">Esta aba está destacada na Cor Azul.</t>
  </si>
  <si>
    <t xml:space="preserve">PLANILHA DE CUSTOS E FORMAÇÃO DE PREÇOS - RESUMO</t>
  </si>
  <si>
    <t xml:space="preserve">PREÇO MENSAL INTEGRAL</t>
  </si>
  <si>
    <t xml:space="preserve">MÊS: </t>
  </si>
  <si>
    <t xml:space="preserve">VALORES EM R$</t>
  </si>
  <si>
    <t xml:space="preserve">ELEMENTO DE DESPESA</t>
  </si>
  <si>
    <t xml:space="preserve">CATEGORIA PROFISSIONAL</t>
  </si>
  <si>
    <t xml:space="preserve">TOTAL DO FATURAMENTO MENSAL</t>
  </si>
  <si>
    <t xml:space="preserve">TOTAL DO FATURAMENTO POR ELEMENTO DE DESPESA</t>
  </si>
  <si>
    <t xml:space="preserve">CUSTO MENSAL</t>
  </si>
  <si>
    <t xml:space="preserve">GLOSA VALE-TRANSPORTE</t>
  </si>
  <si>
    <t xml:space="preserve">GLOSA DE ATRASOS, FALTAS E DESCONTO DO TITULAR EM FÉRIAS (sem material)</t>
  </si>
  <si>
    <t xml:space="preserve">GLOSA VALE ALIMENTAÇÃO</t>
  </si>
  <si>
    <t xml:space="preserve">Homem-Mês</t>
  </si>
  <si>
    <t xml:space="preserve">Custo Mensal  do vale-transporte da categoria com Encargos</t>
  </si>
  <si>
    <t xml:space="preserve">GLOSA </t>
  </si>
  <si>
    <t xml:space="preserve">Glosa de Atrasos e Faltas</t>
  </si>
  <si>
    <t xml:space="preserve">Desconto Mensal do Titular em Férias sem substituição</t>
  </si>
  <si>
    <t xml:space="preserve">Desconto de Vale Alimentação em recesso forense ou ponto facultativo.</t>
  </si>
  <si>
    <t xml:space="preserve">Total da Glosa de Atrasos, Faltas e Desconto do Titular em Férias sem substituição e desconto de VA</t>
  </si>
  <si>
    <t xml:space="preserve">Custo Unitário da categoria</t>
  </si>
  <si>
    <t xml:space="preserve">Custo Mensal da categoria</t>
  </si>
  <si>
    <t xml:space="preserve">Dias de afastamento</t>
  </si>
  <si>
    <t xml:space="preserve">Valor da Glosa do vale-transporte da categoria</t>
  </si>
  <si>
    <t xml:space="preserve">Custo Homem-Mês               (sem material)</t>
  </si>
  <si>
    <t xml:space="preserve">Valor da Glosa de Atrasos e Faltas</t>
  </si>
  <si>
    <t xml:space="preserve">Custo Unitário da categoria Planilha de Férias</t>
  </si>
  <si>
    <t xml:space="preserve">Valor do Desconto Mensal </t>
  </si>
  <si>
    <t xml:space="preserve">Custo Mensal  do vale alimentação da categoria com Encargos</t>
  </si>
  <si>
    <t xml:space="preserve">Dias de Recesso e/ou ponto facultativo</t>
  </si>
  <si>
    <t xml:space="preserve">Valor da Glosa do vale alimentação da categoria</t>
  </si>
  <si>
    <t xml:space="preserve">TOTAL DO FATURAMENTO MENSAL </t>
  </si>
  <si>
    <t xml:space="preserve">Valor a ser utilizado para lançamento da proposta / lance final de disputa. Valor Mensal.</t>
  </si>
  <si>
    <t xml:space="preserve">TOTAL DO FATURAMENTO ANUAL</t>
  </si>
  <si>
    <t xml:space="preserve">Seção de Gestão de Contratos de Terceirização - SEGET</t>
  </si>
  <si>
    <t xml:space="preserve">PLANILHA DE DADOS</t>
  </si>
  <si>
    <t xml:space="preserve">Valores em R$</t>
  </si>
  <si>
    <t xml:space="preserve">Elemento Despesa</t>
  </si>
  <si>
    <r>
      <rPr>
        <sz val="11"/>
        <rFont val="Calibri"/>
        <family val="2"/>
        <charset val="1"/>
      </rPr>
      <t xml:space="preserve">Salário Base I (para 220h/m)
</t>
    </r>
    <r>
      <rPr>
        <b val="true"/>
        <sz val="11"/>
        <rFont val="Calibri"/>
        <family val="2"/>
        <charset val="1"/>
      </rPr>
      <t xml:space="preserve">OBS 1</t>
    </r>
  </si>
  <si>
    <t xml:space="preserve">Salário Base II
(Conforme Jornada Contratada)
(R$)</t>
  </si>
  <si>
    <t xml:space="preserve">Percentual Adicional</t>
  </si>
  <si>
    <t xml:space="preserve">Remuneração Total
(Grupo A)
(R$)</t>
  </si>
  <si>
    <t xml:space="preserve">Uniforme
(R$)</t>
  </si>
  <si>
    <t xml:space="preserve">Ascensorista</t>
  </si>
  <si>
    <t xml:space="preserve">Os salários apresentados nas propostas não poderão ser inferiores aos apresentados na estimativa, ressalvada disposição mais favorável ao empregado, conforme CCT vinculante a empresa.</t>
  </si>
  <si>
    <t xml:space="preserve">Atendente</t>
  </si>
  <si>
    <t xml:space="preserve">Auxiliar de Almoxarifado</t>
  </si>
  <si>
    <t xml:space="preserve">Auxiliar Administrativo - Classe I</t>
  </si>
  <si>
    <t xml:space="preserve">Auxiliar Administrativo - Classe II</t>
  </si>
  <si>
    <t xml:space="preserve">Auxiliar Administrativo - Classe III (Nível Superior)</t>
  </si>
  <si>
    <t xml:space="preserve">Auxiliar Administrativo - Classe IV (Nível Superior)</t>
  </si>
  <si>
    <t xml:space="preserve">Assistente de Apoio Financeiro (Nível Superior)</t>
  </si>
  <si>
    <t xml:space="preserve">Encarregado Geral</t>
  </si>
  <si>
    <t xml:space="preserve">Operador e Editor de Áudio e Vídeo</t>
  </si>
  <si>
    <t xml:space="preserve">Recepcionista </t>
  </si>
  <si>
    <r>
      <rPr>
        <b val="true"/>
        <sz val="11"/>
        <rFont val="Calibri"/>
        <family val="2"/>
        <charset val="1"/>
      </rPr>
      <t xml:space="preserve">OBS 1: </t>
    </r>
    <r>
      <rPr>
        <sz val="11"/>
        <rFont val="Calibri"/>
        <family val="2"/>
        <charset val="1"/>
      </rPr>
      <t xml:space="preserve">Inserir piso salarial correspondente à jornada de 220h mensais.</t>
    </r>
  </si>
  <si>
    <t xml:space="preserve">DADOS DA PROPOSTA</t>
  </si>
  <si>
    <t xml:space="preserve">Data de apresentação da proposta</t>
  </si>
  <si>
    <t xml:space="preserve">ABERTURA DA PROPOSTA</t>
  </si>
  <si>
    <t xml:space="preserve">Informar data de abertura do certame / data final para cadastro da proposta comercial.</t>
  </si>
  <si>
    <t xml:space="preserve">Sindicato utilizado</t>
  </si>
  <si>
    <t xml:space="preserve">SINDEAC/MG</t>
  </si>
  <si>
    <t xml:space="preserve">Informar o sindicato utilizado pela Licitante.</t>
  </si>
  <si>
    <t xml:space="preserve">Número de registro da CCT - Código MTE</t>
  </si>
  <si>
    <t xml:space="preserve">MG000001/2023</t>
  </si>
  <si>
    <t xml:space="preserve">Informar o número de registro da Convenção Coletiva de Tralbalho utilizada no processo licitatório, junto ao Ministério do Trabalho e Emprego.</t>
  </si>
  <si>
    <t xml:space="preserve">Vigência da CCT utilizada</t>
  </si>
  <si>
    <t xml:space="preserve">01/01/2023 à 31/12/2023</t>
  </si>
  <si>
    <t xml:space="preserve">Informar a vigência da Convenção Coletiva de Trabalho utilizada no processo licitatório.</t>
  </si>
  <si>
    <t xml:space="preserve">Data base da categoria</t>
  </si>
  <si>
    <t xml:space="preserve">01º de Janeiro</t>
  </si>
  <si>
    <t xml:space="preserve">Informar a data base da Convenção Coletiva de Trabalho utilizada no processo licitatório.</t>
  </si>
  <si>
    <t xml:space="preserve">ENCARGOS SOCIAIS E TRABALHISTAS</t>
  </si>
  <si>
    <t xml:space="preserve"> -</t>
  </si>
  <si>
    <t xml:space="preserve">Percentual de Encargos</t>
  </si>
  <si>
    <t xml:space="preserve">SAT - Seguro Acidentes Trabalho</t>
  </si>
  <si>
    <t xml:space="preserve">RAT (Atividade Principal)</t>
  </si>
  <si>
    <t xml:space="preserve">Informar percentual correspondente à atividade preponderante da Licitante.</t>
  </si>
  <si>
    <t xml:space="preserve">FAP (Conforme FapWeb)</t>
  </si>
  <si>
    <t xml:space="preserve">Informar Fator extraído do documento FapWeb da Licitante.</t>
  </si>
  <si>
    <t xml:space="preserve">BENEFÍCIOS</t>
  </si>
  <si>
    <t xml:space="preserve">Seguro de Vida em Grupo</t>
  </si>
  <si>
    <t xml:space="preserve">Inserir valor unitário mensal.</t>
  </si>
  <si>
    <t xml:space="preserve">Programa de Assistência Familiar (PAF)</t>
  </si>
  <si>
    <t xml:space="preserve">Vale Alimentação</t>
  </si>
  <si>
    <t xml:space="preserve">Valor Unitário do Ticket</t>
  </si>
  <si>
    <t xml:space="preserve">Inserir valor unitário do Ticket.</t>
  </si>
  <si>
    <t xml:space="preserve">Número de dias para fornecimento</t>
  </si>
  <si>
    <t xml:space="preserve">Número de dias fixo - Conforme item 11.4 do Termo de Referência.</t>
  </si>
  <si>
    <t xml:space="preserve">Custeio do trabalhador (participação legal)</t>
  </si>
  <si>
    <t xml:space="preserve">Inserir percentual de participação do trabalhador.</t>
  </si>
  <si>
    <t xml:space="preserve">Transporte</t>
  </si>
  <si>
    <t xml:space="preserve">Nº de Tarifas por dia (tarifa 1)</t>
  </si>
  <si>
    <t xml:space="preserve">Inserir a quantidade de tarifas diárias.</t>
  </si>
  <si>
    <t xml:space="preserve">Valor da tarifa 1</t>
  </si>
  <si>
    <t xml:space="preserve">Inserir o valor unitário da tarifa 1.</t>
  </si>
  <si>
    <t xml:space="preserve">Nº de Tarifas por dia (tarifa 2)</t>
  </si>
  <si>
    <t xml:space="preserve">Valor da tarifa 2</t>
  </si>
  <si>
    <t xml:space="preserve">Inserir o valor unitário da tarifa 2.</t>
  </si>
  <si>
    <t xml:space="preserve">Outros (inserir somente com a justificativa legal)</t>
  </si>
  <si>
    <t xml:space="preserve">Inserir valor unitário mensal, quando preenchido, e apresentar as justificativas legais para inclusão.</t>
  </si>
  <si>
    <t xml:space="preserve">MONTANTE C</t>
  </si>
  <si>
    <t xml:space="preserve">Despesas Administrativas</t>
  </si>
  <si>
    <t xml:space="preserve">Informar percentual da Licitante.</t>
  </si>
  <si>
    <t xml:space="preserve">Lucro</t>
  </si>
  <si>
    <t xml:space="preserve">MONTANTE D</t>
  </si>
  <si>
    <t xml:space="preserve">OBS:</t>
  </si>
  <si>
    <t xml:space="preserve">Opção Tributária</t>
  </si>
  <si>
    <t xml:space="preserve">LUCRO REAL</t>
  </si>
  <si>
    <t xml:space="preserve">COFINS</t>
  </si>
  <si>
    <t xml:space="preserve">PIS/PASEP</t>
  </si>
  <si>
    <t xml:space="preserve">ISSQN</t>
  </si>
  <si>
    <t xml:space="preserve">Soma dos tributos</t>
  </si>
  <si>
    <t xml:space="preserve">PREVISÃO DE REAJUSTE IPCA - 12 (DOZE) MESES DE CONTRATO - INFORMATIVO PARA SER UTILIZADO DURANTE A GESTÃO CONTRATUAL</t>
  </si>
  <si>
    <t xml:space="preserve">UNIFORME</t>
  </si>
  <si>
    <t xml:space="preserve">SEGURO DE VIDA</t>
  </si>
  <si>
    <t xml:space="preserve">FATOR DE APLICAÇÃO
(2 CASAS DECIMAIS)</t>
  </si>
  <si>
    <t xml:space="preserve">DATA DE APROVAÇÃO IPCA</t>
  </si>
  <si>
    <t xml:space="preserve">DOCUMENTO RELACIONADO ID</t>
  </si>
  <si>
    <t xml:space="preserve">1º REAJUSTE IPCA</t>
  </si>
  <si>
    <t xml:space="preserve">Percentual (%) aprovado</t>
  </si>
  <si>
    <t xml:space="preserve">Aplicar reajuste após solicitação da contratada?</t>
  </si>
  <si>
    <t xml:space="preserve">NÃO</t>
  </si>
  <si>
    <t xml:space="preserve">2º REAJUSTE IPCA</t>
  </si>
  <si>
    <t xml:space="preserve">3º REAJUSTE IPCA</t>
  </si>
  <si>
    <t xml:space="preserve">4º REAJUSTE IPCA</t>
  </si>
  <si>
    <t xml:space="preserve">5º REAJUSTE IPCA</t>
  </si>
  <si>
    <t xml:space="preserve">CONTROLE DE REAJUSTE IPCA - UNIFORME</t>
  </si>
  <si>
    <t xml:space="preserve">APLICAR
VALOR</t>
  </si>
  <si>
    <t xml:space="preserve">INICIAL</t>
  </si>
  <si>
    <t xml:space="preserve">CONTROLE DE REAJUSTE IPCA - SEGURO DE VIDA</t>
  </si>
  <si>
    <t xml:space="preserve">VALOR INICIAL DO CONTRATO</t>
  </si>
  <si>
    <t xml:space="preserve">1º REAJUSTE POR IPCA</t>
  </si>
  <si>
    <t xml:space="preserve">2º REAJUSTE POR IPCA</t>
  </si>
  <si>
    <t xml:space="preserve">3º REAJUSTE POR IPCA</t>
  </si>
  <si>
    <t xml:space="preserve">4º REAJUSTE POR IPCA</t>
  </si>
  <si>
    <t xml:space="preserve">5º REAJUSTE POR IPCA</t>
  </si>
  <si>
    <t xml:space="preserve">Fórmula SE, para inclusão após o término do processo licitatório. (INSERIR NA CÉLULA "G35")</t>
  </si>
  <si>
    <t xml:space="preserve">HISTÓRICO - CONTROLE DE CONTRATO - VERSÃO DE PLANILHA DE CUSTOS</t>
  </si>
  <si>
    <t xml:space="preserve">Planilha / Proposta comercial - Início do contrato (Licitação)</t>
  </si>
  <si>
    <t xml:space="preserve">PLANILHA - ID</t>
  </si>
  <si>
    <t xml:space="preserve">Obs: Planiha apresentada e aceita durante a fase de lances.</t>
  </si>
  <si>
    <t xml:space="preserve">1º Termo Aditivo</t>
  </si>
  <si>
    <t xml:space="preserve">Obs: Planilha ajustada com o acréscimo de 1 posto "X" - 200h.</t>
  </si>
  <si>
    <t xml:space="preserve">1º Termo de Apostilamento</t>
  </si>
  <si>
    <t xml:space="preserve">Obs: Repactuação CCT 2024 / Alteração do salário mínimo nacional.</t>
  </si>
  <si>
    <t xml:space="preserve">INFORMAR Nº T.A / APOSTILAMENTO / ALTERAÇÃO CONTRAT.</t>
  </si>
  <si>
    <t xml:space="preserve">Obs: Descrever alerações. EX: Como é realizado no Extrato.</t>
  </si>
  <si>
    <t xml:space="preserve">Planilha de Encargos Sociais e Trabalhistas</t>
  </si>
  <si>
    <t xml:space="preserve">ITEM</t>
  </si>
  <si>
    <t xml:space="preserve">DESCRIÇÃO</t>
  </si>
  <si>
    <t xml:space="preserve">PERCENTUAL</t>
  </si>
  <si>
    <t xml:space="preserve">Grupo A</t>
  </si>
  <si>
    <t xml:space="preserve">Encargos Previdenciários, FGTS e Outras Contribuições</t>
  </si>
  <si>
    <t xml:space="preserve">PREVIDÊNCIA SOCIAL - INSS</t>
  </si>
  <si>
    <t xml:space="preserve">SESI ou SESC</t>
  </si>
  <si>
    <t xml:space="preserve">SENAI ou SENAC</t>
  </si>
  <si>
    <t xml:space="preserve">INCRA</t>
  </si>
  <si>
    <t xml:space="preserve">Salário Educação</t>
  </si>
  <si>
    <t xml:space="preserve">FGTS</t>
  </si>
  <si>
    <t xml:space="preserve">Seguro Acidentes Trabalho - RAT</t>
  </si>
  <si>
    <t xml:space="preserve">SEBRAE</t>
  </si>
  <si>
    <t xml:space="preserve">Total Grupo A - Encargos previdenciários, FGTS e Outras Contribuições</t>
  </si>
  <si>
    <t xml:space="preserve">Grupo B</t>
  </si>
  <si>
    <t xml:space="preserve">Grupo B.1</t>
  </si>
  <si>
    <t xml:space="preserve">13º Salário e Adicional de Férias</t>
  </si>
  <si>
    <t xml:space="preserve">13º Salário</t>
  </si>
  <si>
    <t xml:space="preserve">Adicional de Férias</t>
  </si>
  <si>
    <t xml:space="preserve">Subtotal</t>
  </si>
  <si>
    <t xml:space="preserve">Incidência do Submódulo 4.1 sobre 13º salário e adicional de férias</t>
  </si>
  <si>
    <t xml:space="preserve">Total Grupo B.1 - 13º salário e adicional de férias</t>
  </si>
  <si>
    <t xml:space="preserve">Grupo B.2</t>
  </si>
  <si>
    <t xml:space="preserve">Afastamento Maternidade</t>
  </si>
  <si>
    <t xml:space="preserve">Licença Maternidade</t>
  </si>
  <si>
    <t xml:space="preserve">Incidência do submódulo 4.1 sobre o afastamento maternidade</t>
  </si>
  <si>
    <t xml:space="preserve">Total Grupo B.2 - Afastamento maternidade</t>
  </si>
  <si>
    <t xml:space="preserve">Grupo B.3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</si>
  <si>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</si>
  <si>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</si>
  <si>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</si>
  <si>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do Aviso Prévio Indenizado</t>
  </si>
  <si>
    <t xml:space="preserve">Aviso Prévio Trabalhado</t>
  </si>
  <si>
    <t xml:space="preserve">Incidência do submódulo 4.1 sobre o Aviso Prévio Trabalhado </t>
  </si>
  <si>
    <t xml:space="preserve">Multa do FGTS do Aviso Prévio Trabalhado </t>
  </si>
  <si>
    <t xml:space="preserve">Total Grupo B.3 - Provisão para rescisão</t>
  </si>
  <si>
    <t xml:space="preserve">Grupo B.4</t>
  </si>
  <si>
    <t xml:space="preserve">Composição do Custo de Reposição do Profissional Ausente</t>
  </si>
  <si>
    <t xml:space="preserve">Remuneração do profissional substituto</t>
  </si>
  <si>
    <t xml:space="preserve">Ausência por doença</t>
  </si>
  <si>
    <t xml:space="preserve">Licença Paternidade</t>
  </si>
  <si>
    <t xml:space="preserve">Ausências Legais</t>
  </si>
  <si>
    <t xml:space="preserve">Ausência por acidente de trabalho</t>
  </si>
  <si>
    <t xml:space="preserve">Incidência do submódulo 4.1 sobre custo de reposição</t>
  </si>
  <si>
    <t xml:space="preserve">PERCENTUAIS PARA CONTINGENCIAMENTO DE ENCARGOS TRABALHISTAS A SEREM APLICADOS SOBRE A NOTA FISCAL (UTILIZAÇÃO DURANTE A VIGÊNCIA CONTRATUAL)</t>
  </si>
  <si>
    <t xml:space="preserve">Total Grupo B.4 - Custo de reposição do profissional ausente</t>
  </si>
  <si>
    <t xml:space="preserve">Grupo C</t>
  </si>
  <si>
    <t xml:space="preserve">Outros (especificar)</t>
  </si>
  <si>
    <t xml:space="preserve">Título</t>
  </si>
  <si>
    <t xml:space="preserve">VARIAÇÃO RAT AJUSTADO 0,50% A 6%</t>
  </si>
  <si>
    <t xml:space="preserve">Indenização Adicional</t>
  </si>
  <si>
    <t xml:space="preserve">EMPRESAS</t>
  </si>
  <si>
    <t xml:space="preserve">Total Grupo C - Indenização Adicional</t>
  </si>
  <si>
    <t xml:space="preserve">Grupo </t>
  </si>
  <si>
    <t xml:space="preserve">Mínimo</t>
  </si>
  <si>
    <t xml:space="preserve">Máximo</t>
  </si>
  <si>
    <t xml:space="preserve">LICITANTE</t>
  </si>
  <si>
    <t xml:space="preserve">Quadro Resumo - Encargos Sociais e Trabalhistas</t>
  </si>
  <si>
    <t xml:space="preserve">SUBMÓDULO E.1 - da IN 02/2008 MPOG:</t>
  </si>
  <si>
    <t xml:space="preserve">SAT (RATxFAP):</t>
  </si>
  <si>
    <t xml:space="preserve">13º Salário + Adicional de Férias</t>
  </si>
  <si>
    <t xml:space="preserve">13º salário</t>
  </si>
  <si>
    <t xml:space="preserve">Férias</t>
  </si>
  <si>
    <t xml:space="preserve">Custo de Rescisão</t>
  </si>
  <si>
    <t xml:space="preserve">1/3 constitucional</t>
  </si>
  <si>
    <t xml:space="preserve">Custo de Reposição do profissional Ausente</t>
  </si>
  <si>
    <t xml:space="preserve">Incidência do Grupo A (*)</t>
  </si>
  <si>
    <t xml:space="preserve">Total dos Encargos Sociais Trabalhistas</t>
  </si>
  <si>
    <t xml:space="preserve">Multa do FGTS</t>
  </si>
  <si>
    <t xml:space="preserve">OBSERVAÇÃO:</t>
  </si>
  <si>
    <t xml:space="preserve">Encargos a contingenciar</t>
  </si>
  <si>
    <t xml:space="preserve">Não deverá haver alteração nos itens 9(9,09%), 10(3,03%), 13(3,49%) e 16(9,09%) dos percentuais acima, considerando que a Justiça Federal segue as diretrizes da IN 1/2016, de 20 de janeiro de 2016, do CJF.</t>
  </si>
  <si>
    <t xml:space="preserve">Taxa da conta-corrente vinculada (inciso II art. 2º IN 001/2013</t>
  </si>
  <si>
    <t xml:space="preserve">-</t>
  </si>
  <si>
    <t xml:space="preserve">Total a contingenciar</t>
  </si>
  <si>
    <r>
      <rPr>
        <b val="true"/>
        <sz val="10"/>
        <rFont val="Times New Roman"/>
        <family val="1"/>
        <charset val="1"/>
      </rPr>
      <t xml:space="preserve">VALORES UNITÁRIOS DO CONTRATO, CORRIGIDOS PELO REAJUSTE DE IPCA.
</t>
    </r>
    <r>
      <rPr>
        <b val="true"/>
        <sz val="10"/>
        <color rgb="FFFF0000"/>
        <rFont val="Times New Roman"/>
        <family val="1"/>
        <charset val="1"/>
      </rPr>
      <t xml:space="preserve">(SUBSTITUIR/IGUALAR MANUALMENTE OS PREÇOS UNITÁRIOS DA COLUNA "R" NA PLANILHA DE MATERIAIS - QUANDO HOUVER PLANIHA INICIAL DO CONTRATO)</t>
    </r>
  </si>
  <si>
    <t xml:space="preserve">CUSTO ESTIMATIVO DE PREÇO DOS UNIFORMES</t>
  </si>
  <si>
    <t xml:space="preserve">As especificações dos uniformes constam no Anexo IV - Uniformes</t>
  </si>
  <si>
    <t xml:space="preserve">VALOR INICIAL DO CONTRATO
(Informar após o término da licitação)</t>
  </si>
  <si>
    <t xml:space="preserve">Fórmula SE, para inclusão após o término do processo licitatório. (INSERIR NA CÉLULA "E7" em diante)</t>
  </si>
  <si>
    <t xml:space="preserve">CATEGORIA</t>
  </si>
  <si>
    <t xml:space="preserve">QUANT.</t>
  </si>
  <si>
    <t xml:space="preserve">TOTAL DO QUANTITATIVO</t>
  </si>
  <si>
    <t xml:space="preserve">MÉDIA DE PREÇO</t>
  </si>
  <si>
    <t xml:space="preserve">PREÇO UNITÁRIO</t>
  </si>
  <si>
    <t xml:space="preserve">Calça</t>
  </si>
  <si>
    <t xml:space="preserve">Blazer</t>
  </si>
  <si>
    <t xml:space="preserve">Camisa</t>
  </si>
  <si>
    <t xml:space="preserve">Calçado</t>
  </si>
  <si>
    <t xml:space="preserve">Cinto</t>
  </si>
  <si>
    <t xml:space="preserve">Gravata</t>
  </si>
  <si>
    <t xml:space="preserve">Soma</t>
  </si>
  <si>
    <t xml:space="preserve">CÁLCULO VALOR DO REPASSE MENSAL ASCENSORISTA</t>
  </si>
  <si>
    <t xml:space="preserve">CÁLCULO VALOR DO REPASSE MENSAL ATENDENTE</t>
  </si>
  <si>
    <t xml:space="preserve">Jaqueta</t>
  </si>
  <si>
    <t xml:space="preserve">CÁLCULO VALOR DO REPASSE MENSAL AUXILIAR DE ALMOXARIFADO</t>
  </si>
  <si>
    <t xml:space="preserve">Auxiliar Administrativo - Classes I,II, III e IV</t>
  </si>
  <si>
    <t xml:space="preserve">CÁLCULO VALOR DO REPASSE MENSAL AUXILIARES ADMINISTRATIVO CLASSE I a IV </t>
  </si>
  <si>
    <t xml:space="preserve">Assistente de Apoio Financeiro</t>
  </si>
  <si>
    <t xml:space="preserve">CÁLCULO VALOR DO REPASSE MENSAL ASSISTENTE  DE APOIO FINANCEIRO</t>
  </si>
  <si>
    <t xml:space="preserve">CÁLCULO VALOR DO REPASSE MENSAL ENCARREGADO GERAL</t>
  </si>
  <si>
    <t xml:space="preserve">Operador, Editor de Áudio e Vídeo</t>
  </si>
  <si>
    <t xml:space="preserve">CÁLCULO VALOR DO REPASSE MENSAL OPERADOR E EDITOR DE ÁUDIO E VÍDEO</t>
  </si>
  <si>
    <t xml:space="preserve">Recepcionista</t>
  </si>
  <si>
    <t xml:space="preserve">CÁLCULO VALOR DO REPASSE MENSAL RECEPCIONISTA</t>
  </si>
  <si>
    <t xml:space="preserve">Planilha de Custo e Formação de Preço Mensal Estimativo Por Categoria</t>
  </si>
  <si>
    <t xml:space="preserve">ANEXO IX</t>
  </si>
  <si>
    <t xml:space="preserve">CUSTO UNITÁRIO DA CATEGORIA</t>
  </si>
  <si>
    <t xml:space="preserve">VALOR VALE ALIMENTAÇÃO</t>
  </si>
  <si>
    <t xml:space="preserve">VALOR MATERIAL</t>
  </si>
  <si>
    <t xml:space="preserve">VALOR VALE- TRANSPORTE</t>
  </si>
  <si>
    <t xml:space="preserve">33390.37.01 - Apoio Administrativo, Técnico e Operacional</t>
  </si>
  <si>
    <t xml:space="preserve">Item</t>
  </si>
  <si>
    <t xml:space="preserve">Função</t>
  </si>
  <si>
    <t xml:space="preserve">Carga Horária Mensal</t>
  </si>
  <si>
    <t xml:space="preserve"> Salário Base</t>
  </si>
  <si>
    <t xml:space="preserve">Valor Unitário</t>
  </si>
  <si>
    <t xml:space="preserve">TOTAL DA REMUNERAÇÃO</t>
  </si>
  <si>
    <t xml:space="preserve">Encargos sociais e trabalhistas                         </t>
  </si>
  <si>
    <t xml:space="preserve">Total do Montante "A" ( Mão-de-Obra)</t>
  </si>
  <si>
    <t xml:space="preserve">MONTANTE "B" - INSUMOS</t>
  </si>
  <si>
    <t xml:space="preserve">Itens</t>
  </si>
  <si>
    <t xml:space="preserve">Quant.</t>
  </si>
  <si>
    <t xml:space="preserve">Valor Unitario</t>
  </si>
  <si>
    <t xml:space="preserve">Uniforme</t>
  </si>
  <si>
    <t xml:space="preserve">Seguro de vida  </t>
  </si>
  <si>
    <t xml:space="preserve">Programa de Assistência Familiar</t>
  </si>
  <si>
    <t xml:space="preserve">Vale-Alimentação</t>
  </si>
  <si>
    <t xml:space="preserve">Vale-Transporte</t>
  </si>
  <si>
    <t xml:space="preserve">Total do Montante "B" (Insumos)</t>
  </si>
  <si>
    <t xml:space="preserve">Montante "A" + Montante "B"</t>
  </si>
  <si>
    <t xml:space="preserve">MONTANTE "C" - DEMAIS COMPONENTES</t>
  </si>
  <si>
    <t xml:space="preserve">ITENS</t>
  </si>
  <si>
    <t xml:space="preserve">Percentual</t>
  </si>
  <si>
    <t xml:space="preserve">Despesas administrativas/operacionais</t>
  </si>
  <si>
    <t xml:space="preserve">Base de cálculo do lucro</t>
  </si>
  <si>
    <t xml:space="preserve">Total do Montante "C" (Demais componentes)</t>
  </si>
  <si>
    <t xml:space="preserve">Montante "A" + Montante "B" + Montante "C"</t>
  </si>
  <si>
    <t xml:space="preserve">MONTANTE "D" - TRIBUTOS</t>
  </si>
  <si>
    <t xml:space="preserve">Total do Montante "D" (Tributos)</t>
  </si>
  <si>
    <t xml:space="preserve">FATOR K</t>
  </si>
  <si>
    <t xml:space="preserve">Vale Transporte</t>
  </si>
  <si>
    <t xml:space="preserve">Seção de Gestão e Suporte a Contratos de Terceirização</t>
  </si>
  <si>
    <t xml:space="preserve">ANEXO IX - PLANILHA DE CUSTO E FORMAÇÃO DE PREÇO MENSAL ESTIMATIVO DO PROFISSIONAL SUBSTITUTO DO TITULAR EM FÉRIAS </t>
  </si>
  <si>
    <t xml:space="preserve">DESCRIÇÃO </t>
  </si>
  <si>
    <t xml:space="preserve">4.5</t>
  </si>
  <si>
    <t xml:space="preserve">Valor em R$</t>
  </si>
  <si>
    <t xml:space="preserve">Módulo 1 - Total da Remuneração</t>
  </si>
  <si>
    <t xml:space="preserve">A</t>
  </si>
  <si>
    <t xml:space="preserve">G</t>
  </si>
  <si>
    <t xml:space="preserve">Total do Custo MENSAL de Reposição do Profissional Ausente em Férias</t>
  </si>
  <si>
    <t xml:space="preserve">Total do Custo ANUAL de Reposição do Profissional Ausente em Férias</t>
  </si>
  <si>
    <t xml:space="preserve">Módulo 2 - Benefícios Mensais e Diários</t>
  </si>
  <si>
    <t xml:space="preserve">B</t>
  </si>
  <si>
    <t xml:space="preserve">C</t>
  </si>
  <si>
    <t xml:space="preserve">Outros (sem concessão do intervalo intrajornada)</t>
  </si>
  <si>
    <t xml:space="preserve">Total de Benefícios Mensais e Diários</t>
  </si>
  <si>
    <t xml:space="preserve">Módulo 5 - Custos Indiretos, Lucros e Tributos</t>
  </si>
  <si>
    <t xml:space="preserve">Custos Indiretos (Despesas Operacionais e Administrativas)</t>
  </si>
  <si>
    <t xml:space="preserve">Tributos</t>
  </si>
  <si>
    <t xml:space="preserve">C.1</t>
  </si>
  <si>
    <t xml:space="preserve">Tributos Federais (PIS E COFINS)</t>
  </si>
  <si>
    <t xml:space="preserve">C.2</t>
  </si>
  <si>
    <t xml:space="preserve">Tributos Estaduais (especificar)</t>
  </si>
  <si>
    <t xml:space="preserve">C.3</t>
  </si>
  <si>
    <t xml:space="preserve">Tributos Municipais (ISS)</t>
  </si>
  <si>
    <t xml:space="preserve">C.4</t>
  </si>
  <si>
    <t xml:space="preserve">Total dos Custos Indiretos e Tributos</t>
  </si>
  <si>
    <t xml:space="preserve">CUSTO TOTAL DO PROFISSIONAL SUBSTITUTO</t>
  </si>
  <si>
    <t xml:space="preserve">Resumo do Custo Por Empregado Substituto do Titular em Férias</t>
  </si>
  <si>
    <t xml:space="preserve">Mão de Obra Vinculada à Execução Contratual  (Valor Por Empregado)</t>
  </si>
  <si>
    <t xml:space="preserve">Módulo 1 - Composição Remuneração * 12 (Anual)</t>
  </si>
  <si>
    <t xml:space="preserve">Subtotal (A+B)</t>
  </si>
  <si>
    <t xml:space="preserve">E</t>
  </si>
  <si>
    <t xml:space="preserve">Módulo 5 - Custos Indiretos, Tributos e Lucro</t>
  </si>
  <si>
    <t xml:space="preserve">Valor Total Mensal Por Empregado Substituto do Titular em Férias </t>
  </si>
  <si>
    <t xml:space="preserve">Período:</t>
  </si>
  <si>
    <t xml:space="preserve">ÍNDICE </t>
  </si>
  <si>
    <t xml:space="preserve">IPCA/ IBGE</t>
  </si>
  <si>
    <t xml:space="preserve">DIAS</t>
  </si>
  <si>
    <t xml:space="preserve">Pró-rata</t>
  </si>
  <si>
    <t xml:space="preserve">VALOR ATUAL</t>
  </si>
  <si>
    <t xml:space="preserve">ANO</t>
  </si>
  <si>
    <t xml:space="preserve">MÊS</t>
  </si>
  <si>
    <t xml:space="preserve">ÍNDICE %</t>
  </si>
  <si>
    <t xml:space="preserve">%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</si>
  <si>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</si>
  <si>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</si>
  <si>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</si>
  <si>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</si>
  <si>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</si>
  <si>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</si>
  <si>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</si>
  <si>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</si>
  <si>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</si>
  <si>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</si>
  <si>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</si>
  <si>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</si>
  <si>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INDICE ACUMULADO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</si>
</sst>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&quot;R$&quot;* #,##0.00_);_(&quot;R$&quot;* \(#,##0.00\);_(&quot;R$&quot;* \-??_);_(@_)"/>
    <numFmt numFmtId="166" formatCode="_(&quot;R$ &quot;* #,##0.00_);_(&quot;R$ &quot;* \(#,##0.00\);_(&quot;R$ &quot;* \-??_);_(@_)"/>
    <numFmt numFmtId="167" formatCode="_(&quot;Cr$&quot;* #,##0.00_);_(&quot;Cr$&quot;* \(#,##0.00\);_(&quot;Cr$&quot;* \-??_);_(@_)"/>
    <numFmt numFmtId="168" formatCode="_-&quot;R$ &quot;* #,##0.00_-;&quot;-R$ &quot;* #,##0.00_-;_-&quot;R$ &quot;* \-??_-;_-@_-"/>
    <numFmt numFmtId="169" formatCode="0%"/>
    <numFmt numFmtId="170" formatCode="_(* #,##0.00_);_(* \(#,##0.00\);_(* \-??_);_(@_)"/>
    <numFmt numFmtId="171" formatCode="_-* #,##0.00_-;\-* #,##0.00_-;_-* \-??_-;_-@_-"/>
    <numFmt numFmtId="172" formatCode="0"/>
    <numFmt numFmtId="173" formatCode="0.00"/>
    <numFmt numFmtId="174" formatCode="#,##0"/>
    <numFmt numFmtId="175" formatCode="#,##0.00"/>
    <numFmt numFmtId="176" formatCode="#,##0.00_ ;\-#,##0.00\ "/>
    <numFmt numFmtId="177" formatCode="0.00%"/>
    <numFmt numFmtId="178" formatCode="0.0000"/>
    <numFmt numFmtId="179" formatCode="* #,##0.00\ ;* \(#,##0.00\);* \-#\ ;@\ "/>
    <numFmt numFmtId="180" formatCode="D/M/YYYY"/>
    <numFmt numFmtId="181" formatCode="* #,##0\ ;* \(#,##0\);* \-#\ ;@\ "/>
  </numFmts>
  <fonts count="79">
    <font>
      <sz val="1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5"/>
      <color rgb="FF3366FF"/>
      <name val="Calibri"/>
      <family val="2"/>
      <charset val="1"/>
    </font>
    <font>
      <b val="true"/>
      <sz val="15"/>
      <color rgb="FF10243E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sz val="1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i val="true"/>
      <u val="singl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sz val="14"/>
      <name val="Times New Roman"/>
      <family val="1"/>
      <charset val="1"/>
    </font>
    <font>
      <sz val="11"/>
      <name val="Times New Roman"/>
      <family val="1"/>
      <charset val="1"/>
    </font>
    <font>
      <b val="true"/>
      <u val="single"/>
      <sz val="11"/>
      <name val="Calibri"/>
      <family val="2"/>
      <charset val="1"/>
    </font>
    <font>
      <b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1"/>
      <color rgb="FFCC0000"/>
      <name val="Calibri"/>
      <family val="2"/>
      <charset val="1"/>
    </font>
    <font>
      <b val="true"/>
      <sz val="11"/>
      <color rgb="FFCC0000"/>
      <name val="Times New Roman"/>
      <family val="1"/>
      <charset val="1"/>
    </font>
    <font>
      <b val="true"/>
      <sz val="10"/>
      <color rgb="FFCC0000"/>
      <name val="Times New Roman"/>
      <family val="1"/>
      <charset val="1"/>
    </font>
    <font>
      <b val="true"/>
      <sz val="11"/>
      <color rgb="FFFFFFFF"/>
      <name val="Calibri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i val="true"/>
      <sz val="14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2.5"/>
      <name val="Calibri"/>
      <family val="2"/>
      <charset val="1"/>
    </font>
    <font>
      <b val="true"/>
      <sz val="8"/>
      <name val="Calibri"/>
      <family val="2"/>
      <charset val="1"/>
    </font>
    <font>
      <sz val="8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12"/>
      <name val="Calibri"/>
      <family val="2"/>
      <charset val="1"/>
    </font>
    <font>
      <sz val="11"/>
      <color rgb="FF0066CC"/>
      <name val="Calibri"/>
      <family val="2"/>
      <charset val="1"/>
    </font>
    <font>
      <sz val="10"/>
      <color rgb="FF0066CC"/>
      <name val="Arial"/>
      <family val="2"/>
      <charset val="1"/>
    </font>
    <font>
      <sz val="10"/>
      <color rgb="FF0066CC"/>
      <name val="Calibri"/>
      <family val="2"/>
      <charset val="1"/>
    </font>
    <font>
      <b val="true"/>
      <sz val="10"/>
      <color rgb="FF0066CC"/>
      <name val="Calibri"/>
      <family val="2"/>
      <charset val="1"/>
    </font>
    <font>
      <sz val="11"/>
      <color rgb="FF0066CC"/>
      <name val="Arial"/>
      <family val="2"/>
      <charset val="1"/>
    </font>
    <font>
      <b val="true"/>
      <sz val="11"/>
      <color rgb="FF0066CC"/>
      <name val="Arial"/>
      <family val="2"/>
      <charset val="1"/>
    </font>
    <font>
      <sz val="9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sz val="11"/>
      <color rgb="FFFF0000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9"/>
      <name val="Times New Roman"/>
      <family val="1"/>
      <charset val="1"/>
    </font>
    <font>
      <b val="true"/>
      <sz val="18"/>
      <name val="Times New Roman"/>
      <family val="1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CC0000"/>
      <name val="Calibri"/>
      <family val="2"/>
      <charset val="1"/>
    </font>
    <font>
      <sz val="10"/>
      <color rgb="FFCC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9"/>
      <color rgb="FFCC0000"/>
      <name val="Calibri"/>
      <family val="2"/>
      <charset val="1"/>
    </font>
    <font>
      <b val="true"/>
      <sz val="10"/>
      <color rgb="FFFF0000"/>
      <name val="Times New Roman"/>
      <family val="1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Times New Roman"/>
      <family val="1"/>
      <charset val="1"/>
    </font>
    <font>
      <b val="true"/>
      <sz val="9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11"/>
      <name val="Arial Narrow"/>
      <family val="2"/>
      <charset val="1"/>
    </font>
    <font>
      <b val="true"/>
      <sz val="8"/>
      <color rgb="FFFF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F2DCDB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DAE3F3"/>
      </patternFill>
    </fill>
    <fill>
      <patternFill patternType="solid">
        <fgColor rgb="FFF2DCDB"/>
        <bgColor rgb="FFDDDDDD"/>
      </patternFill>
    </fill>
    <fill>
      <patternFill patternType="solid">
        <fgColor rgb="FF606060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00B0F0"/>
        <bgColor rgb="FF33CCCC"/>
      </patternFill>
    </fill>
    <fill>
      <patternFill patternType="solid">
        <fgColor rgb="FFDDDDDD"/>
        <bgColor rgb="FFD9D9D9"/>
      </patternFill>
    </fill>
    <fill>
      <patternFill patternType="solid">
        <fgColor rgb="FFEEEEEE"/>
        <bgColor rgb="FFF2F2F2"/>
      </patternFill>
    </fill>
    <fill>
      <patternFill patternType="solid">
        <fgColor rgb="FFA9F9F5"/>
        <bgColor rgb="FFDCE6F2"/>
      </patternFill>
    </fill>
    <fill>
      <patternFill patternType="solid">
        <fgColor rgb="FFF2F2F2"/>
        <bgColor rgb="FFEEEEEE"/>
      </patternFill>
    </fill>
    <fill>
      <patternFill patternType="solid">
        <fgColor rgb="FFB4C7E7"/>
        <bgColor rgb="FFC0C0C0"/>
      </patternFill>
    </fill>
    <fill>
      <patternFill patternType="solid">
        <fgColor rgb="FF10243E"/>
        <bgColor rgb="FF333333"/>
      </patternFill>
    </fill>
    <fill>
      <patternFill patternType="solid">
        <fgColor rgb="FFDAE3F3"/>
        <bgColor rgb="FFDCE6F2"/>
      </patternFill>
    </fill>
    <fill>
      <patternFill patternType="solid">
        <fgColor rgb="FFC0C0C0"/>
        <bgColor rgb="FFB4C7E7"/>
      </patternFill>
    </fill>
    <fill>
      <patternFill patternType="solid">
        <fgColor rgb="FF808080"/>
        <bgColor rgb="FF606060"/>
      </patternFill>
    </fill>
    <fill>
      <patternFill patternType="solid">
        <fgColor rgb="FF95B3D7"/>
        <bgColor rgb="FFB4C7E7"/>
      </patternFill>
    </fill>
    <fill>
      <patternFill patternType="solid">
        <fgColor rgb="FF1F497D"/>
        <bgColor rgb="FF333333"/>
      </patternFill>
    </fill>
  </fills>
  <borders count="78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1F497D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medium"/>
      <bottom style="medium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4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4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4" fillId="0" borderId="0" applyFont="true" applyBorder="false" applyAlignment="true" applyProtection="false">
      <alignment horizontal="general" vertical="bottom" textRotation="0" wrapText="false" indent="0" shrinkToFit="false"/>
    </xf>
    <xf numFmtId="171" fontId="4" fillId="0" borderId="0" applyFont="true" applyBorder="false" applyAlignment="true" applyProtection="false">
      <alignment horizontal="general" vertical="bottom" textRotation="0" wrapText="false" indent="0" shrinkToFit="false"/>
    </xf>
    <xf numFmtId="171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4" fillId="0" borderId="0" applyFont="true" applyBorder="false" applyAlignment="true" applyProtection="false">
      <alignment horizontal="general" vertical="bottom" textRotation="0" wrapText="false" indent="0" shrinkToFit="false"/>
    </xf>
    <xf numFmtId="171" fontId="4" fillId="0" borderId="0" applyFont="true" applyBorder="false" applyAlignment="true" applyProtection="false">
      <alignment horizontal="general" vertical="bottom" textRotation="0" wrapText="false" indent="0" shrinkToFit="false"/>
    </xf>
    <xf numFmtId="170" fontId="4" fillId="0" borderId="0" applyFont="true" applyBorder="false" applyAlignment="true" applyProtection="false">
      <alignment horizontal="general" vertical="bottom" textRotation="0" wrapText="false" indent="0" shrinkToFit="false"/>
    </xf>
    <xf numFmtId="170" fontId="4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7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1" applyFont="true" applyBorder="true" applyAlignment="true" applyProtection="false">
      <alignment horizontal="general" vertical="bottom" textRotation="0" wrapText="false" indent="0" shrinkToFit="false"/>
    </xf>
    <xf numFmtId="164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1" fontId="7" fillId="0" borderId="0" applyFont="true" applyBorder="false" applyAlignment="true" applyProtection="false">
      <alignment horizontal="general" vertical="bottom" textRotation="0" wrapText="false" indent="0" shrinkToFit="false"/>
    </xf>
    <xf numFmtId="171" fontId="10" fillId="0" borderId="0" applyFont="true" applyBorder="false" applyAlignment="true" applyProtection="false">
      <alignment horizontal="general" vertical="bottom" textRotation="0" wrapText="false" indent="0" shrinkToFit="false"/>
    </xf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170" fontId="4" fillId="0" borderId="0" applyFont="true" applyBorder="false" applyAlignment="true" applyProtection="false">
      <alignment horizontal="general" vertical="bottom" textRotation="0" wrapText="false" indent="0" shrinkToFit="false"/>
    </xf>
    <xf numFmtId="179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3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3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5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5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6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7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8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9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0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1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5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2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6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3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7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3" fillId="0" borderId="1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3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5" xfId="8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0" fillId="6" borderId="5" xfId="8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5" xfId="8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1" fillId="7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5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4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5" borderId="15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5" borderId="16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5" borderId="17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5" borderId="15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6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5" borderId="18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9" fillId="5" borderId="18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5" borderId="15" xfId="3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3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3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3" fillId="2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9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3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5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3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5" xfId="3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5" xfId="3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5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0" xfId="5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5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5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8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8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5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8" borderId="0" xfId="5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0" fillId="8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9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9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9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9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9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3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9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9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9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8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37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3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0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9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3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3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3" fillId="0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9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9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7" fillId="12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7" fillId="8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3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5" fontId="1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8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1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8" borderId="3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4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4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7" fillId="8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9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9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8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5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8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9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1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42" fillId="11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1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2" fillId="1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43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4" fillId="8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5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6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9" borderId="26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75" fontId="42" fillId="8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42" fillId="1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4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2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9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11" borderId="2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2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5" fontId="11" fillId="0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5" fontId="11" fillId="0" borderId="4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8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1" fillId="0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5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1" fillId="2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1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4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1" fillId="8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5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5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8" borderId="5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1" fillId="8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1" fillId="7" borderId="1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5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5" fontId="11" fillId="8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5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59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2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5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2" borderId="5" xfId="5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1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5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7" fillId="2" borderId="5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11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5" xfId="3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5" xfId="3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1" fillId="2" borderId="5" xfId="9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7" fontId="11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5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2" fillId="9" borderId="5" xfId="3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2" fillId="9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5" xfId="3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5" xfId="3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7" fontId="53" fillId="0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34" fillId="14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80" fontId="34" fillId="0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34" fillId="0" borderId="5" xfId="3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9" borderId="5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9" borderId="5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3" fillId="0" borderId="5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0" borderId="5" xfId="3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8" borderId="26" xfId="3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2" fillId="0" borderId="6" xfId="3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0" borderId="60" xfId="3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61" xfId="3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3" xfId="3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47" xfId="3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4" fillId="0" borderId="41" xfId="3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62" xfId="3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63" xfId="3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8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7" fontId="13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7" fillId="8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57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5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3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3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59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2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41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9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57" fillId="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1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1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41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61" fillId="0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16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61" fillId="15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7" borderId="54" xfId="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8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5" xfId="8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8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8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8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7" fillId="18" borderId="6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17" fillId="18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1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3" fillId="2" borderId="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0" borderId="5" xfId="3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0" xfId="17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8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8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8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7" fillId="8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4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9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7" fillId="19" borderId="5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6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5" fontId="17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9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7" fillId="19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11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8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1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5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1" fillId="8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8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8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9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11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8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19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9" borderId="6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9" borderId="6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3" fillId="9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8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21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6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7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4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4" fontId="13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13" fillId="0" borderId="5" xfId="1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3" fillId="8" borderId="1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9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9" fillId="9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3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9" borderId="7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9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8" borderId="7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7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7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9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7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9" fillId="9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9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7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3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3" fillId="0" borderId="5" xfId="1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9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3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9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9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9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6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1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3" fillId="0" borderId="7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9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42" fillId="9" borderId="7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9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3" fillId="9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3" fillId="0" borderId="5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9" borderId="6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9" borderId="6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8" fillId="9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8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21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8" borderId="6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8" borderId="7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1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2" fontId="5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7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0" borderId="5" xfId="1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5" fillId="8" borderId="1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9" fillId="9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69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5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9" borderId="7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69" fillId="9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8" borderId="7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7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1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9" borderId="7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9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69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9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9" borderId="7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9" fillId="9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2" fillId="9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73" fillId="9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73" fillId="9" borderId="7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73" fillId="9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73" fillId="9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9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9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9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9" borderId="6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9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5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4" xfId="5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1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9" borderId="66" xfId="5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0" xfId="5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1" fillId="8" borderId="26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7" fillId="8" borderId="30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4" fillId="8" borderId="77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0" borderId="53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52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5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8" borderId="4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8" borderId="30" xfId="5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4" fillId="8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5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19" borderId="32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19" borderId="53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64" fillId="19" borderId="53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64" fillId="19" borderId="52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9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0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3" fillId="0" borderId="40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3" fillId="8" borderId="40" xfId="9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3" fillId="8" borderId="41" xfId="9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1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35" fillId="0" borderId="5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3" fillId="8" borderId="5" xfId="9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3" fillId="8" borderId="14" xfId="9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7" fillId="0" borderId="11" xfId="5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57" fillId="0" borderId="5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9" fillId="8" borderId="5" xfId="9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9" fillId="8" borderId="14" xfId="9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7" fillId="9" borderId="11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9" borderId="5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7" fillId="9" borderId="14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1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5" xfId="5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5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3" fillId="0" borderId="5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13" fillId="0" borderId="5" xfId="5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14" xfId="5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14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7" fillId="0" borderId="11" xfId="5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5" fontId="57" fillId="0" borderId="5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5" fontId="57" fillId="0" borderId="14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7" fillId="9" borderId="5" xfId="5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7" fontId="57" fillId="9" borderId="5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5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7" fontId="13" fillId="0" borderId="5" xfId="5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3" fillId="8" borderId="5" xfId="5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3" fillId="8" borderId="14" xfId="5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7" fillId="0" borderId="11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5" xfId="5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7" fontId="57" fillId="0" borderId="5" xfId="5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57" fillId="8" borderId="5" xfId="5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57" fillId="8" borderId="14" xfId="5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8" borderId="11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36" xfId="5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38" xfId="5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57" fillId="0" borderId="38" xfId="5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57" fillId="0" borderId="37" xfId="5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7" fillId="9" borderId="26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8" borderId="26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39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40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41" xfId="5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5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5" fillId="8" borderId="5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5" fillId="8" borderId="14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11" xfId="5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5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7" fillId="8" borderId="5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7" fillId="8" borderId="14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6" xfId="5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8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5" fillId="8" borderId="38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35" fillId="8" borderId="37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32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53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7" fillId="9" borderId="53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57" fillId="9" borderId="52" xfId="5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18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0" borderId="12" xfId="3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1" fillId="0" borderId="55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18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18" borderId="5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18" borderId="5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6" fillId="0" borderId="5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75" fillId="0" borderId="5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5" fillId="0" borderId="5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7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40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75" fillId="0" borderId="40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5" fillId="0" borderId="40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78" fillId="0" borderId="5" xfId="55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5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  <cellStyle name="Moeda 2 2" xfId="21" builtinId="53" customBuiltin="true"/>
    <cellStyle name="Moeda 2 3" xfId="22" builtinId="53" customBuiltin="true"/>
    <cellStyle name="Moeda 3" xfId="23" builtinId="53" customBuiltin="true"/>
    <cellStyle name="Moeda 4" xfId="24" builtinId="53" customBuiltin="true"/>
    <cellStyle name="Moeda 4 2" xfId="25" builtinId="53" customBuiltin="true"/>
    <cellStyle name="Moeda 4 3" xfId="26" builtinId="53" customBuiltin="true"/>
    <cellStyle name="Moeda 5" xfId="27" builtinId="53" customBuiltin="true"/>
    <cellStyle name="Moeda 6" xfId="28" builtinId="53" customBuiltin="true"/>
    <cellStyle name="Moeda 7" xfId="29" builtinId="53" customBuiltin="true"/>
    <cellStyle name="Moeda 8" xfId="30" builtinId="53" customBuiltin="true"/>
    <cellStyle name="Normal 12" xfId="31" builtinId="53" customBuiltin="true"/>
    <cellStyle name="Normal 2" xfId="32" builtinId="53" customBuiltin="true"/>
    <cellStyle name="Normal 2 2" xfId="33" builtinId="53" customBuiltin="true"/>
    <cellStyle name="Normal 2 2 2" xfId="34" builtinId="53" customBuiltin="true"/>
    <cellStyle name="Normal 2 3" xfId="35" builtinId="53" customBuiltin="true"/>
    <cellStyle name="Normal 2 3 2" xfId="36" builtinId="53" customBuiltin="true"/>
    <cellStyle name="Normal 2 3 2 2" xfId="37" builtinId="53" customBuiltin="true"/>
    <cellStyle name="Normal 2 3 3" xfId="38" builtinId="53" customBuiltin="true"/>
    <cellStyle name="Normal 2 3 3 2" xfId="39" builtinId="53" customBuiltin="true"/>
    <cellStyle name="Normal 2 3 4" xfId="40" builtinId="53" customBuiltin="true"/>
    <cellStyle name="Normal 3" xfId="41" builtinId="53" customBuiltin="true"/>
    <cellStyle name="Normal 3 2" xfId="42" builtinId="53" customBuiltin="true"/>
    <cellStyle name="Normal 3 3" xfId="43" builtinId="53" customBuiltin="true"/>
    <cellStyle name="Normal 4" xfId="44" builtinId="53" customBuiltin="true"/>
    <cellStyle name="Normal 4 2" xfId="45" builtinId="53" customBuiltin="true"/>
    <cellStyle name="Normal 5" xfId="46" builtinId="53" customBuiltin="true"/>
    <cellStyle name="Normal 5 2" xfId="47" builtinId="53" customBuiltin="true"/>
    <cellStyle name="Normal 6" xfId="48" builtinId="53" customBuiltin="true"/>
    <cellStyle name="Normal 6 2" xfId="49" builtinId="53" customBuiltin="true"/>
    <cellStyle name="Normal 7" xfId="50" builtinId="53" customBuiltin="true"/>
    <cellStyle name="Normal 7 2" xfId="51" builtinId="53" customBuiltin="true"/>
    <cellStyle name="Normal 8" xfId="52" builtinId="53" customBuiltin="true"/>
    <cellStyle name="Normal 9" xfId="53" builtinId="53" customBuiltin="true"/>
    <cellStyle name="Normal_Plan1" xfId="54" builtinId="53" customBuiltin="true"/>
    <cellStyle name="Porcentagem 12" xfId="55" builtinId="53" customBuiltin="true"/>
    <cellStyle name="Porcentagem 2" xfId="56" builtinId="53" customBuiltin="true"/>
    <cellStyle name="Porcentagem 2 2" xfId="57" builtinId="53" customBuiltin="true"/>
    <cellStyle name="Porcentagem 3" xfId="58" builtinId="53" customBuiltin="true"/>
    <cellStyle name="Porcentagem 4" xfId="59" builtinId="53" customBuiltin="true"/>
    <cellStyle name="Porcentagem 4 2" xfId="60" builtinId="53" customBuiltin="true"/>
    <cellStyle name="Porcentagem 4 3" xfId="61" builtinId="53" customBuiltin="true"/>
    <cellStyle name="Porcentagem 4 4" xfId="62" builtinId="53" customBuiltin="true"/>
    <cellStyle name="Porcentagem 5" xfId="63" builtinId="53" customBuiltin="true"/>
    <cellStyle name="Porcentagem 6" xfId="64" builtinId="53" customBuiltin="true"/>
    <cellStyle name="Porcentagem 7" xfId="65" builtinId="53" customBuiltin="true"/>
    <cellStyle name="Porcentagem 8" xfId="66" builtinId="53" customBuiltin="true"/>
    <cellStyle name="Porcentagem 9" xfId="67" builtinId="53" customBuiltin="true"/>
    <cellStyle name="Separador de milhares 2" xfId="68" builtinId="53" customBuiltin="true"/>
    <cellStyle name="Separador de milhares 2 2" xfId="69" builtinId="53" customBuiltin="true"/>
    <cellStyle name="Separador de milhares 2 2 2" xfId="70" builtinId="53" customBuiltin="true"/>
    <cellStyle name="Separador de milhares 2 3" xfId="71" builtinId="53" customBuiltin="true"/>
    <cellStyle name="Separador de milhares 2 4" xfId="72" builtinId="53" customBuiltin="true"/>
    <cellStyle name="Separador de milhares 3" xfId="73" builtinId="53" customBuiltin="true"/>
    <cellStyle name="Separador de milhares 3 2" xfId="74" builtinId="53" customBuiltin="true"/>
    <cellStyle name="Separador de milhares 3 3" xfId="75" builtinId="53" customBuiltin="true"/>
    <cellStyle name="Separador de milhares 4" xfId="76" builtinId="53" customBuiltin="true"/>
    <cellStyle name="Separador de milhares 4 2" xfId="77" builtinId="53" customBuiltin="true"/>
    <cellStyle name="Separador de milhares 4 3" xfId="78" builtinId="53" customBuiltin="true"/>
    <cellStyle name="Separador de milhares 4 4" xfId="79" builtinId="53" customBuiltin="true"/>
    <cellStyle name="Separador de milhares 5" xfId="80" builtinId="53" customBuiltin="true"/>
    <cellStyle name="Separador de milhares 5 2" xfId="81" builtinId="53" customBuiltin="true"/>
    <cellStyle name="Separador de milhares 6" xfId="82" builtinId="53" customBuiltin="true"/>
    <cellStyle name="Separador de milhares 7" xfId="83" builtinId="53" customBuiltin="true"/>
    <cellStyle name="Separador de milhares 8" xfId="84" builtinId="53" customBuiltin="true"/>
    <cellStyle name="Separador de milhares 9" xfId="85" builtinId="53" customBuiltin="true"/>
    <cellStyle name="Separador de milhares 9 2" xfId="86" builtinId="53" customBuiltin="true"/>
    <cellStyle name="Texto Explicativo 2" xfId="87" builtinId="53" customBuiltin="true"/>
    <cellStyle name="Texto Explicativo 2 2" xfId="88" builtinId="53" customBuiltin="true"/>
    <cellStyle name="Texto Explicativo 4" xfId="89" builtinId="53" customBuiltin="true"/>
    <cellStyle name="Título 1 1" xfId="90" builtinId="53" customBuiltin="true"/>
    <cellStyle name="Título 1 1 2" xfId="91" builtinId="53" customBuiltin="true"/>
    <cellStyle name="Vírgula 2" xfId="92" builtinId="53" customBuiltin="true"/>
    <cellStyle name="Vírgula 2 2" xfId="93" builtinId="53" customBuiltin="true"/>
    <cellStyle name="Vírgula 2 3" xfId="94" builtinId="53" customBuiltin="true"/>
    <cellStyle name="Vírgula 2 4" xfId="95" builtinId="53" customBuiltin="true"/>
    <cellStyle name="Vírgula 3" xfId="96" builtinId="53" customBuiltin="true"/>
    <cellStyle name="Vírgula 4" xfId="97" builtinId="53" customBuiltin="true"/>
    <cellStyle name="Excel Built-in Explanatory Text" xfId="98" builtinId="53" customBuiltin="true"/>
  </cellStyles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DDDDDD"/>
      <rgbColor rgb="FF993366"/>
      <rgbColor rgb="FFFFFFCC"/>
      <rgbColor rgb="FFA9F9F5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B0F0"/>
      <rgbColor rgb="FFDCE6F2"/>
      <rgbColor rgb="FFEEEEEE"/>
      <rgbColor rgb="FFFFFF99"/>
      <rgbColor rgb="FF95B3D7"/>
      <rgbColor rgb="FFF2DCDB"/>
      <rgbColor rgb="FFD9D9D9"/>
      <rgbColor rgb="FFF8CBAD"/>
      <rgbColor rgb="FF3366FF"/>
      <rgbColor rgb="FF33CCCC"/>
      <rgbColor rgb="FF99CC00"/>
      <rgbColor rgb="FFFFCC00"/>
      <rgbColor rgb="FFFF9900"/>
      <rgbColor rgb="FFFF6600"/>
      <rgbColor rgb="FF606060"/>
      <rgbColor rgb="FFDAE3F3"/>
      <rgbColor rgb="FF10243E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0</xdr:row>
      <xdr:rowOff>9360</xdr:rowOff>
    </xdr:from>
    <xdr:to>
      <xdr:col>0</xdr:col>
      <xdr:colOff>399240</xdr:colOff>
      <xdr:row>2</xdr:row>
      <xdr:rowOff>182160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8440" y="9360"/>
          <a:ext cx="370800" cy="55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571680</xdr:colOff>
      <xdr:row>2</xdr:row>
      <xdr:rowOff>135360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146880" y="47520"/>
          <a:ext cx="424800" cy="411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571680</xdr:colOff>
      <xdr:row>2</xdr:row>
      <xdr:rowOff>135360</xdr:rowOff>
    </xdr:to>
    <xdr:pic>
      <xdr:nvPicPr>
        <xdr:cNvPr id="12" name="Picture 1" descr=""/>
        <xdr:cNvPicPr/>
      </xdr:nvPicPr>
      <xdr:blipFill>
        <a:blip r:embed="rId1"/>
        <a:stretch/>
      </xdr:blipFill>
      <xdr:spPr>
        <a:xfrm>
          <a:off x="146880" y="47520"/>
          <a:ext cx="424800" cy="411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570600</xdr:colOff>
      <xdr:row>2</xdr:row>
      <xdr:rowOff>135360</xdr:rowOff>
    </xdr:to>
    <xdr:pic>
      <xdr:nvPicPr>
        <xdr:cNvPr id="14" name="Picture 1" descr=""/>
        <xdr:cNvPicPr/>
      </xdr:nvPicPr>
      <xdr:blipFill>
        <a:blip r:embed="rId1"/>
        <a:stretch/>
      </xdr:blipFill>
      <xdr:spPr>
        <a:xfrm>
          <a:off x="146880" y="47520"/>
          <a:ext cx="423720" cy="411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15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57240</xdr:rowOff>
    </xdr:from>
    <xdr:to>
      <xdr:col>0</xdr:col>
      <xdr:colOff>399600</xdr:colOff>
      <xdr:row>2</xdr:row>
      <xdr:rowOff>28080</xdr:rowOff>
    </xdr:to>
    <xdr:pic>
      <xdr:nvPicPr>
        <xdr:cNvPr id="16" name="Picture 1" descr=""/>
        <xdr:cNvPicPr/>
      </xdr:nvPicPr>
      <xdr:blipFill>
        <a:blip r:embed="rId1"/>
        <a:stretch/>
      </xdr:blipFill>
      <xdr:spPr>
        <a:xfrm>
          <a:off x="95400" y="57240"/>
          <a:ext cx="304200" cy="294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47520</xdr:rowOff>
    </xdr:from>
    <xdr:to>
      <xdr:col>0</xdr:col>
      <xdr:colOff>551520</xdr:colOff>
      <xdr:row>2</xdr:row>
      <xdr:rowOff>168840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38160" y="47520"/>
          <a:ext cx="513360" cy="50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59400</xdr:rowOff>
    </xdr:from>
    <xdr:to>
      <xdr:col>0</xdr:col>
      <xdr:colOff>447120</xdr:colOff>
      <xdr:row>2</xdr:row>
      <xdr:rowOff>94680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95400" y="59400"/>
          <a:ext cx="351720" cy="35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338760</xdr:colOff>
      <xdr:row>0</xdr:row>
      <xdr:rowOff>95400</xdr:rowOff>
    </xdr:from>
    <xdr:to>
      <xdr:col>0</xdr:col>
      <xdr:colOff>780120</xdr:colOff>
      <xdr:row>2</xdr:row>
      <xdr:rowOff>123120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338760" y="95400"/>
          <a:ext cx="441360" cy="446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372960</xdr:colOff>
      <xdr:row>0</xdr:row>
      <xdr:rowOff>45000</xdr:rowOff>
    </xdr:from>
    <xdr:to>
      <xdr:col>0</xdr:col>
      <xdr:colOff>837000</xdr:colOff>
      <xdr:row>2</xdr:row>
      <xdr:rowOff>213120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372960" y="45000"/>
          <a:ext cx="464040" cy="491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6" name="Picture 1_0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575280</xdr:colOff>
      <xdr:row>2</xdr:row>
      <xdr:rowOff>139320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146880" y="47520"/>
          <a:ext cx="428400" cy="415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146880</xdr:colOff>
      <xdr:row>0</xdr:row>
      <xdr:rowOff>47520</xdr:rowOff>
    </xdr:from>
    <xdr:to>
      <xdr:col>0</xdr:col>
      <xdr:colOff>571680</xdr:colOff>
      <xdr:row>2</xdr:row>
      <xdr:rowOff>135360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146880" y="47520"/>
          <a:ext cx="424800" cy="411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15" zoomScalePageLayoutView="100" workbookViewId="0">
      <selection pane="topLeft" activeCell="I125" activeCellId="0" sqref="I125"/>
    </sheetView>
  </sheetViews>
  <sheetFormatPr defaultRowHeight="15" zeroHeight="false" outlineLevelRow="0" outlineLevelCol="0"/>
  <cols>
    <col collapsed="false" customWidth="true" hidden="false" outlineLevel="0" max="1" min="1" style="1" width="7.32"/>
    <col collapsed="false" customWidth="true" hidden="false" outlineLevel="0" max="2" min="2" style="1" width="48.32"/>
    <col collapsed="false" customWidth="true" hidden="false" outlineLevel="0" max="3" min="3" style="1" width="9.16"/>
    <col collapsed="false" customWidth="true" hidden="false" outlineLevel="0" max="4" min="4" style="1" width="19"/>
    <col collapsed="false" customWidth="true" hidden="false" outlineLevel="0" max="5" min="5" style="1" width="15.01"/>
    <col collapsed="false" customWidth="true" hidden="false" outlineLevel="0" max="8" min="6" style="1" width="19"/>
    <col collapsed="false" customWidth="true" hidden="false" outlineLevel="0" max="9" min="9" style="1" width="15.51"/>
    <col collapsed="false" customWidth="true" hidden="false" outlineLevel="0" max="11" min="10" style="1" width="19"/>
    <col collapsed="false" customWidth="true" hidden="false" outlineLevel="0" max="14" min="12" style="2" width="16.16"/>
    <col collapsed="false" customWidth="true" hidden="false" outlineLevel="0" max="15" min="15" style="2" width="15.16"/>
    <col collapsed="false" customWidth="true" hidden="false" outlineLevel="0" max="16" min="16" style="1" width="15.82"/>
    <col collapsed="false" customWidth="true" hidden="false" outlineLevel="0" max="17" min="17" style="1" width="18.33"/>
    <col collapsed="false" customWidth="true" hidden="false" outlineLevel="0" max="18" min="18" style="1" width="16.49"/>
    <col collapsed="false" customWidth="true" hidden="false" outlineLevel="0" max="19" min="19" style="1" width="14"/>
    <col collapsed="false" customWidth="true" hidden="false" outlineLevel="0" max="20" min="20" style="3" width="15.16"/>
    <col collapsed="false" customWidth="true" hidden="false" outlineLevel="0" max="21" min="21" style="3" width="13.83"/>
    <col collapsed="false" customWidth="true" hidden="false" outlineLevel="0" max="22" min="22" style="3" width="18.66"/>
    <col collapsed="false" customWidth="true" hidden="false" outlineLevel="0" max="23" min="23" style="3" width="14.33"/>
    <col collapsed="false" customWidth="true" hidden="false" outlineLevel="0" max="25" min="24" style="3" width="12.33"/>
    <col collapsed="false" customWidth="true" hidden="false" outlineLevel="0" max="258" min="26" style="1" width="9.33"/>
    <col collapsed="false" customWidth="true" hidden="false" outlineLevel="0" max="259" min="259" style="1" width="7.32"/>
    <col collapsed="false" customWidth="true" hidden="false" outlineLevel="0" max="260" min="260" style="1" width="48.32"/>
    <col collapsed="false" customWidth="true" hidden="false" outlineLevel="0" max="261" min="261" style="1" width="9.16"/>
    <col collapsed="false" customWidth="true" hidden="false" outlineLevel="0" max="262" min="262" style="1" width="19"/>
    <col collapsed="false" customWidth="true" hidden="false" outlineLevel="0" max="263" min="263" style="1" width="15.01"/>
    <col collapsed="false" customWidth="true" hidden="false" outlineLevel="0" max="265" min="264" style="1" width="19"/>
    <col collapsed="false" customWidth="true" hidden="false" outlineLevel="0" max="266" min="266" style="1" width="15.51"/>
    <col collapsed="false" customWidth="true" hidden="false" outlineLevel="0" max="268" min="267" style="1" width="19"/>
    <col collapsed="false" customWidth="true" hidden="false" outlineLevel="0" max="270" min="269" style="1" width="16.16"/>
    <col collapsed="false" customWidth="true" hidden="false" outlineLevel="0" max="271" min="271" style="1" width="15.16"/>
    <col collapsed="false" customWidth="true" hidden="false" outlineLevel="0" max="272" min="272" style="1" width="15.82"/>
    <col collapsed="false" customWidth="true" hidden="false" outlineLevel="0" max="273" min="273" style="1" width="15.01"/>
    <col collapsed="false" customWidth="true" hidden="false" outlineLevel="0" max="274" min="274" style="1" width="16.49"/>
    <col collapsed="false" customWidth="true" hidden="false" outlineLevel="0" max="275" min="275" style="1" width="14"/>
    <col collapsed="false" customWidth="true" hidden="false" outlineLevel="0" max="276" min="276" style="1" width="15.16"/>
    <col collapsed="false" customWidth="true" hidden="false" outlineLevel="0" max="277" min="277" style="1" width="13.83"/>
    <col collapsed="false" customWidth="true" hidden="false" outlineLevel="0" max="278" min="278" style="1" width="15.51"/>
    <col collapsed="false" customWidth="true" hidden="false" outlineLevel="0" max="279" min="279" style="1" width="14.33"/>
    <col collapsed="false" customWidth="true" hidden="false" outlineLevel="0" max="281" min="280" style="1" width="12.33"/>
    <col collapsed="false" customWidth="true" hidden="false" outlineLevel="0" max="514" min="282" style="1" width="9.33"/>
    <col collapsed="false" customWidth="true" hidden="false" outlineLevel="0" max="515" min="515" style="1" width="7.32"/>
    <col collapsed="false" customWidth="true" hidden="false" outlineLevel="0" max="516" min="516" style="1" width="48.32"/>
    <col collapsed="false" customWidth="true" hidden="false" outlineLevel="0" max="517" min="517" style="1" width="9.16"/>
    <col collapsed="false" customWidth="true" hidden="false" outlineLevel="0" max="518" min="518" style="1" width="19"/>
    <col collapsed="false" customWidth="true" hidden="false" outlineLevel="0" max="519" min="519" style="1" width="15.01"/>
    <col collapsed="false" customWidth="true" hidden="false" outlineLevel="0" max="521" min="520" style="1" width="19"/>
    <col collapsed="false" customWidth="true" hidden="false" outlineLevel="0" max="522" min="522" style="1" width="15.51"/>
    <col collapsed="false" customWidth="true" hidden="false" outlineLevel="0" max="524" min="523" style="1" width="19"/>
    <col collapsed="false" customWidth="true" hidden="false" outlineLevel="0" max="526" min="525" style="1" width="16.16"/>
    <col collapsed="false" customWidth="true" hidden="false" outlineLevel="0" max="527" min="527" style="1" width="15.16"/>
    <col collapsed="false" customWidth="true" hidden="false" outlineLevel="0" max="528" min="528" style="1" width="15.82"/>
    <col collapsed="false" customWidth="true" hidden="false" outlineLevel="0" max="529" min="529" style="1" width="15.01"/>
    <col collapsed="false" customWidth="true" hidden="false" outlineLevel="0" max="530" min="530" style="1" width="16.49"/>
    <col collapsed="false" customWidth="true" hidden="false" outlineLevel="0" max="531" min="531" style="1" width="14"/>
    <col collapsed="false" customWidth="true" hidden="false" outlineLevel="0" max="532" min="532" style="1" width="15.16"/>
    <col collapsed="false" customWidth="true" hidden="false" outlineLevel="0" max="533" min="533" style="1" width="13.83"/>
    <col collapsed="false" customWidth="true" hidden="false" outlineLevel="0" max="534" min="534" style="1" width="15.51"/>
    <col collapsed="false" customWidth="true" hidden="false" outlineLevel="0" max="535" min="535" style="1" width="14.33"/>
    <col collapsed="false" customWidth="true" hidden="false" outlineLevel="0" max="537" min="536" style="1" width="12.33"/>
    <col collapsed="false" customWidth="true" hidden="false" outlineLevel="0" max="770" min="538" style="1" width="9.33"/>
    <col collapsed="false" customWidth="true" hidden="false" outlineLevel="0" max="771" min="771" style="1" width="7.32"/>
    <col collapsed="false" customWidth="true" hidden="false" outlineLevel="0" max="772" min="772" style="1" width="48.32"/>
    <col collapsed="false" customWidth="true" hidden="false" outlineLevel="0" max="773" min="773" style="1" width="9.16"/>
    <col collapsed="false" customWidth="true" hidden="false" outlineLevel="0" max="774" min="774" style="1" width="19"/>
    <col collapsed="false" customWidth="true" hidden="false" outlineLevel="0" max="775" min="775" style="1" width="15.01"/>
    <col collapsed="false" customWidth="true" hidden="false" outlineLevel="0" max="777" min="776" style="1" width="19"/>
    <col collapsed="false" customWidth="true" hidden="false" outlineLevel="0" max="778" min="778" style="1" width="15.51"/>
    <col collapsed="false" customWidth="true" hidden="false" outlineLevel="0" max="780" min="779" style="1" width="19"/>
    <col collapsed="false" customWidth="true" hidden="false" outlineLevel="0" max="782" min="781" style="1" width="16.16"/>
    <col collapsed="false" customWidth="true" hidden="false" outlineLevel="0" max="783" min="783" style="1" width="15.16"/>
    <col collapsed="false" customWidth="true" hidden="false" outlineLevel="0" max="784" min="784" style="1" width="15.82"/>
    <col collapsed="false" customWidth="true" hidden="false" outlineLevel="0" max="785" min="785" style="1" width="15.01"/>
    <col collapsed="false" customWidth="true" hidden="false" outlineLevel="0" max="786" min="786" style="1" width="16.49"/>
    <col collapsed="false" customWidth="true" hidden="false" outlineLevel="0" max="787" min="787" style="1" width="14"/>
    <col collapsed="false" customWidth="true" hidden="false" outlineLevel="0" max="788" min="788" style="1" width="15.16"/>
    <col collapsed="false" customWidth="true" hidden="false" outlineLevel="0" max="789" min="789" style="1" width="13.83"/>
    <col collapsed="false" customWidth="true" hidden="false" outlineLevel="0" max="790" min="790" style="1" width="15.51"/>
    <col collapsed="false" customWidth="true" hidden="false" outlineLevel="0" max="791" min="791" style="1" width="14.33"/>
    <col collapsed="false" customWidth="true" hidden="false" outlineLevel="0" max="793" min="792" style="1" width="12.33"/>
    <col collapsed="false" customWidth="true" hidden="false" outlineLevel="0" max="1025" min="794" style="1" width="9.33"/>
  </cols>
  <sheetData>
    <row r="1" customFormat="false" ht="15" hidden="false" customHeight="false" outlineLevel="0" collapsed="false">
      <c r="A1" s="4"/>
      <c r="B1" s="5" t="s">
        <v>0</v>
      </c>
      <c r="C1" s="6"/>
      <c r="D1" s="6"/>
      <c r="E1" s="6"/>
      <c r="F1" s="6"/>
      <c r="G1" s="6"/>
      <c r="H1" s="6"/>
      <c r="I1" s="7"/>
      <c r="J1" s="7"/>
      <c r="K1" s="7"/>
    </row>
    <row r="2" customFormat="false" ht="15" hidden="false" customHeight="false" outlineLevel="0" collapsed="false">
      <c r="A2" s="8"/>
      <c r="B2" s="9" t="s">
        <v>1</v>
      </c>
      <c r="C2" s="10"/>
      <c r="D2" s="10"/>
      <c r="E2" s="10"/>
      <c r="F2" s="10"/>
      <c r="G2" s="10"/>
      <c r="H2" s="10"/>
    </row>
    <row r="3" customFormat="false" ht="15" hidden="false" customHeight="false" outlineLevel="0" collapsed="false">
      <c r="A3" s="8"/>
      <c r="B3" s="9" t="s">
        <v>2</v>
      </c>
      <c r="C3" s="10"/>
      <c r="D3" s="10"/>
      <c r="E3" s="10"/>
      <c r="F3" s="10"/>
      <c r="G3" s="10"/>
      <c r="H3" s="10"/>
    </row>
    <row r="4" s="13" customFormat="true" ht="23.25" hidden="false" customHeight="true" outlineLevel="0" collapsed="false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</row>
    <row r="5" s="13" customFormat="true" ht="18.75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2"/>
    </row>
    <row r="6" s="13" customFormat="true" ht="9.75" hidden="false" customHeight="tru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T6" s="12"/>
      <c r="U6" s="12"/>
      <c r="V6" s="12"/>
      <c r="W6" s="12"/>
      <c r="X6" s="12"/>
      <c r="Y6" s="12"/>
    </row>
    <row r="7" s="13" customFormat="true" ht="30.75" hidden="true" customHeight="true" outlineLevel="0" collapsed="false">
      <c r="A7" s="16" t="s">
        <v>5</v>
      </c>
      <c r="B7" s="16"/>
      <c r="C7" s="16"/>
      <c r="D7" s="17" t="s">
        <v>6</v>
      </c>
      <c r="E7" s="17"/>
      <c r="F7" s="18"/>
      <c r="G7" s="18"/>
      <c r="H7" s="18"/>
      <c r="I7" s="18"/>
      <c r="J7" s="18"/>
      <c r="K7" s="14"/>
      <c r="L7" s="14"/>
      <c r="M7" s="14"/>
      <c r="N7" s="14"/>
      <c r="O7" s="14"/>
      <c r="P7" s="14"/>
      <c r="Q7" s="15"/>
      <c r="T7" s="12"/>
      <c r="U7" s="12"/>
      <c r="V7" s="12"/>
      <c r="W7" s="12"/>
      <c r="X7" s="12"/>
      <c r="Y7" s="12"/>
    </row>
    <row r="8" s="13" customFormat="true" ht="30.75" hidden="true" customHeight="true" outlineLevel="0" collapsed="false">
      <c r="A8" s="16" t="s">
        <v>7</v>
      </c>
      <c r="B8" s="16"/>
      <c r="C8" s="16"/>
      <c r="D8" s="17" t="s">
        <v>8</v>
      </c>
      <c r="E8" s="19" t="n">
        <f aca="false">VLOOKUP(D8,B33:C36,2,FALSE())</f>
        <v>30</v>
      </c>
      <c r="F8" s="18" t="str">
        <f aca="false">VLOOKUP(D8,B34:D36,3,FALSE())</f>
        <v>Obs: Desconto atualmente aplicado (30 dias corridos).</v>
      </c>
      <c r="G8" s="18"/>
      <c r="H8" s="18"/>
      <c r="I8" s="18"/>
      <c r="J8" s="18"/>
      <c r="K8" s="14"/>
      <c r="L8" s="14"/>
      <c r="M8" s="14"/>
      <c r="N8" s="14"/>
      <c r="O8" s="14"/>
      <c r="P8" s="14"/>
      <c r="Q8" s="15"/>
      <c r="T8" s="12"/>
      <c r="U8" s="12"/>
      <c r="V8" s="12"/>
      <c r="W8" s="12"/>
      <c r="X8" s="12"/>
      <c r="Y8" s="12"/>
    </row>
    <row r="9" s="13" customFormat="true" ht="9" hidden="true" customHeight="tru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T9" s="12"/>
      <c r="U9" s="12"/>
      <c r="V9" s="12"/>
      <c r="W9" s="12"/>
      <c r="X9" s="12"/>
      <c r="Y9" s="12"/>
    </row>
    <row r="10" s="13" customFormat="true" ht="45" hidden="true" customHeight="true" outlineLevel="0" collapsed="false">
      <c r="A10" s="20" t="s">
        <v>9</v>
      </c>
      <c r="B10" s="20"/>
      <c r="C10" s="20"/>
      <c r="D10" s="21" t="s">
        <v>10</v>
      </c>
      <c r="E10" s="21" t="s">
        <v>11</v>
      </c>
      <c r="F10" s="21" t="s">
        <v>12</v>
      </c>
      <c r="G10" s="21" t="s">
        <v>13</v>
      </c>
      <c r="H10" s="21" t="s">
        <v>14</v>
      </c>
      <c r="I10" s="21" t="s">
        <v>15</v>
      </c>
      <c r="J10" s="21" t="s">
        <v>16</v>
      </c>
      <c r="K10" s="21" t="s">
        <v>17</v>
      </c>
      <c r="L10" s="21" t="s">
        <v>18</v>
      </c>
      <c r="M10" s="21" t="s">
        <v>19</v>
      </c>
      <c r="N10" s="21" t="s">
        <v>20</v>
      </c>
      <c r="O10" s="21" t="s">
        <v>21</v>
      </c>
      <c r="P10" s="21" t="s">
        <v>22</v>
      </c>
      <c r="Q10" s="21" t="s">
        <v>23</v>
      </c>
      <c r="R10" s="22" t="s">
        <v>24</v>
      </c>
      <c r="S10" s="23" t="s">
        <v>25</v>
      </c>
      <c r="T10" s="24" t="s">
        <v>26</v>
      </c>
      <c r="U10" s="24"/>
      <c r="V10" s="24"/>
      <c r="W10" s="24"/>
    </row>
    <row r="11" s="13" customFormat="true" ht="45" hidden="true" customHeight="true" outlineLevel="0" collapsed="false">
      <c r="A11" s="20"/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3"/>
      <c r="T11" s="24"/>
      <c r="U11" s="24"/>
      <c r="V11" s="24"/>
      <c r="W11" s="24"/>
    </row>
    <row r="12" s="13" customFormat="true" ht="47.25" hidden="true" customHeight="true" outlineLevel="0" collapsed="false">
      <c r="A12" s="20"/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23"/>
      <c r="T12" s="24"/>
      <c r="U12" s="24"/>
      <c r="V12" s="24"/>
      <c r="W12" s="24"/>
    </row>
    <row r="13" s="13" customFormat="true" ht="69" hidden="true" customHeight="true" outlineLevel="0" collapsed="false">
      <c r="A13" s="25" t="s">
        <v>27</v>
      </c>
      <c r="B13" s="26" t="s">
        <v>28</v>
      </c>
      <c r="C13" s="26" t="s">
        <v>29</v>
      </c>
      <c r="D13" s="26" t="s">
        <v>30</v>
      </c>
      <c r="E13" s="26" t="s">
        <v>31</v>
      </c>
      <c r="F13" s="26" t="s">
        <v>32</v>
      </c>
      <c r="G13" s="26" t="s">
        <v>33</v>
      </c>
      <c r="H13" s="26" t="s">
        <v>34</v>
      </c>
      <c r="I13" s="26" t="s">
        <v>35</v>
      </c>
      <c r="J13" s="26" t="s">
        <v>36</v>
      </c>
      <c r="K13" s="26" t="s">
        <v>36</v>
      </c>
      <c r="L13" s="26" t="s">
        <v>37</v>
      </c>
      <c r="M13" s="26" t="s">
        <v>38</v>
      </c>
      <c r="N13" s="26" t="s">
        <v>39</v>
      </c>
      <c r="O13" s="26" t="s">
        <v>40</v>
      </c>
      <c r="P13" s="26" t="s">
        <v>41</v>
      </c>
      <c r="Q13" s="26" t="s">
        <v>42</v>
      </c>
      <c r="R13" s="27" t="s">
        <v>43</v>
      </c>
      <c r="S13" s="28" t="s">
        <v>44</v>
      </c>
      <c r="T13" s="29" t="s">
        <v>45</v>
      </c>
      <c r="U13" s="28" t="s">
        <v>46</v>
      </c>
      <c r="V13" s="30" t="s">
        <v>47</v>
      </c>
      <c r="W13" s="29" t="s">
        <v>48</v>
      </c>
    </row>
    <row r="14" s="13" customFormat="true" ht="18" hidden="true" customHeight="true" outlineLevel="0" collapsed="false">
      <c r="A14" s="31" t="n">
        <f aca="false">Dados!D8</f>
        <v>2</v>
      </c>
      <c r="B14" s="32" t="str">
        <f aca="false">Resumo!B11</f>
        <v>Ascensorista</v>
      </c>
      <c r="C14" s="33" t="n">
        <f aca="false">Resumo!C11</f>
        <v>150</v>
      </c>
      <c r="D14" s="34" t="n">
        <v>0</v>
      </c>
      <c r="E14" s="33" t="s">
        <v>49</v>
      </c>
      <c r="F14" s="33" t="n">
        <f aca="false">IF(E14="NÃO",0,D14*Dados!$G$44)</f>
        <v>0</v>
      </c>
      <c r="G14" s="34" t="n">
        <v>0</v>
      </c>
      <c r="H14" s="34" t="n">
        <v>0</v>
      </c>
      <c r="I14" s="35" t="n">
        <v>0</v>
      </c>
      <c r="J14" s="34" t="n">
        <v>0</v>
      </c>
      <c r="K14" s="36" t="n">
        <f aca="false">I14+J14</f>
        <v>0</v>
      </c>
      <c r="L14" s="34" t="n">
        <v>0</v>
      </c>
      <c r="M14" s="34" t="n">
        <v>0</v>
      </c>
      <c r="N14" s="37"/>
      <c r="O14" s="38" t="n">
        <f aca="false">Resumo!S11</f>
        <v>0</v>
      </c>
      <c r="P14" s="37"/>
      <c r="Q14" s="38" t="n">
        <f aca="false">Resumo!T11</f>
        <v>8013.74</v>
      </c>
      <c r="R14" s="37"/>
      <c r="S14" s="31" t="n">
        <v>1</v>
      </c>
      <c r="T14" s="39" t="n">
        <f aca="false">ROUND((Encargos!$H$58*Dados!H8*A14),2)</f>
        <v>940.04</v>
      </c>
      <c r="U14" s="40" t="s">
        <v>50</v>
      </c>
      <c r="V14" s="38" t="n">
        <f aca="false">SUMIF($S$14:$S$24,1,$Q$14:$Q$24)</f>
        <v>1131678.4</v>
      </c>
      <c r="W14" s="39" t="n">
        <f aca="false">SUMIF($S$14:$S$24,1,$T$14:$T$24)</f>
        <v>136305.65</v>
      </c>
    </row>
    <row r="15" s="13" customFormat="true" ht="18" hidden="true" customHeight="true" outlineLevel="0" collapsed="false">
      <c r="A15" s="31" t="n">
        <f aca="false">Dados!D9</f>
        <v>15</v>
      </c>
      <c r="B15" s="32" t="str">
        <f aca="false">Resumo!B12</f>
        <v>Atendente</v>
      </c>
      <c r="C15" s="33" t="n">
        <f aca="false">Resumo!C12</f>
        <v>200</v>
      </c>
      <c r="D15" s="34" t="n">
        <v>0</v>
      </c>
      <c r="E15" s="33" t="s">
        <v>49</v>
      </c>
      <c r="F15" s="33" t="n">
        <f aca="false">IF(E15="NÃO",0,D15*Dados!$G$44)</f>
        <v>0</v>
      </c>
      <c r="G15" s="34" t="n">
        <v>0</v>
      </c>
      <c r="H15" s="34" t="n">
        <v>0</v>
      </c>
      <c r="I15" s="35" t="n">
        <v>0</v>
      </c>
      <c r="J15" s="34" t="n">
        <v>0</v>
      </c>
      <c r="K15" s="36" t="n">
        <f aca="false">I15+J15</f>
        <v>0</v>
      </c>
      <c r="L15" s="34" t="n">
        <v>0</v>
      </c>
      <c r="M15" s="34" t="n">
        <v>0</v>
      </c>
      <c r="N15" s="37"/>
      <c r="O15" s="38" t="n">
        <f aca="false">Resumo!S12</f>
        <v>0</v>
      </c>
      <c r="P15" s="37"/>
      <c r="Q15" s="38" t="n">
        <f aca="false">Resumo!T12</f>
        <v>98247.45</v>
      </c>
      <c r="R15" s="37"/>
      <c r="S15" s="31" t="n">
        <v>1</v>
      </c>
      <c r="T15" s="39" t="n">
        <f aca="false">ROUND((Encargos!$H$58*Dados!H9*A15),2)</f>
        <v>11434.19</v>
      </c>
      <c r="U15" s="40" t="s">
        <v>51</v>
      </c>
      <c r="V15" s="38" t="n">
        <f aca="false">SUMIF($S$14:$S$24,2,$Q$14:$Q$24)</f>
        <v>0</v>
      </c>
      <c r="W15" s="39" t="n">
        <f aca="false">SUMIF($S$14:$S$24,2,$T$14:$T$24)</f>
        <v>0</v>
      </c>
    </row>
    <row r="16" s="13" customFormat="true" ht="18" hidden="true" customHeight="true" outlineLevel="0" collapsed="false">
      <c r="A16" s="31" t="n">
        <f aca="false">Dados!D10</f>
        <v>3</v>
      </c>
      <c r="B16" s="32" t="str">
        <f aca="false">Resumo!B13</f>
        <v>Auxiliar de Almoxarifado</v>
      </c>
      <c r="C16" s="33" t="n">
        <f aca="false">Resumo!C13</f>
        <v>200</v>
      </c>
      <c r="D16" s="34" t="n">
        <v>0</v>
      </c>
      <c r="E16" s="33" t="s">
        <v>49</v>
      </c>
      <c r="F16" s="33" t="n">
        <f aca="false">IF(E16="NÃO",0,D16*Dados!$G$44)</f>
        <v>0</v>
      </c>
      <c r="G16" s="34" t="n">
        <v>0</v>
      </c>
      <c r="H16" s="34" t="n">
        <v>0</v>
      </c>
      <c r="I16" s="35" t="n">
        <v>0</v>
      </c>
      <c r="J16" s="34" t="n">
        <v>0</v>
      </c>
      <c r="K16" s="36" t="n">
        <f aca="false">I16+J16</f>
        <v>0</v>
      </c>
      <c r="L16" s="34" t="n">
        <v>0</v>
      </c>
      <c r="M16" s="34" t="n">
        <v>0</v>
      </c>
      <c r="N16" s="37"/>
      <c r="O16" s="38" t="n">
        <f aca="false">Resumo!S13</f>
        <v>0</v>
      </c>
      <c r="P16" s="37"/>
      <c r="Q16" s="38" t="n">
        <f aca="false">Resumo!T13</f>
        <v>18860.64</v>
      </c>
      <c r="R16" s="37"/>
      <c r="S16" s="31" t="n">
        <v>1</v>
      </c>
      <c r="T16" s="39" t="n">
        <f aca="false">ROUND((Encargos!$H$58*Dados!H10*A16),2)</f>
        <v>2187.41</v>
      </c>
      <c r="U16" s="40" t="s">
        <v>52</v>
      </c>
      <c r="V16" s="38" t="n">
        <f aca="false">SUMIF($S$14:$S$24,3,$Q$14:$Q$24)</f>
        <v>0</v>
      </c>
      <c r="W16" s="39" t="n">
        <f aca="false">SUMIF($S$14:$S$24,3,$T$14:$T$24)</f>
        <v>0</v>
      </c>
    </row>
    <row r="17" s="13" customFormat="true" ht="18" hidden="true" customHeight="true" outlineLevel="0" collapsed="false">
      <c r="A17" s="31" t="n">
        <f aca="false">Dados!D11</f>
        <v>27</v>
      </c>
      <c r="B17" s="32" t="str">
        <f aca="false">Resumo!B14</f>
        <v>Auxiliar Administrativo - Classe I</v>
      </c>
      <c r="C17" s="33" t="n">
        <f aca="false">Resumo!C14</f>
        <v>150</v>
      </c>
      <c r="D17" s="34" t="n">
        <v>0</v>
      </c>
      <c r="E17" s="33" t="s">
        <v>49</v>
      </c>
      <c r="F17" s="33" t="n">
        <f aca="false">IF(E17="NÃO",0,D17*Dados!$G$44)</f>
        <v>0</v>
      </c>
      <c r="G17" s="34" t="n">
        <v>0</v>
      </c>
      <c r="H17" s="34" t="n">
        <v>0</v>
      </c>
      <c r="I17" s="35" t="n">
        <v>0</v>
      </c>
      <c r="J17" s="34" t="n">
        <v>0</v>
      </c>
      <c r="K17" s="36" t="n">
        <f aca="false">I17+J17</f>
        <v>0</v>
      </c>
      <c r="L17" s="34" t="n">
        <v>0</v>
      </c>
      <c r="M17" s="34" t="n">
        <v>0</v>
      </c>
      <c r="N17" s="37"/>
      <c r="O17" s="38" t="n">
        <f aca="false">Resumo!S14</f>
        <v>0</v>
      </c>
      <c r="P17" s="37"/>
      <c r="Q17" s="38" t="n">
        <f aca="false">Resumo!T14</f>
        <v>126450.18</v>
      </c>
      <c r="R17" s="37"/>
      <c r="S17" s="31" t="n">
        <v>1</v>
      </c>
      <c r="T17" s="39" t="n">
        <f aca="false">ROUND((Encargos!$H$58*Dados!H11*A17),2)</f>
        <v>15436.16</v>
      </c>
      <c r="U17" s="40" t="s">
        <v>53</v>
      </c>
      <c r="V17" s="38" t="n">
        <f aca="false">SUMIF($S$14:$S$24,4,$Q$14:$Q$24)</f>
        <v>0</v>
      </c>
      <c r="W17" s="39" t="n">
        <f aca="false">SUMIF($S$14:$S$24,4,$T$14:$T$24)</f>
        <v>0</v>
      </c>
    </row>
    <row r="18" s="13" customFormat="true" ht="18" hidden="true" customHeight="true" outlineLevel="0" collapsed="false">
      <c r="A18" s="31" t="n">
        <f aca="false">Dados!D12</f>
        <v>71</v>
      </c>
      <c r="B18" s="32" t="str">
        <f aca="false">Resumo!B15</f>
        <v>Auxiliar Administrativo - Classe II</v>
      </c>
      <c r="C18" s="33" t="n">
        <f aca="false">Resumo!C15</f>
        <v>200</v>
      </c>
      <c r="D18" s="34" t="n">
        <v>0</v>
      </c>
      <c r="E18" s="33" t="s">
        <v>49</v>
      </c>
      <c r="F18" s="33" t="n">
        <f aca="false">IF(E18="NÃO",0,D18*Dados!$G$44)</f>
        <v>0</v>
      </c>
      <c r="G18" s="34" t="n">
        <v>0</v>
      </c>
      <c r="H18" s="34" t="n">
        <v>0</v>
      </c>
      <c r="I18" s="35" t="n">
        <v>0</v>
      </c>
      <c r="J18" s="34" t="n">
        <v>0</v>
      </c>
      <c r="K18" s="36" t="n">
        <f aca="false">I18+J18</f>
        <v>0</v>
      </c>
      <c r="L18" s="34" t="n">
        <v>0</v>
      </c>
      <c r="M18" s="34" t="n">
        <v>0</v>
      </c>
      <c r="N18" s="37"/>
      <c r="O18" s="38" t="n">
        <f aca="false">Resumo!S15</f>
        <v>0</v>
      </c>
      <c r="P18" s="37"/>
      <c r="Q18" s="38" t="n">
        <f aca="false">Resumo!T15</f>
        <v>465037.93</v>
      </c>
      <c r="R18" s="37"/>
      <c r="S18" s="31" t="n">
        <v>1</v>
      </c>
      <c r="T18" s="39" t="n">
        <f aca="false">ROUND((Encargos!$H$58*Dados!H12*A18),2)</f>
        <v>54121.83</v>
      </c>
      <c r="U18" s="40" t="s">
        <v>54</v>
      </c>
      <c r="V18" s="38" t="n">
        <f aca="false">SUMIF($S$14:$S$24,5,$Q$14:$Q$24)</f>
        <v>0</v>
      </c>
      <c r="W18" s="39" t="n">
        <f aca="false">SUMIF($S$14:$S$24,5,$T$14:$T$24)</f>
        <v>0</v>
      </c>
    </row>
    <row r="19" s="13" customFormat="true" ht="18" hidden="true" customHeight="true" outlineLevel="0" collapsed="false">
      <c r="A19" s="31" t="n">
        <f aca="false">Dados!D13</f>
        <v>3</v>
      </c>
      <c r="B19" s="32" t="str">
        <f aca="false">Resumo!B16</f>
        <v>Auxiliar Administrativo - Classe III (Nível Superior)</v>
      </c>
      <c r="C19" s="33" t="n">
        <f aca="false">Resumo!C16</f>
        <v>150</v>
      </c>
      <c r="D19" s="34" t="n">
        <v>0</v>
      </c>
      <c r="E19" s="33" t="s">
        <v>49</v>
      </c>
      <c r="F19" s="33" t="n">
        <f aca="false">IF(E19="NÃO",0,D19*Dados!$G$44)</f>
        <v>0</v>
      </c>
      <c r="G19" s="34" t="n">
        <v>0</v>
      </c>
      <c r="H19" s="34" t="n">
        <v>0</v>
      </c>
      <c r="I19" s="35" t="n">
        <v>0</v>
      </c>
      <c r="J19" s="34" t="n">
        <v>0</v>
      </c>
      <c r="K19" s="36" t="n">
        <f aca="false">I19+J19</f>
        <v>0</v>
      </c>
      <c r="L19" s="34" t="n">
        <v>0</v>
      </c>
      <c r="M19" s="34" t="n">
        <v>0</v>
      </c>
      <c r="N19" s="37"/>
      <c r="O19" s="38" t="n">
        <f aca="false">Resumo!S16</f>
        <v>0</v>
      </c>
      <c r="P19" s="37"/>
      <c r="Q19" s="38" t="n">
        <f aca="false">Resumo!T16</f>
        <v>17496.21</v>
      </c>
      <c r="R19" s="37"/>
      <c r="S19" s="31" t="n">
        <v>1</v>
      </c>
      <c r="T19" s="39" t="n">
        <f aca="false">ROUND((Encargos!$H$58*Dados!H13*A19),2)</f>
        <v>2229.67</v>
      </c>
      <c r="U19" s="41"/>
      <c r="V19" s="42" t="n">
        <f aca="false">SUM(V8:V18)</f>
        <v>1131678.4</v>
      </c>
      <c r="W19" s="43" t="n">
        <f aca="false">SUM(W8:W18)</f>
        <v>136305.65</v>
      </c>
    </row>
    <row r="20" s="13" customFormat="true" ht="18" hidden="true" customHeight="true" outlineLevel="0" collapsed="false">
      <c r="A20" s="31" t="n">
        <f aca="false">Dados!D14</f>
        <v>21</v>
      </c>
      <c r="B20" s="32" t="str">
        <f aca="false">Resumo!B17</f>
        <v>Auxiliar Administrativo - Classe IV (Nível Superior)</v>
      </c>
      <c r="C20" s="33" t="n">
        <f aca="false">Resumo!C17</f>
        <v>200</v>
      </c>
      <c r="D20" s="34" t="n">
        <v>0</v>
      </c>
      <c r="E20" s="33" t="s">
        <v>49</v>
      </c>
      <c r="F20" s="33" t="n">
        <f aca="false">IF(E20="NÃO",0,D20*Dados!$G$44)</f>
        <v>0</v>
      </c>
      <c r="G20" s="34" t="n">
        <v>0</v>
      </c>
      <c r="H20" s="34" t="n">
        <v>0</v>
      </c>
      <c r="I20" s="35" t="n">
        <v>0</v>
      </c>
      <c r="J20" s="34" t="n">
        <v>0</v>
      </c>
      <c r="K20" s="36" t="n">
        <f aca="false">I20+J20</f>
        <v>0</v>
      </c>
      <c r="L20" s="34" t="n">
        <v>0</v>
      </c>
      <c r="M20" s="34" t="n">
        <v>0</v>
      </c>
      <c r="N20" s="37"/>
      <c r="O20" s="38" t="n">
        <f aca="false">Resumo!S17</f>
        <v>0</v>
      </c>
      <c r="P20" s="37"/>
      <c r="Q20" s="38" t="n">
        <f aca="false">Resumo!T17</f>
        <v>169710.87</v>
      </c>
      <c r="R20" s="37"/>
      <c r="S20" s="31" t="n">
        <v>1</v>
      </c>
      <c r="T20" s="39" t="n">
        <f aca="false">ROUND((Encargos!$H$58*Dados!H14*A20),2)</f>
        <v>20810.23</v>
      </c>
      <c r="V20" s="44"/>
    </row>
    <row r="21" s="13" customFormat="true" ht="18" hidden="true" customHeight="true" outlineLevel="0" collapsed="false">
      <c r="A21" s="31" t="n">
        <f aca="false">Dados!D15</f>
        <v>6</v>
      </c>
      <c r="B21" s="32" t="str">
        <f aca="false">Resumo!B18</f>
        <v>Assistente de Apoio Financeiro (Nível Superior)</v>
      </c>
      <c r="C21" s="33" t="n">
        <f aca="false">Resumo!C18</f>
        <v>200</v>
      </c>
      <c r="D21" s="34" t="n">
        <v>0</v>
      </c>
      <c r="E21" s="33" t="s">
        <v>49</v>
      </c>
      <c r="F21" s="33" t="n">
        <f aca="false">IF(E21="NÃO",0,D21*Dados!$G$44)</f>
        <v>0</v>
      </c>
      <c r="G21" s="34" t="n">
        <v>0</v>
      </c>
      <c r="H21" s="34" t="n">
        <v>0</v>
      </c>
      <c r="I21" s="35" t="n">
        <v>0</v>
      </c>
      <c r="J21" s="34" t="n">
        <v>0</v>
      </c>
      <c r="K21" s="36" t="n">
        <f aca="false">I21+J21</f>
        <v>0</v>
      </c>
      <c r="L21" s="34" t="n">
        <v>0</v>
      </c>
      <c r="M21" s="34" t="n">
        <v>0</v>
      </c>
      <c r="N21" s="37"/>
      <c r="O21" s="38" t="n">
        <f aca="false">Resumo!S18</f>
        <v>0</v>
      </c>
      <c r="P21" s="37"/>
      <c r="Q21" s="38" t="n">
        <f aca="false">Resumo!T18</f>
        <v>73606.32</v>
      </c>
      <c r="R21" s="37"/>
      <c r="S21" s="31" t="n">
        <v>1</v>
      </c>
      <c r="T21" s="39" t="n">
        <f aca="false">ROUND((Encargos!$H$58*Dados!H15*A21),2)</f>
        <v>9694.2</v>
      </c>
    </row>
    <row r="22" s="13" customFormat="true" ht="18" hidden="true" customHeight="true" outlineLevel="0" collapsed="false">
      <c r="A22" s="31" t="n">
        <f aca="false">Dados!D16</f>
        <v>1</v>
      </c>
      <c r="B22" s="32" t="str">
        <f aca="false">Resumo!B19</f>
        <v>Encarregado Geral</v>
      </c>
      <c r="C22" s="33" t="n">
        <f aca="false">Resumo!C19</f>
        <v>220</v>
      </c>
      <c r="D22" s="34" t="n">
        <v>0</v>
      </c>
      <c r="E22" s="33" t="s">
        <v>49</v>
      </c>
      <c r="F22" s="33" t="n">
        <f aca="false">IF(E22="NÃO",0,D22*Dados!$G$44)</f>
        <v>0</v>
      </c>
      <c r="G22" s="34" t="n">
        <v>0</v>
      </c>
      <c r="H22" s="34" t="n">
        <v>0</v>
      </c>
      <c r="I22" s="35" t="n">
        <v>0</v>
      </c>
      <c r="J22" s="34" t="n">
        <v>0</v>
      </c>
      <c r="K22" s="36" t="n">
        <f aca="false">I22+J22</f>
        <v>0</v>
      </c>
      <c r="L22" s="34" t="n">
        <v>0</v>
      </c>
      <c r="M22" s="34" t="n">
        <v>0</v>
      </c>
      <c r="N22" s="37"/>
      <c r="O22" s="38" t="n">
        <f aca="false">Resumo!S19</f>
        <v>0</v>
      </c>
      <c r="P22" s="37"/>
      <c r="Q22" s="38" t="n">
        <f aca="false">Resumo!T19</f>
        <v>7557.43</v>
      </c>
      <c r="R22" s="37"/>
      <c r="S22" s="31" t="n">
        <v>1</v>
      </c>
      <c r="T22" s="39" t="n">
        <f aca="false">ROUND((Encargos!$H$58*Dados!H16*A22),2)</f>
        <v>912.72</v>
      </c>
    </row>
    <row r="23" s="13" customFormat="true" ht="18" hidden="true" customHeight="true" outlineLevel="0" collapsed="false">
      <c r="A23" s="31" t="n">
        <f aca="false">Dados!D17</f>
        <v>8</v>
      </c>
      <c r="B23" s="32" t="str">
        <f aca="false">Resumo!B20</f>
        <v>Operador e Editor de Áudio e Vídeo</v>
      </c>
      <c r="C23" s="33" t="n">
        <f aca="false">Resumo!C20</f>
        <v>150</v>
      </c>
      <c r="D23" s="34" t="n">
        <v>0</v>
      </c>
      <c r="E23" s="33" t="s">
        <v>49</v>
      </c>
      <c r="F23" s="33" t="n">
        <f aca="false">IF(E23="NÃO",0,D23*Dados!$G$44)</f>
        <v>0</v>
      </c>
      <c r="G23" s="34" t="n">
        <v>0</v>
      </c>
      <c r="H23" s="34" t="n">
        <v>0</v>
      </c>
      <c r="I23" s="35" t="n">
        <v>0</v>
      </c>
      <c r="J23" s="34" t="n">
        <v>0</v>
      </c>
      <c r="K23" s="36" t="n">
        <f aca="false">I23+J23</f>
        <v>0</v>
      </c>
      <c r="L23" s="34" t="n">
        <v>0</v>
      </c>
      <c r="M23" s="34" t="n">
        <v>0</v>
      </c>
      <c r="N23" s="37"/>
      <c r="O23" s="38" t="n">
        <f aca="false">Resumo!S20</f>
        <v>0</v>
      </c>
      <c r="P23" s="37"/>
      <c r="Q23" s="38" t="n">
        <f aca="false">Resumo!T20</f>
        <v>70433.2</v>
      </c>
      <c r="R23" s="37"/>
      <c r="S23" s="31" t="n">
        <v>1</v>
      </c>
      <c r="T23" s="39" t="n">
        <f aca="false">ROUND((Encargos!$H$58*Dados!H17*A23),2)</f>
        <v>9524.59</v>
      </c>
    </row>
    <row r="24" s="13" customFormat="true" ht="18" hidden="true" customHeight="true" outlineLevel="0" collapsed="false">
      <c r="A24" s="31" t="n">
        <f aca="false">Dados!D18</f>
        <v>11</v>
      </c>
      <c r="B24" s="32" t="str">
        <f aca="false">Resumo!B21</f>
        <v>Recepcionista </v>
      </c>
      <c r="C24" s="33" t="n">
        <f aca="false">Resumo!C21</f>
        <v>220</v>
      </c>
      <c r="D24" s="34" t="n">
        <v>0</v>
      </c>
      <c r="E24" s="33" t="s">
        <v>49</v>
      </c>
      <c r="F24" s="33" t="n">
        <f aca="false">IF(E24="NÃO",0,D24*Dados!$G$44)</f>
        <v>0</v>
      </c>
      <c r="G24" s="34" t="n">
        <v>0</v>
      </c>
      <c r="H24" s="34" t="n">
        <v>0</v>
      </c>
      <c r="I24" s="35" t="n">
        <v>0</v>
      </c>
      <c r="J24" s="34" t="n">
        <v>0</v>
      </c>
      <c r="K24" s="36" t="n">
        <f aca="false">I24+J24</f>
        <v>0</v>
      </c>
      <c r="L24" s="34" t="n">
        <v>0</v>
      </c>
      <c r="M24" s="34" t="n">
        <v>0</v>
      </c>
      <c r="N24" s="37"/>
      <c r="O24" s="38" t="n">
        <f aca="false">Resumo!S21</f>
        <v>0</v>
      </c>
      <c r="P24" s="37"/>
      <c r="Q24" s="38" t="n">
        <f aca="false">Resumo!T21</f>
        <v>76264.43</v>
      </c>
      <c r="R24" s="37"/>
      <c r="S24" s="31" t="n">
        <v>1</v>
      </c>
      <c r="T24" s="39" t="n">
        <f aca="false">ROUND((Encargos!$H$58*Dados!H18*A24),2)</f>
        <v>9014.61</v>
      </c>
    </row>
    <row r="25" s="50" customFormat="true" ht="14.45" hidden="true" customHeight="true" outlineLevel="0" collapsed="false">
      <c r="A25" s="45" t="s">
        <v>55</v>
      </c>
      <c r="B25" s="45"/>
      <c r="C25" s="45"/>
      <c r="D25" s="45"/>
      <c r="E25" s="45"/>
      <c r="F25" s="45"/>
      <c r="G25" s="46"/>
      <c r="H25" s="42" t="n">
        <f aca="false">Resumo!I22</f>
        <v>0</v>
      </c>
      <c r="I25" s="42"/>
      <c r="J25" s="42"/>
      <c r="K25" s="42" t="n">
        <f aca="false">Resumo!L22</f>
        <v>0</v>
      </c>
      <c r="L25" s="42" t="n">
        <f aca="false">Resumo!O22</f>
        <v>0</v>
      </c>
      <c r="M25" s="42" t="n">
        <f aca="false">Resumo!R22</f>
        <v>0</v>
      </c>
      <c r="N25" s="42"/>
      <c r="O25" s="42" t="n">
        <f aca="false">(H25+K25+L25)</f>
        <v>0</v>
      </c>
      <c r="P25" s="47"/>
      <c r="Q25" s="42" t="n">
        <f aca="false">SUM(Q14:Q24)</f>
        <v>1131678.4</v>
      </c>
      <c r="R25" s="48" t="n">
        <f aca="false">SUM(R14:R24)</f>
        <v>0</v>
      </c>
      <c r="S25" s="49"/>
      <c r="T25" s="43" t="n">
        <f aca="false">SUM(T14:T24)</f>
        <v>136305.65</v>
      </c>
    </row>
    <row r="26" customFormat="false" ht="15" hidden="true" customHeight="false" outlineLevel="0" collapsed="false">
      <c r="A26" s="51" t="s">
        <v>56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customFormat="false" ht="14.25" hidden="true" customHeight="true" outlineLevel="0" collapsed="false">
      <c r="A27" s="53" t="s">
        <v>57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="50" customFormat="true" ht="22.5" hidden="true" customHeight="true" outlineLevel="0" collapsed="false">
      <c r="A28" s="26" t="s">
        <v>58</v>
      </c>
      <c r="B28" s="26"/>
      <c r="C28" s="26" t="s">
        <v>59</v>
      </c>
      <c r="D28" s="26" t="s">
        <v>60</v>
      </c>
      <c r="E28" s="26" t="s">
        <v>61</v>
      </c>
      <c r="F28" s="26" t="s">
        <v>62</v>
      </c>
      <c r="K28" s="53"/>
      <c r="L28" s="55"/>
      <c r="M28" s="55"/>
      <c r="N28" s="55"/>
      <c r="O28" s="55"/>
      <c r="T28" s="3"/>
      <c r="U28" s="55"/>
      <c r="V28" s="55"/>
      <c r="W28" s="55"/>
      <c r="X28" s="55"/>
      <c r="Y28" s="55"/>
    </row>
    <row r="29" s="50" customFormat="true" ht="18" hidden="true" customHeight="true" outlineLevel="0" collapsed="false">
      <c r="A29" s="26"/>
      <c r="B29" s="26"/>
      <c r="C29" s="56" t="n">
        <v>220</v>
      </c>
      <c r="D29" s="56" t="n">
        <v>10</v>
      </c>
      <c r="E29" s="56" t="n">
        <v>25</v>
      </c>
      <c r="F29" s="57" t="n">
        <f aca="false">ROUND((D29/VLOOKUP(C29,$B$39:$C$45,2,FALSE())+E29/60/VLOOKUP(C29,$B$39:$C$45,2,FALSE())),2)</f>
        <v>1.18</v>
      </c>
      <c r="G29" s="58"/>
      <c r="K29" s="53"/>
      <c r="L29" s="55"/>
      <c r="M29" s="55"/>
      <c r="N29" s="55"/>
      <c r="O29" s="55"/>
      <c r="T29" s="3"/>
      <c r="U29" s="55"/>
      <c r="V29" s="55"/>
      <c r="W29" s="55"/>
      <c r="X29" s="55"/>
      <c r="Y29" s="55"/>
    </row>
    <row r="30" s="50" customFormat="true" ht="22.5" hidden="true" customHeight="true" outlineLevel="0" collapsed="false">
      <c r="A30" s="59" t="s">
        <v>63</v>
      </c>
      <c r="B30" s="59"/>
      <c r="C30" s="59"/>
      <c r="D30" s="59"/>
      <c r="E30" s="59"/>
      <c r="F30" s="59"/>
      <c r="G30" s="60"/>
      <c r="H30" s="18"/>
      <c r="I30" s="18"/>
      <c r="J30" s="18"/>
      <c r="K30" s="53"/>
      <c r="L30" s="55"/>
      <c r="M30" s="55"/>
      <c r="N30" s="55"/>
      <c r="O30" s="55"/>
      <c r="T30" s="3"/>
      <c r="U30" s="55"/>
      <c r="V30" s="55"/>
      <c r="W30" s="55"/>
      <c r="X30" s="55"/>
      <c r="Y30" s="55"/>
    </row>
    <row r="31" s="50" customFormat="true" ht="15" hidden="true" customHeight="false" outlineLevel="0" collapsed="false">
      <c r="A31" s="59"/>
      <c r="B31" s="59"/>
      <c r="C31" s="59"/>
      <c r="D31" s="59"/>
      <c r="E31" s="59"/>
      <c r="F31" s="59"/>
      <c r="G31" s="60"/>
      <c r="H31" s="18"/>
      <c r="I31" s="18"/>
      <c r="J31" s="18"/>
      <c r="K31" s="53"/>
      <c r="L31" s="55"/>
      <c r="M31" s="55"/>
      <c r="N31" s="55"/>
      <c r="O31" s="55"/>
      <c r="T31" s="3"/>
      <c r="U31" s="55"/>
      <c r="V31" s="55"/>
      <c r="W31" s="55"/>
      <c r="X31" s="55"/>
      <c r="Y31" s="55"/>
    </row>
    <row r="32" customFormat="false" ht="15" hidden="true" customHeight="false" outlineLevel="0" collapsed="false"/>
    <row r="33" customFormat="false" ht="15" hidden="true" customHeight="false" outlineLevel="0" collapsed="false">
      <c r="B33" s="61" t="s">
        <v>64</v>
      </c>
      <c r="C33" s="61"/>
    </row>
    <row r="34" customFormat="false" ht="15" hidden="true" customHeight="false" outlineLevel="0" collapsed="false">
      <c r="B34" s="62" t="s">
        <v>65</v>
      </c>
      <c r="C34" s="63" t="n">
        <f aca="false">Dados!G38</f>
        <v>22</v>
      </c>
      <c r="D34" s="1" t="s">
        <v>66</v>
      </c>
    </row>
    <row r="35" customFormat="false" ht="15" hidden="true" customHeight="false" outlineLevel="0" collapsed="false">
      <c r="B35" s="62" t="s">
        <v>8</v>
      </c>
      <c r="C35" s="64" t="n">
        <v>30</v>
      </c>
      <c r="D35" s="1" t="s">
        <v>67</v>
      </c>
    </row>
    <row r="36" customFormat="false" ht="15" hidden="true" customHeight="false" outlineLevel="0" collapsed="false">
      <c r="B36" s="62" t="s">
        <v>68</v>
      </c>
      <c r="C36" s="64" t="s">
        <v>69</v>
      </c>
      <c r="D36" s="1" t="s">
        <v>70</v>
      </c>
    </row>
    <row r="37" customFormat="false" ht="15" hidden="true" customHeight="false" outlineLevel="0" collapsed="false"/>
    <row r="38" customFormat="false" ht="39.75" hidden="true" customHeight="true" outlineLevel="0" collapsed="false">
      <c r="B38" s="65" t="s">
        <v>71</v>
      </c>
      <c r="C38" s="66" t="s">
        <v>72</v>
      </c>
    </row>
    <row r="39" customFormat="false" ht="15" hidden="true" customHeight="false" outlineLevel="0" collapsed="false">
      <c r="B39" s="62" t="n">
        <v>220</v>
      </c>
      <c r="C39" s="62" t="n">
        <f aca="false">B39/5/5</f>
        <v>8.8</v>
      </c>
    </row>
    <row r="40" customFormat="false" ht="15" hidden="true" customHeight="false" outlineLevel="0" collapsed="false">
      <c r="B40" s="62" t="n">
        <v>200</v>
      </c>
      <c r="C40" s="62" t="n">
        <f aca="false">B40/5/5</f>
        <v>8</v>
      </c>
    </row>
    <row r="41" customFormat="false" ht="15" hidden="true" customHeight="false" outlineLevel="0" collapsed="false">
      <c r="B41" s="62" t="n">
        <v>180</v>
      </c>
      <c r="C41" s="62" t="n">
        <f aca="false">B41/5/5</f>
        <v>7.2</v>
      </c>
    </row>
    <row r="42" customFormat="false" ht="15" hidden="true" customHeight="false" outlineLevel="0" collapsed="false">
      <c r="B42" s="62" t="n">
        <v>150</v>
      </c>
      <c r="C42" s="62" t="n">
        <f aca="false">B42/5/5</f>
        <v>6</v>
      </c>
    </row>
    <row r="43" customFormat="false" ht="15" hidden="true" customHeight="false" outlineLevel="0" collapsed="false">
      <c r="B43" s="62" t="n">
        <v>120</v>
      </c>
      <c r="C43" s="62" t="n">
        <f aca="false">B43/5/5</f>
        <v>4.8</v>
      </c>
    </row>
    <row r="44" customFormat="false" ht="15" hidden="true" customHeight="false" outlineLevel="0" collapsed="false">
      <c r="B44" s="62" t="n">
        <v>100</v>
      </c>
      <c r="C44" s="62" t="n">
        <f aca="false">B44/5/5</f>
        <v>4</v>
      </c>
    </row>
    <row r="45" customFormat="false" ht="15" hidden="true" customHeight="false" outlineLevel="0" collapsed="false">
      <c r="B45" s="62" t="n">
        <v>75</v>
      </c>
      <c r="C45" s="62" t="n">
        <f aca="false">B45/5/5</f>
        <v>3</v>
      </c>
    </row>
    <row r="46" customFormat="false" ht="15" hidden="true" customHeight="false" outlineLevel="0" collapsed="false"/>
    <row r="47" customFormat="false" ht="15" hidden="true" customHeight="false" outlineLevel="0" collapsed="false">
      <c r="B47" s="62" t="s">
        <v>73</v>
      </c>
    </row>
    <row r="48" customFormat="false" ht="15" hidden="true" customHeight="false" outlineLevel="0" collapsed="false">
      <c r="B48" s="67" t="n">
        <v>0</v>
      </c>
    </row>
    <row r="49" customFormat="false" ht="15" hidden="true" customHeight="false" outlineLevel="0" collapsed="false">
      <c r="B49" s="67" t="n">
        <v>1</v>
      </c>
    </row>
    <row r="50" customFormat="false" ht="15" hidden="true" customHeight="false" outlineLevel="0" collapsed="false">
      <c r="B50" s="67" t="n">
        <v>2</v>
      </c>
    </row>
    <row r="51" customFormat="false" ht="15" hidden="true" customHeight="false" outlineLevel="0" collapsed="false">
      <c r="B51" s="67" t="n">
        <v>3</v>
      </c>
    </row>
    <row r="52" customFormat="false" ht="15" hidden="true" customHeight="false" outlineLevel="0" collapsed="false">
      <c r="B52" s="67" t="n">
        <v>4</v>
      </c>
    </row>
    <row r="53" customFormat="false" ht="15" hidden="true" customHeight="false" outlineLevel="0" collapsed="false">
      <c r="B53" s="67" t="n">
        <v>5</v>
      </c>
    </row>
    <row r="54" customFormat="false" ht="15" hidden="true" customHeight="false" outlineLevel="0" collapsed="false">
      <c r="B54" s="67" t="n">
        <v>6</v>
      </c>
    </row>
    <row r="55" customFormat="false" ht="15" hidden="true" customHeight="false" outlineLevel="0" collapsed="false">
      <c r="B55" s="67" t="n">
        <v>7</v>
      </c>
    </row>
    <row r="56" customFormat="false" ht="15" hidden="true" customHeight="false" outlineLevel="0" collapsed="false">
      <c r="B56" s="67" t="n">
        <v>8</v>
      </c>
    </row>
    <row r="57" customFormat="false" ht="15" hidden="true" customHeight="false" outlineLevel="0" collapsed="false">
      <c r="B57" s="67" t="n">
        <v>9</v>
      </c>
    </row>
    <row r="58" customFormat="false" ht="15" hidden="true" customHeight="false" outlineLevel="0" collapsed="false">
      <c r="B58" s="67" t="n">
        <v>10</v>
      </c>
    </row>
    <row r="59" customFormat="false" ht="15" hidden="true" customHeight="false" outlineLevel="0" collapsed="false">
      <c r="B59" s="67" t="n">
        <v>11</v>
      </c>
    </row>
    <row r="60" customFormat="false" ht="15" hidden="true" customHeight="false" outlineLevel="0" collapsed="false">
      <c r="B60" s="67" t="n">
        <v>12</v>
      </c>
    </row>
    <row r="61" customFormat="false" ht="15" hidden="true" customHeight="false" outlineLevel="0" collapsed="false">
      <c r="B61" s="67" t="n">
        <v>13</v>
      </c>
    </row>
    <row r="62" customFormat="false" ht="15" hidden="true" customHeight="false" outlineLevel="0" collapsed="false">
      <c r="B62" s="67" t="n">
        <v>14</v>
      </c>
    </row>
    <row r="63" customFormat="false" ht="15" hidden="true" customHeight="false" outlineLevel="0" collapsed="false">
      <c r="B63" s="67" t="n">
        <v>15</v>
      </c>
    </row>
    <row r="64" customFormat="false" ht="15" hidden="true" customHeight="false" outlineLevel="0" collapsed="false">
      <c r="B64" s="67" t="n">
        <v>16</v>
      </c>
    </row>
    <row r="65" customFormat="false" ht="15" hidden="true" customHeight="false" outlineLevel="0" collapsed="false">
      <c r="B65" s="67" t="n">
        <v>17</v>
      </c>
    </row>
    <row r="66" customFormat="false" ht="15" hidden="true" customHeight="false" outlineLevel="0" collapsed="false">
      <c r="B66" s="67" t="n">
        <v>18</v>
      </c>
    </row>
    <row r="67" customFormat="false" ht="15" hidden="true" customHeight="false" outlineLevel="0" collapsed="false">
      <c r="B67" s="67" t="n">
        <v>19</v>
      </c>
    </row>
    <row r="68" customFormat="false" ht="15" hidden="true" customHeight="false" outlineLevel="0" collapsed="false">
      <c r="B68" s="67" t="n">
        <v>20</v>
      </c>
    </row>
    <row r="69" customFormat="false" ht="15" hidden="true" customHeight="false" outlineLevel="0" collapsed="false">
      <c r="B69" s="67" t="n">
        <v>21</v>
      </c>
    </row>
    <row r="70" customFormat="false" ht="15" hidden="true" customHeight="false" outlineLevel="0" collapsed="false">
      <c r="B70" s="67" t="n">
        <v>22</v>
      </c>
    </row>
    <row r="71" customFormat="false" ht="15" hidden="true" customHeight="false" outlineLevel="0" collapsed="false">
      <c r="B71" s="67" t="n">
        <v>23</v>
      </c>
    </row>
    <row r="72" customFormat="false" ht="15" hidden="true" customHeight="false" outlineLevel="0" collapsed="false">
      <c r="B72" s="67" t="n">
        <v>24</v>
      </c>
    </row>
    <row r="73" customFormat="false" ht="15" hidden="true" customHeight="false" outlineLevel="0" collapsed="false">
      <c r="B73" s="67" t="n">
        <v>25</v>
      </c>
    </row>
    <row r="74" customFormat="false" ht="15" hidden="true" customHeight="false" outlineLevel="0" collapsed="false">
      <c r="B74" s="67" t="n">
        <v>26</v>
      </c>
    </row>
    <row r="75" customFormat="false" ht="15" hidden="true" customHeight="false" outlineLevel="0" collapsed="false">
      <c r="B75" s="67" t="n">
        <v>27</v>
      </c>
    </row>
    <row r="76" customFormat="false" ht="15" hidden="true" customHeight="false" outlineLevel="0" collapsed="false">
      <c r="B76" s="67" t="n">
        <v>28</v>
      </c>
    </row>
    <row r="77" customFormat="false" ht="15" hidden="true" customHeight="false" outlineLevel="0" collapsed="false">
      <c r="B77" s="67" t="n">
        <v>29</v>
      </c>
    </row>
    <row r="78" customFormat="false" ht="15" hidden="true" customHeight="false" outlineLevel="0" collapsed="false">
      <c r="B78" s="67" t="n">
        <v>30</v>
      </c>
    </row>
    <row r="79" customFormat="false" ht="15" hidden="true" customHeight="false" outlineLevel="0" collapsed="false">
      <c r="B79" s="67" t="n">
        <v>31</v>
      </c>
    </row>
    <row r="80" customFormat="false" ht="15" hidden="true" customHeight="false" outlineLevel="0" collapsed="false">
      <c r="B80" s="67" t="n">
        <v>32</v>
      </c>
    </row>
    <row r="81" customFormat="false" ht="15" hidden="true" customHeight="false" outlineLevel="0" collapsed="false">
      <c r="B81" s="67" t="n">
        <v>33</v>
      </c>
    </row>
    <row r="82" customFormat="false" ht="15" hidden="true" customHeight="false" outlineLevel="0" collapsed="false">
      <c r="B82" s="67" t="n">
        <v>34</v>
      </c>
    </row>
    <row r="83" customFormat="false" ht="15" hidden="true" customHeight="false" outlineLevel="0" collapsed="false">
      <c r="B83" s="67" t="n">
        <v>35</v>
      </c>
    </row>
    <row r="84" customFormat="false" ht="15" hidden="true" customHeight="false" outlineLevel="0" collapsed="false">
      <c r="B84" s="67" t="n">
        <v>36</v>
      </c>
    </row>
    <row r="85" customFormat="false" ht="15" hidden="true" customHeight="false" outlineLevel="0" collapsed="false">
      <c r="B85" s="67" t="n">
        <v>37</v>
      </c>
    </row>
    <row r="86" customFormat="false" ht="15" hidden="true" customHeight="false" outlineLevel="0" collapsed="false">
      <c r="B86" s="67" t="n">
        <v>38</v>
      </c>
    </row>
    <row r="87" customFormat="false" ht="15" hidden="true" customHeight="false" outlineLevel="0" collapsed="false">
      <c r="B87" s="67" t="n">
        <v>39</v>
      </c>
    </row>
    <row r="88" customFormat="false" ht="15" hidden="true" customHeight="false" outlineLevel="0" collapsed="false">
      <c r="B88" s="67" t="n">
        <v>40</v>
      </c>
    </row>
    <row r="89" customFormat="false" ht="15" hidden="true" customHeight="false" outlineLevel="0" collapsed="false">
      <c r="B89" s="67" t="n">
        <v>41</v>
      </c>
    </row>
    <row r="90" customFormat="false" ht="15" hidden="true" customHeight="false" outlineLevel="0" collapsed="false">
      <c r="B90" s="67" t="n">
        <v>42</v>
      </c>
    </row>
    <row r="91" customFormat="false" ht="15" hidden="true" customHeight="false" outlineLevel="0" collapsed="false">
      <c r="B91" s="67" t="n">
        <v>43</v>
      </c>
    </row>
    <row r="92" customFormat="false" ht="15" hidden="true" customHeight="false" outlineLevel="0" collapsed="false">
      <c r="B92" s="67" t="n">
        <v>44</v>
      </c>
    </row>
    <row r="93" customFormat="false" ht="15" hidden="true" customHeight="false" outlineLevel="0" collapsed="false">
      <c r="B93" s="67" t="n">
        <v>45</v>
      </c>
    </row>
    <row r="94" customFormat="false" ht="15" hidden="true" customHeight="false" outlineLevel="0" collapsed="false">
      <c r="B94" s="67" t="n">
        <v>46</v>
      </c>
    </row>
    <row r="95" customFormat="false" ht="15" hidden="true" customHeight="false" outlineLevel="0" collapsed="false">
      <c r="B95" s="67" t="n">
        <v>47</v>
      </c>
    </row>
    <row r="96" customFormat="false" ht="15" hidden="true" customHeight="false" outlineLevel="0" collapsed="false">
      <c r="B96" s="67" t="n">
        <v>48</v>
      </c>
    </row>
    <row r="97" customFormat="false" ht="15" hidden="true" customHeight="false" outlineLevel="0" collapsed="false">
      <c r="B97" s="67" t="n">
        <v>49</v>
      </c>
    </row>
    <row r="98" customFormat="false" ht="15" hidden="true" customHeight="false" outlineLevel="0" collapsed="false">
      <c r="B98" s="67" t="n">
        <v>50</v>
      </c>
    </row>
    <row r="99" customFormat="false" ht="15" hidden="true" customHeight="false" outlineLevel="0" collapsed="false">
      <c r="B99" s="67" t="n">
        <v>51</v>
      </c>
    </row>
    <row r="100" customFormat="false" ht="15" hidden="true" customHeight="false" outlineLevel="0" collapsed="false">
      <c r="B100" s="67" t="n">
        <v>52</v>
      </c>
    </row>
    <row r="101" customFormat="false" ht="15" hidden="true" customHeight="false" outlineLevel="0" collapsed="false">
      <c r="B101" s="67" t="n">
        <v>53</v>
      </c>
    </row>
    <row r="102" customFormat="false" ht="15" hidden="true" customHeight="false" outlineLevel="0" collapsed="false">
      <c r="B102" s="67" t="n">
        <v>54</v>
      </c>
    </row>
    <row r="103" customFormat="false" ht="15" hidden="true" customHeight="false" outlineLevel="0" collapsed="false">
      <c r="B103" s="67" t="n">
        <v>55</v>
      </c>
    </row>
    <row r="104" customFormat="false" ht="15" hidden="true" customHeight="false" outlineLevel="0" collapsed="false">
      <c r="B104" s="67" t="n">
        <v>56</v>
      </c>
    </row>
    <row r="105" customFormat="false" ht="15" hidden="true" customHeight="false" outlineLevel="0" collapsed="false">
      <c r="B105" s="67" t="n">
        <v>57</v>
      </c>
    </row>
    <row r="106" customFormat="false" ht="15" hidden="true" customHeight="false" outlineLevel="0" collapsed="false">
      <c r="B106" s="67" t="n">
        <v>58</v>
      </c>
    </row>
    <row r="107" customFormat="false" ht="15" hidden="true" customHeight="false" outlineLevel="0" collapsed="false">
      <c r="B107" s="67" t="n">
        <v>59</v>
      </c>
    </row>
    <row r="108" customFormat="false" ht="15" hidden="true" customHeight="false" outlineLevel="0" collapsed="false">
      <c r="B108" s="67" t="n">
        <v>60</v>
      </c>
    </row>
    <row r="109" customFormat="false" ht="15" hidden="true" customHeight="false" outlineLevel="0" collapsed="false">
      <c r="B109" s="67" t="n">
        <v>61</v>
      </c>
    </row>
    <row r="110" customFormat="false" ht="15" hidden="true" customHeight="false" outlineLevel="0" collapsed="false">
      <c r="B110" s="67" t="n">
        <v>62</v>
      </c>
    </row>
    <row r="111" customFormat="false" ht="15" hidden="true" customHeight="false" outlineLevel="0" collapsed="false">
      <c r="B111" s="67" t="n">
        <v>63</v>
      </c>
    </row>
    <row r="112" customFormat="false" ht="15" hidden="true" customHeight="false" outlineLevel="0" collapsed="false">
      <c r="B112" s="67" t="n">
        <v>64</v>
      </c>
    </row>
    <row r="113" customFormat="false" ht="15" hidden="true" customHeight="false" outlineLevel="0" collapsed="false">
      <c r="B113" s="67" t="n">
        <v>65</v>
      </c>
    </row>
    <row r="114" customFormat="false" ht="15" hidden="true" customHeight="false" outlineLevel="0" collapsed="false">
      <c r="B114" s="67" t="n">
        <v>66</v>
      </c>
    </row>
    <row r="115" customFormat="false" ht="15" hidden="true" customHeight="false" outlineLevel="0" collapsed="false">
      <c r="B115" s="67" t="n">
        <v>67</v>
      </c>
    </row>
    <row r="116" customFormat="false" ht="15" hidden="true" customHeight="false" outlineLevel="0" collapsed="false">
      <c r="B116" s="67" t="n">
        <v>68</v>
      </c>
    </row>
    <row r="117" customFormat="false" ht="15" hidden="true" customHeight="false" outlineLevel="0" collapsed="false">
      <c r="B117" s="67" t="n">
        <v>69</v>
      </c>
    </row>
    <row r="118" customFormat="false" ht="15" hidden="true" customHeight="false" outlineLevel="0" collapsed="false">
      <c r="B118" s="67" t="n">
        <v>70</v>
      </c>
    </row>
    <row r="119" customFormat="false" ht="15" hidden="true" customHeight="false" outlineLevel="0" collapsed="false">
      <c r="B119" s="67" t="n">
        <v>71</v>
      </c>
    </row>
  </sheetData>
  <sheetProtection sheet="true" objects="true" scenarios="true"/>
  <mergeCells count="28">
    <mergeCell ref="A4:W4"/>
    <mergeCell ref="A5:W5"/>
    <mergeCell ref="A7:C7"/>
    <mergeCell ref="D7:E7"/>
    <mergeCell ref="A8:C8"/>
    <mergeCell ref="A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S10:S12"/>
    <mergeCell ref="T10:W12"/>
    <mergeCell ref="A25:F25"/>
    <mergeCell ref="I25:J25"/>
    <mergeCell ref="A28:B29"/>
    <mergeCell ref="A30:F31"/>
    <mergeCell ref="B33:C33"/>
  </mergeCells>
  <dataValidations count="15">
    <dataValidation allowBlank="true" operator="between" showDropDown="false" showErrorMessage="true" showInputMessage="true" sqref="C29 JA29 SW29 ACS29" type="list">
      <formula1>$B$39:$B$45</formula1>
      <formula2>0</formula2>
    </dataValidation>
    <dataValidation allowBlank="true" operator="between" showDropDown="false" showErrorMessage="true" showInputMessage="true" sqref="D8 JB8 SX8 ACT8" type="list">
      <formula1>$B$34:$B$36</formula1>
      <formula2>0</formula2>
    </dataValidation>
    <dataValidation allowBlank="true" operator="between" showDropDown="false" showErrorMessage="true" showInputMessage="true" sqref="D7:E7 JB7:JC7 SX7:SY7 ACT7:ACU7" type="list">
      <formula1>"PLANILHA PARA LICITAÇÃO (PRECIFICAÇÃO),PLANILHA PARA FATURAMENTO"</formula1>
      <formula2>0</formula2>
    </dataValidation>
    <dataValidation allowBlank="true" operator="between" showDropDown="false" showErrorMessage="true" showInputMessage="true" sqref="S14:S24 JO14:JO19 TK14:TK19 ADG14:ADG19 JL20:JL24 TH20:TH24 ADD20:ADD24" type="list">
      <formula1>"1,2,3,4,5"</formula1>
      <formula2>0</formula2>
    </dataValidation>
    <dataValidation allowBlank="true" operator="between" showDropDown="false" showErrorMessage="true" showInputMessage="true" sqref="E14:E24 JC14:JC19 SY14:SY19 ACU14:ACU19 IZ20:IZ24 SV20:SV24 ACR20:ACR24" type="list">
      <formula1>"SIM,NÃO"</formula1>
      <formula2>0</formula2>
    </dataValidation>
    <dataValidation allowBlank="true" operator="between" showDropDown="false" showErrorMessage="true" showInputMessage="true" sqref="JB14:JB19 SX14:SX19 ACT14:ACT19 IY20:IY24 SU20:SU24 ACQ20:ACQ24" type="list">
      <formula1>"0,1"</formula1>
      <formula2>0</formula2>
    </dataValidation>
    <dataValidation allowBlank="true" operator="between" showDropDown="false" showErrorMessage="true" showInputMessage="true" sqref="D14 D19" type="list">
      <formula1>$B$48:$B$50</formula1>
      <formula2>0</formula2>
    </dataValidation>
    <dataValidation allowBlank="true" operator="between" showDropDown="false" showErrorMessage="true" showInputMessage="true" sqref="D15 D20" type="list">
      <formula1>$B$48:$B$66</formula1>
      <formula2>0</formula2>
    </dataValidation>
    <dataValidation allowBlank="true" operator="between" showDropDown="false" showErrorMessage="true" showInputMessage="true" sqref="D16" type="list">
      <formula1>$B$48:$B$51</formula1>
      <formula2>0</formula2>
    </dataValidation>
    <dataValidation allowBlank="true" operator="between" showDropDown="false" showErrorMessage="true" showInputMessage="true" sqref="D17" type="list">
      <formula1>$B$48:$B$75</formula1>
      <formula2>0</formula2>
    </dataValidation>
    <dataValidation allowBlank="true" operator="between" showDropDown="false" showErrorMessage="true" showInputMessage="true" sqref="D18" type="list">
      <formula1>$B$48:$B$119</formula1>
      <formula2>0</formula2>
    </dataValidation>
    <dataValidation allowBlank="true" operator="between" showDropDown="false" showErrorMessage="true" showInputMessage="true" sqref="D21" type="list">
      <formula1>$B$48:$B$54</formula1>
      <formula2>0</formula2>
    </dataValidation>
    <dataValidation allowBlank="true" operator="between" showDropDown="false" showErrorMessage="true" showInputMessage="true" sqref="D22" type="list">
      <formula1>$B$48:$B$49</formula1>
      <formula2>0</formula2>
    </dataValidation>
    <dataValidation allowBlank="true" operator="between" showDropDown="false" showErrorMessage="true" showInputMessage="true" sqref="D23" type="list">
      <formula1>$B$48:$B$56</formula1>
      <formula2>0</formula2>
    </dataValidation>
    <dataValidation allowBlank="true" operator="between" showDropDown="false" showErrorMessage="true" showInputMessage="true" sqref="D24" type="list">
      <formula1>$B$48:$B$59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196527777777778" bottom="0.39375" header="0.511805555555555" footer="0.511805555555555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34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</row>
    <row r="7" customFormat="false" ht="30" hidden="false" customHeight="true" outlineLevel="0" collapsed="false">
      <c r="A7" s="502" t="str">
        <f aca="false">Dados!B10&amp;" - "&amp;D10</f>
        <v>Auxiliar de Almoxarifado - 200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  <c r="L9" s="101"/>
    </row>
    <row r="10" customFormat="false" ht="26.25" hidden="false" customHeight="true" outlineLevel="0" collapsed="false">
      <c r="A10" s="513" t="n">
        <v>1</v>
      </c>
      <c r="B10" s="514" t="str">
        <f aca="false">A7</f>
        <v>Auxiliar de Almoxarifado - 200</v>
      </c>
      <c r="C10" s="514"/>
      <c r="D10" s="574" t="n">
        <f aca="false">Dados!C10</f>
        <v>200</v>
      </c>
      <c r="E10" s="516" t="n">
        <f aca="false">Dados!E10</f>
        <v>2420</v>
      </c>
      <c r="F10" s="517" t="n">
        <f aca="false">ROUND(E10/220*D10,2)</f>
        <v>2200</v>
      </c>
      <c r="G10" s="518"/>
      <c r="H10" s="519"/>
      <c r="I10" s="520"/>
      <c r="J10" s="101"/>
      <c r="K10" s="101"/>
      <c r="L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  <c r="L11" s="101"/>
    </row>
    <row r="12" customFormat="false" ht="19.5" hidden="false" customHeight="true" outlineLevel="0" collapsed="false">
      <c r="A12" s="513"/>
      <c r="B12" s="576" t="s">
        <v>391</v>
      </c>
      <c r="C12" s="576"/>
      <c r="D12" s="576"/>
      <c r="E12" s="576"/>
      <c r="F12" s="532" t="n">
        <f aca="false">F10+F11</f>
        <v>2200</v>
      </c>
      <c r="G12" s="526"/>
      <c r="H12" s="527"/>
      <c r="I12" s="528"/>
      <c r="J12" s="101"/>
      <c r="K12" s="101"/>
      <c r="L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77" t="n">
        <f aca="false">Dados!G28</f>
        <v>0.7905</v>
      </c>
      <c r="F13" s="517" t="n">
        <f aca="false">(ROUND((E13*F12),2))</f>
        <v>1739.1</v>
      </c>
      <c r="G13" s="518"/>
      <c r="H13" s="519"/>
      <c r="I13" s="520"/>
      <c r="J13" s="101"/>
      <c r="K13" s="101"/>
      <c r="L13" s="101"/>
    </row>
    <row r="14" customFormat="false" ht="24.75" hidden="false" customHeight="true" outlineLevel="0" collapsed="false">
      <c r="A14" s="578" t="s">
        <v>393</v>
      </c>
      <c r="B14" s="578"/>
      <c r="C14" s="578"/>
      <c r="D14" s="578"/>
      <c r="E14" s="578"/>
      <c r="F14" s="532" t="n">
        <f aca="false">ROUND(SUM(F12:F13),2)</f>
        <v>3939.1</v>
      </c>
      <c r="G14" s="533"/>
      <c r="H14" s="534"/>
      <c r="I14" s="535"/>
      <c r="J14" s="101"/>
      <c r="K14" s="101"/>
      <c r="L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  <c r="L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Dados!I10</f>
        <v>40.71</v>
      </c>
      <c r="G17" s="518"/>
      <c r="H17" s="519"/>
      <c r="I17" s="520"/>
      <c r="J17" s="101"/>
      <c r="K17" s="101"/>
      <c r="L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  <c r="L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  <c r="L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460.06</v>
      </c>
      <c r="G20" s="518" t="n">
        <f aca="false">F20</f>
        <v>460.06</v>
      </c>
      <c r="H20" s="519"/>
      <c r="I20" s="520"/>
      <c r="J20" s="101"/>
      <c r="K20" s="101"/>
      <c r="L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378.4</v>
      </c>
      <c r="G21" s="518"/>
      <c r="H21" s="519"/>
      <c r="I21" s="520" t="n">
        <f aca="false">F21</f>
        <v>378.4</v>
      </c>
      <c r="J21" s="101"/>
      <c r="K21" s="101"/>
      <c r="L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962.09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378.4</v>
      </c>
      <c r="J24" s="101"/>
      <c r="K24" s="101"/>
      <c r="L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4901.19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378.4</v>
      </c>
      <c r="J25" s="101"/>
      <c r="K25" s="101"/>
      <c r="L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1135.2</v>
      </c>
      <c r="J26" s="101"/>
      <c r="K26" s="101"/>
      <c r="L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  <c r="L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18"/>
      <c r="F28" s="517" t="n">
        <f aca="false">ROUND((F25*D28),2)</f>
        <v>147.04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ROUND((I25*D28),2)</f>
        <v>11.35</v>
      </c>
      <c r="J28" s="101"/>
      <c r="K28" s="101"/>
      <c r="L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18"/>
      <c r="F29" s="517" t="n">
        <f aca="false">F25+F28</f>
        <v>5048.23</v>
      </c>
      <c r="G29" s="518" t="n">
        <f aca="false">$G$28+$G$25</f>
        <v>473.86</v>
      </c>
      <c r="H29" s="519" t="n">
        <f aca="false">H25+H28</f>
        <v>0</v>
      </c>
      <c r="I29" s="520" t="n">
        <f aca="false">I25+I28</f>
        <v>389.75</v>
      </c>
      <c r="J29" s="101"/>
      <c r="K29" s="101"/>
      <c r="L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18" t="n">
        <f aca="false">F25+F28</f>
        <v>5048.23</v>
      </c>
      <c r="F30" s="517" t="n">
        <f aca="false">ROUND((E30*D30),2)</f>
        <v>342.77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ROUND((I29*D30),2)</f>
        <v>26.46</v>
      </c>
      <c r="J30" s="101"/>
      <c r="K30" s="101"/>
      <c r="L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33"/>
      <c r="F31" s="532" t="n">
        <f aca="false">F28+F30</f>
        <v>489.81</v>
      </c>
      <c r="G31" s="533" t="n">
        <f aca="false">$G$28+$G$30</f>
        <v>45.98</v>
      </c>
      <c r="H31" s="534" t="n">
        <f aca="false">H28+H30</f>
        <v>0</v>
      </c>
      <c r="I31" s="535" t="n">
        <f aca="false">I28+I30</f>
        <v>37.81</v>
      </c>
      <c r="J31" s="101"/>
      <c r="K31" s="101"/>
      <c r="L31" s="101"/>
    </row>
    <row r="32" customFormat="false" ht="24.75" hidden="false" customHeight="true" outlineLevel="0" collapsed="false">
      <c r="A32" s="578" t="s">
        <v>411</v>
      </c>
      <c r="B32" s="578"/>
      <c r="C32" s="578"/>
      <c r="D32" s="578"/>
      <c r="E32" s="578"/>
      <c r="F32" s="532" t="n">
        <f aca="false">F14+F24+F31</f>
        <v>5391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I14+I24+I31</f>
        <v>416.21</v>
      </c>
      <c r="J32" s="101"/>
      <c r="K32" s="101"/>
      <c r="L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477.8</v>
      </c>
      <c r="G34" s="518" t="n">
        <f aca="false">ROUND(($G$39*$D$34),2)</f>
        <v>44.85</v>
      </c>
      <c r="H34" s="519" t="n">
        <f aca="false">ROUND((H39*D34),2)</f>
        <v>0</v>
      </c>
      <c r="I34" s="520" t="n">
        <f aca="false">ROUND((I39*D34),2)</f>
        <v>36.89</v>
      </c>
      <c r="J34" s="101"/>
      <c r="K34" s="101"/>
      <c r="L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103.73</v>
      </c>
      <c r="G35" s="518" t="n">
        <f aca="false">ROUND(($G$39*$D$35),2)</f>
        <v>9.74</v>
      </c>
      <c r="H35" s="519" t="n">
        <f aca="false">ROUND((H39*D35),2)</f>
        <v>0</v>
      </c>
      <c r="I35" s="520" t="n">
        <f aca="false">ROUND((I39*D35),2)</f>
        <v>8.01</v>
      </c>
      <c r="J35" s="101"/>
      <c r="K35" s="101"/>
      <c r="L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314.34</v>
      </c>
      <c r="G36" s="518" t="n">
        <f aca="false">ROUND(($G$39*$D$36),2)</f>
        <v>29.51</v>
      </c>
      <c r="H36" s="519" t="n">
        <f aca="false">ROUND((H39*D36),2)</f>
        <v>0</v>
      </c>
      <c r="I36" s="520" t="n">
        <f aca="false">ROUND((I39*D36),2)</f>
        <v>24.27</v>
      </c>
      <c r="J36" s="101"/>
      <c r="K36" s="101"/>
      <c r="L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895.87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69.17</v>
      </c>
      <c r="J38" s="101"/>
      <c r="K38" s="101"/>
      <c r="L38" s="101"/>
    </row>
    <row r="39" customFormat="false" ht="34.5" hidden="true" customHeight="true" outlineLevel="0" collapsed="false">
      <c r="A39" s="559" t="str">
        <f aca="false">A7</f>
        <v>Auxiliar de Almoxarifado - 200</v>
      </c>
      <c r="B39" s="559"/>
      <c r="C39" s="559"/>
      <c r="D39" s="559"/>
      <c r="E39" s="559"/>
      <c r="F39" s="560" t="n">
        <f aca="false">ROUND(F32/(1-D38),2)</f>
        <v>6286.88</v>
      </c>
      <c r="G39" s="561" t="n">
        <f aca="false">ROUND($G$32/(1-$D$38),2)</f>
        <v>590.13</v>
      </c>
      <c r="H39" s="562" t="n">
        <f aca="false">ROUND(H32/(1-D38),2)</f>
        <v>0</v>
      </c>
      <c r="I39" s="563" t="n">
        <f aca="false">ROUND(I32/(1-D38),2)</f>
        <v>485.38</v>
      </c>
      <c r="J39" s="101"/>
      <c r="K39" s="101"/>
      <c r="L39" s="101"/>
    </row>
    <row r="40" customFormat="false" ht="30" hidden="false" customHeight="true" outlineLevel="0" collapsed="false">
      <c r="A40" s="579" t="str">
        <f aca="false">A7</f>
        <v>Auxiliar de Almoxarifado - 200</v>
      </c>
      <c r="B40" s="579"/>
      <c r="C40" s="579"/>
      <c r="D40" s="579"/>
      <c r="E40" s="579"/>
      <c r="F40" s="580" t="n">
        <f aca="false">F39</f>
        <v>6286.88</v>
      </c>
      <c r="G40" s="580" t="n">
        <f aca="false">$G$39</f>
        <v>590.13</v>
      </c>
      <c r="H40" s="580" t="n">
        <f aca="false">H39</f>
        <v>0</v>
      </c>
      <c r="I40" s="581" t="n">
        <f aca="false">I39</f>
        <v>485.38</v>
      </c>
      <c r="J40" s="101"/>
      <c r="K40" s="101"/>
      <c r="L40" s="101"/>
    </row>
    <row r="41" customFormat="false" ht="29.25" hidden="false" customHeight="true" outlineLevel="0" collapsed="false">
      <c r="A41" s="582" t="s">
        <v>414</v>
      </c>
      <c r="B41" s="582"/>
      <c r="C41" s="582"/>
      <c r="D41" s="582"/>
      <c r="E41" s="582"/>
      <c r="F41" s="583" t="n">
        <f aca="false">($F$40/$F$12)/100</f>
        <v>0.0285767272727273</v>
      </c>
      <c r="G41" s="584"/>
      <c r="H41" s="584"/>
      <c r="I41" s="585"/>
      <c r="J41" s="101"/>
      <c r="K41" s="101"/>
      <c r="L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34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</row>
    <row r="7" customFormat="false" ht="30" hidden="false" customHeight="true" outlineLevel="0" collapsed="false">
      <c r="A7" s="502" t="str">
        <f aca="false">Dados!B12&amp;" - "&amp;D10</f>
        <v>Auxiliar Administrativo - Classe II - 200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  <c r="L9" s="101"/>
      <c r="M9" s="101"/>
      <c r="N9" s="101"/>
    </row>
    <row r="10" customFormat="false" ht="26.25" hidden="false" customHeight="true" outlineLevel="0" collapsed="false">
      <c r="A10" s="513" t="n">
        <v>1</v>
      </c>
      <c r="B10" s="514" t="str">
        <f aca="false">A7</f>
        <v>Auxiliar Administrativo - Classe II - 200</v>
      </c>
      <c r="C10" s="514"/>
      <c r="D10" s="574" t="n">
        <f aca="false">Dados!C12</f>
        <v>200</v>
      </c>
      <c r="E10" s="516" t="n">
        <f aca="false">Dados!$E12</f>
        <v>2530</v>
      </c>
      <c r="F10" s="517" t="n">
        <f aca="false">ROUND(E10/220*D10,2)</f>
        <v>2300</v>
      </c>
      <c r="G10" s="518"/>
      <c r="H10" s="519"/>
      <c r="I10" s="520"/>
      <c r="J10" s="101"/>
      <c r="K10" s="101"/>
      <c r="L10" s="101"/>
      <c r="M10" s="101"/>
      <c r="N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  <c r="L11" s="101"/>
      <c r="M11" s="101"/>
      <c r="N11" s="101"/>
    </row>
    <row r="12" customFormat="false" ht="19.5" hidden="false" customHeight="true" outlineLevel="0" collapsed="false">
      <c r="A12" s="513"/>
      <c r="B12" s="576" t="s">
        <v>391</v>
      </c>
      <c r="C12" s="576"/>
      <c r="D12" s="576"/>
      <c r="E12" s="576"/>
      <c r="F12" s="532" t="n">
        <f aca="false">F10+F11</f>
        <v>2300</v>
      </c>
      <c r="G12" s="526"/>
      <c r="H12" s="527"/>
      <c r="I12" s="528"/>
      <c r="J12" s="101"/>
      <c r="K12" s="101"/>
      <c r="L12" s="101"/>
      <c r="M12" s="101"/>
      <c r="N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77" t="n">
        <f aca="false">Dados!G28</f>
        <v>0.7905</v>
      </c>
      <c r="F13" s="517" t="n">
        <f aca="false">(ROUND((E13*F12),2))</f>
        <v>1818.15</v>
      </c>
      <c r="G13" s="518"/>
      <c r="H13" s="519"/>
      <c r="I13" s="520"/>
      <c r="J13" s="101"/>
      <c r="K13" s="101"/>
      <c r="L13" s="101"/>
      <c r="M13" s="101"/>
      <c r="N13" s="101"/>
    </row>
    <row r="14" customFormat="false" ht="24.75" hidden="false" customHeight="true" outlineLevel="0" collapsed="false">
      <c r="A14" s="578" t="s">
        <v>393</v>
      </c>
      <c r="B14" s="578"/>
      <c r="C14" s="578"/>
      <c r="D14" s="578"/>
      <c r="E14" s="578"/>
      <c r="F14" s="532" t="n">
        <f aca="false">ROUND(SUM(F12:F13),2)</f>
        <v>4118.15</v>
      </c>
      <c r="G14" s="533"/>
      <c r="H14" s="534"/>
      <c r="I14" s="535"/>
      <c r="J14" s="101"/>
      <c r="K14" s="101"/>
      <c r="L14" s="101"/>
      <c r="M14" s="101"/>
      <c r="N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Dados!I12</f>
        <v>72.65</v>
      </c>
      <c r="G17" s="518"/>
      <c r="H17" s="519"/>
      <c r="I17" s="520"/>
      <c r="J17" s="101"/>
      <c r="K17" s="101"/>
      <c r="L17" s="101"/>
      <c r="M17" s="101"/>
      <c r="N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  <c r="L18" s="101"/>
      <c r="M18" s="101"/>
      <c r="N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  <c r="L19" s="101"/>
      <c r="M19" s="101"/>
      <c r="N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460.06</v>
      </c>
      <c r="G20" s="518" t="n">
        <f aca="false">F20</f>
        <v>460.06</v>
      </c>
      <c r="H20" s="519"/>
      <c r="I20" s="520"/>
      <c r="J20" s="101"/>
      <c r="K20" s="101"/>
      <c r="L20" s="101"/>
      <c r="M20" s="101"/>
      <c r="N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372.4</v>
      </c>
      <c r="G21" s="518"/>
      <c r="H21" s="519"/>
      <c r="I21" s="520" t="n">
        <f aca="false">F21</f>
        <v>372.4</v>
      </c>
      <c r="J21" s="101"/>
      <c r="K21" s="101"/>
      <c r="L21" s="101"/>
      <c r="M21" s="101"/>
      <c r="N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  <c r="M22" s="101"/>
      <c r="N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  <c r="M23" s="101"/>
      <c r="N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988.03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372.4</v>
      </c>
      <c r="J24" s="101"/>
      <c r="K24" s="101"/>
      <c r="L24" s="101"/>
      <c r="M24" s="101"/>
      <c r="N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5106.18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372.4</v>
      </c>
      <c r="J25" s="101"/>
      <c r="K25" s="101"/>
      <c r="L25" s="101"/>
      <c r="M25" s="101"/>
      <c r="N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1117.2</v>
      </c>
      <c r="J26" s="101"/>
      <c r="K26" s="101"/>
      <c r="L26" s="101"/>
      <c r="M26" s="101"/>
      <c r="N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18"/>
      <c r="F28" s="517" t="n">
        <f aca="false">ROUND((F25*D28),2)</f>
        <v>153.19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ROUND((I25*D28),2)</f>
        <v>11.17</v>
      </c>
      <c r="J28" s="101"/>
      <c r="K28" s="101"/>
      <c r="L28" s="101"/>
      <c r="M28" s="101"/>
      <c r="N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18"/>
      <c r="F29" s="517" t="n">
        <f aca="false">F25+F28</f>
        <v>5259.37</v>
      </c>
      <c r="G29" s="518" t="n">
        <f aca="false">$G$28+$G$25</f>
        <v>473.86</v>
      </c>
      <c r="H29" s="519" t="n">
        <f aca="false">H25+H28</f>
        <v>0</v>
      </c>
      <c r="I29" s="520" t="n">
        <f aca="false">I25+I28</f>
        <v>383.57</v>
      </c>
      <c r="J29" s="101"/>
      <c r="K29" s="101"/>
      <c r="L29" s="101"/>
      <c r="M29" s="101"/>
      <c r="N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18" t="n">
        <f aca="false">F25+F28</f>
        <v>5259.37</v>
      </c>
      <c r="F30" s="517" t="n">
        <f aca="false">ROUND((E30*D30),2)</f>
        <v>357.11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ROUND((I29*D30),2)</f>
        <v>26.04</v>
      </c>
      <c r="J30" s="101"/>
      <c r="K30" s="101"/>
      <c r="L30" s="101"/>
      <c r="M30" s="101"/>
      <c r="N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33"/>
      <c r="F31" s="532" t="n">
        <f aca="false">F28+F30</f>
        <v>510.3</v>
      </c>
      <c r="G31" s="533" t="n">
        <f aca="false">$G$28+$G$30</f>
        <v>45.98</v>
      </c>
      <c r="H31" s="534" t="n">
        <f aca="false">H28+H30</f>
        <v>0</v>
      </c>
      <c r="I31" s="535" t="n">
        <f aca="false">I28+I30</f>
        <v>37.21</v>
      </c>
      <c r="J31" s="101"/>
      <c r="K31" s="101"/>
      <c r="L31" s="101"/>
      <c r="M31" s="101"/>
      <c r="N31" s="101"/>
    </row>
    <row r="32" customFormat="false" ht="24.75" hidden="false" customHeight="true" outlineLevel="0" collapsed="false">
      <c r="A32" s="578" t="s">
        <v>411</v>
      </c>
      <c r="B32" s="578"/>
      <c r="C32" s="578"/>
      <c r="D32" s="578"/>
      <c r="E32" s="578"/>
      <c r="F32" s="532" t="n">
        <f aca="false">F14+F24+F31</f>
        <v>5616.48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I14+I24+I31</f>
        <v>409.61</v>
      </c>
      <c r="J32" s="101"/>
      <c r="K32" s="101"/>
      <c r="L32" s="101"/>
      <c r="M32" s="101"/>
      <c r="N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497.79</v>
      </c>
      <c r="G34" s="518" t="n">
        <f aca="false">ROUND(($G$39*$D$34),2)</f>
        <v>44.85</v>
      </c>
      <c r="H34" s="519" t="n">
        <f aca="false">ROUND((H39*D34),2)</f>
        <v>0</v>
      </c>
      <c r="I34" s="520" t="n">
        <f aca="false">ROUND((I39*D34),2)</f>
        <v>36.3</v>
      </c>
      <c r="J34" s="101"/>
      <c r="K34" s="101"/>
      <c r="L34" s="101"/>
      <c r="M34" s="101"/>
      <c r="N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108.07</v>
      </c>
      <c r="G35" s="518" t="n">
        <f aca="false">ROUND(($G$39*$D$35),2)</f>
        <v>9.74</v>
      </c>
      <c r="H35" s="519" t="n">
        <f aca="false">ROUND((H39*D35),2)</f>
        <v>0</v>
      </c>
      <c r="I35" s="520" t="n">
        <f aca="false">ROUND((I39*D35),2)</f>
        <v>7.88</v>
      </c>
      <c r="J35" s="101"/>
      <c r="K35" s="101"/>
      <c r="L35" s="101"/>
      <c r="M35" s="101"/>
      <c r="N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327.49</v>
      </c>
      <c r="G36" s="518" t="n">
        <f aca="false">ROUND(($G$39*$D$36),2)</f>
        <v>29.51</v>
      </c>
      <c r="H36" s="519" t="n">
        <f aca="false">ROUND((H39*D36),2)</f>
        <v>0</v>
      </c>
      <c r="I36" s="520" t="n">
        <f aca="false">ROUND((I39*D36),2)</f>
        <v>23.88</v>
      </c>
      <c r="J36" s="101"/>
      <c r="K36" s="101"/>
      <c r="L36" s="101"/>
      <c r="M36" s="101"/>
      <c r="N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933.35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68.06</v>
      </c>
      <c r="J38" s="101"/>
      <c r="K38" s="101"/>
      <c r="L38" s="101"/>
      <c r="M38" s="101"/>
      <c r="N38" s="101"/>
    </row>
    <row r="39" customFormat="false" ht="34.5" hidden="true" customHeight="true" outlineLevel="0" collapsed="false">
      <c r="A39" s="559" t="str">
        <f aca="false">A7</f>
        <v>Auxiliar Administrativo - Classe II - 200</v>
      </c>
      <c r="B39" s="559"/>
      <c r="C39" s="559"/>
      <c r="D39" s="559"/>
      <c r="E39" s="559"/>
      <c r="F39" s="560" t="n">
        <f aca="false">ROUND(F32/(1-D38),2)</f>
        <v>6549.83</v>
      </c>
      <c r="G39" s="561" t="n">
        <f aca="false">ROUND($G$32/(1-$D$38),2)</f>
        <v>590.13</v>
      </c>
      <c r="H39" s="562" t="n">
        <f aca="false">ROUND(H32/(1-D38),2)</f>
        <v>0</v>
      </c>
      <c r="I39" s="563" t="n">
        <f aca="false">ROUND(I32/(1-D38),2)</f>
        <v>477.68</v>
      </c>
      <c r="J39" s="101"/>
      <c r="K39" s="101"/>
      <c r="L39" s="101"/>
      <c r="M39" s="101"/>
      <c r="N39" s="101"/>
    </row>
    <row r="40" customFormat="false" ht="30" hidden="false" customHeight="true" outlineLevel="0" collapsed="false">
      <c r="A40" s="579" t="str">
        <f aca="false">A7</f>
        <v>Auxiliar Administrativo - Classe II - 200</v>
      </c>
      <c r="B40" s="579"/>
      <c r="C40" s="579"/>
      <c r="D40" s="579"/>
      <c r="E40" s="579"/>
      <c r="F40" s="580" t="n">
        <f aca="false">F39</f>
        <v>6549.83</v>
      </c>
      <c r="G40" s="580" t="n">
        <f aca="false">$G$39</f>
        <v>590.13</v>
      </c>
      <c r="H40" s="580" t="n">
        <f aca="false">H39</f>
        <v>0</v>
      </c>
      <c r="I40" s="581" t="n">
        <f aca="false">I39</f>
        <v>477.68</v>
      </c>
      <c r="J40" s="101"/>
      <c r="K40" s="101"/>
      <c r="L40" s="101"/>
      <c r="M40" s="101"/>
      <c r="N40" s="101"/>
    </row>
    <row r="41" customFormat="false" ht="29.25" hidden="false" customHeight="true" outlineLevel="0" collapsed="false">
      <c r="A41" s="582" t="s">
        <v>414</v>
      </c>
      <c r="B41" s="582"/>
      <c r="C41" s="582"/>
      <c r="D41" s="582"/>
      <c r="E41" s="582"/>
      <c r="F41" s="583" t="n">
        <f aca="false">($F$40/$F$12)/100</f>
        <v>0.0284775217391304</v>
      </c>
      <c r="G41" s="584"/>
      <c r="H41" s="584"/>
      <c r="I41" s="585"/>
      <c r="J41" s="101"/>
      <c r="K41" s="101"/>
      <c r="L41" s="101"/>
      <c r="M41" s="101"/>
      <c r="N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1.16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  <c r="O1" s="101"/>
      <c r="P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  <c r="O2" s="101"/>
      <c r="P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  <c r="O3" s="101"/>
      <c r="P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  <c r="O4" s="101"/>
      <c r="P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  <c r="O5" s="101"/>
      <c r="P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  <c r="O6" s="101"/>
      <c r="P6" s="101"/>
    </row>
    <row r="7" customFormat="false" ht="30" hidden="false" customHeight="true" outlineLevel="0" collapsed="false">
      <c r="A7" s="502" t="str">
        <f aca="false">Dados!$B$13&amp;" - "&amp;$D$10</f>
        <v>Auxiliar Administrativo - Classe III (Nível Superior) - 150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  <c r="O7" s="101"/>
      <c r="P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  <c r="O8" s="101"/>
      <c r="P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86" t="s">
        <v>390</v>
      </c>
      <c r="G9" s="586"/>
      <c r="H9" s="586"/>
      <c r="I9" s="586"/>
      <c r="J9" s="101"/>
      <c r="K9" s="101"/>
      <c r="L9" s="101"/>
      <c r="M9" s="101"/>
      <c r="N9" s="101"/>
      <c r="O9" s="101"/>
      <c r="P9" s="101"/>
    </row>
    <row r="10" customFormat="false" ht="29.25" hidden="false" customHeight="true" outlineLevel="0" collapsed="false">
      <c r="A10" s="513" t="n">
        <v>1</v>
      </c>
      <c r="B10" s="514" t="str">
        <f aca="false">A7</f>
        <v>Auxiliar Administrativo - Classe III (Nível Superior) - 150</v>
      </c>
      <c r="C10" s="514"/>
      <c r="D10" s="574" t="n">
        <f aca="false">Dados!$C$13</f>
        <v>150</v>
      </c>
      <c r="E10" s="516" t="n">
        <f aca="false">Dados!$E$13</f>
        <v>3289</v>
      </c>
      <c r="F10" s="517" t="n">
        <f aca="false">ROUND(E10/220*D10,2)</f>
        <v>2242.5</v>
      </c>
      <c r="G10" s="518"/>
      <c r="H10" s="519"/>
      <c r="I10" s="520"/>
      <c r="J10" s="101"/>
      <c r="K10" s="101"/>
      <c r="L10" s="101"/>
      <c r="M10" s="101"/>
      <c r="N10" s="101"/>
      <c r="O10" s="101"/>
      <c r="P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87"/>
      <c r="J11" s="101"/>
      <c r="K11" s="101"/>
      <c r="L11" s="101"/>
      <c r="M11" s="101"/>
      <c r="N11" s="101"/>
      <c r="O11" s="101"/>
      <c r="P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32" t="n">
        <f aca="false">F10+F11</f>
        <v>2242.5</v>
      </c>
      <c r="G12" s="533"/>
      <c r="H12" s="534"/>
      <c r="I12" s="535"/>
      <c r="J12" s="101"/>
      <c r="K12" s="101"/>
      <c r="L12" s="101"/>
      <c r="M12" s="101"/>
      <c r="N12" s="101"/>
      <c r="O12" s="101"/>
      <c r="P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1772.7</v>
      </c>
      <c r="G13" s="518"/>
      <c r="H13" s="519"/>
      <c r="I13" s="520"/>
      <c r="J13" s="101"/>
      <c r="K13" s="101"/>
      <c r="L13" s="101"/>
      <c r="M13" s="101"/>
      <c r="N13" s="101"/>
      <c r="O13" s="101"/>
      <c r="P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4015.2</v>
      </c>
      <c r="G14" s="533"/>
      <c r="H14" s="534"/>
      <c r="I14" s="535"/>
      <c r="J14" s="101"/>
      <c r="K14" s="101"/>
      <c r="L14" s="101"/>
      <c r="M14" s="101"/>
      <c r="N14" s="101"/>
      <c r="O14" s="101"/>
      <c r="P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  <c r="O15" s="101"/>
      <c r="P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397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  <c r="O16" s="101"/>
      <c r="P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Dados!$I$13</f>
        <v>72.65</v>
      </c>
      <c r="G17" s="518"/>
      <c r="H17" s="519"/>
      <c r="I17" s="520"/>
      <c r="J17" s="101"/>
      <c r="K17" s="101"/>
      <c r="L17" s="101"/>
      <c r="M17" s="101"/>
      <c r="N17" s="101"/>
      <c r="O17" s="101"/>
      <c r="P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Dados!$G$35</f>
        <v>2.2</v>
      </c>
      <c r="G18" s="518"/>
      <c r="H18" s="519"/>
      <c r="I18" s="520"/>
      <c r="J18" s="101"/>
      <c r="K18" s="101"/>
      <c r="L18" s="101"/>
      <c r="M18" s="101"/>
      <c r="N18" s="101"/>
      <c r="O18" s="101"/>
      <c r="P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Dados!$G$36</f>
        <v>80.72</v>
      </c>
      <c r="G19" s="518"/>
      <c r="H19" s="519"/>
      <c r="I19" s="520"/>
      <c r="J19" s="101"/>
      <c r="K19" s="101"/>
      <c r="L19" s="101"/>
      <c r="M19" s="101"/>
      <c r="N19" s="101"/>
      <c r="O19" s="101"/>
      <c r="P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0</v>
      </c>
      <c r="G20" s="518" t="n">
        <f aca="false">F20</f>
        <v>0</v>
      </c>
      <c r="H20" s="519"/>
      <c r="I20" s="520"/>
      <c r="J20" s="101"/>
      <c r="K20" s="101"/>
      <c r="L20" s="101"/>
      <c r="M20" s="101"/>
      <c r="N20" s="101"/>
      <c r="O20" s="101"/>
      <c r="P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375.85</v>
      </c>
      <c r="G21" s="518"/>
      <c r="H21" s="519"/>
      <c r="I21" s="520" t="n">
        <f aca="false">F21</f>
        <v>375.85</v>
      </c>
      <c r="J21" s="101"/>
      <c r="K21" s="101"/>
      <c r="L21" s="101"/>
      <c r="M21" s="101"/>
      <c r="N21" s="101"/>
      <c r="O21" s="101"/>
      <c r="P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  <c r="M22" s="101"/>
      <c r="N22" s="101"/>
      <c r="O22" s="101"/>
      <c r="P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  <c r="M23" s="101"/>
      <c r="N23" s="101"/>
      <c r="O23" s="101"/>
      <c r="P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531.42</v>
      </c>
      <c r="G24" s="532" t="n">
        <f aca="false">SUM(G17:G23)</f>
        <v>0</v>
      </c>
      <c r="H24" s="534" t="n">
        <f aca="false">SUM($H$17:$H$23)</f>
        <v>0</v>
      </c>
      <c r="I24" s="535" t="n">
        <f aca="false">SUM($I$17:$I$23)</f>
        <v>375.85</v>
      </c>
      <c r="J24" s="101"/>
      <c r="K24" s="101"/>
      <c r="L24" s="101"/>
      <c r="M24" s="101"/>
      <c r="N24" s="101"/>
      <c r="O24" s="101"/>
      <c r="P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$F$14+$F$24</f>
        <v>4546.62</v>
      </c>
      <c r="G25" s="532" t="n">
        <f aca="false">$G$14+$G$24</f>
        <v>0</v>
      </c>
      <c r="H25" s="534" t="n">
        <f aca="false">$H$14+$H$24</f>
        <v>0</v>
      </c>
      <c r="I25" s="535" t="n">
        <f aca="false">$I$14+$I$24</f>
        <v>375.85</v>
      </c>
      <c r="J25" s="101"/>
      <c r="K25" s="101"/>
      <c r="L25" s="101"/>
      <c r="M25" s="101"/>
      <c r="N25" s="101"/>
      <c r="O25" s="101"/>
      <c r="P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/>
      <c r="I26" s="536"/>
      <c r="J26" s="101"/>
      <c r="K26" s="101"/>
      <c r="L26" s="101"/>
      <c r="M26" s="101"/>
      <c r="N26" s="101"/>
      <c r="O26" s="101"/>
      <c r="P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88" t="s">
        <v>407</v>
      </c>
      <c r="E27" s="588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  <c r="O27" s="101"/>
      <c r="P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ROUND(($F$25*$D$28),2)</f>
        <v>136.4</v>
      </c>
      <c r="G28" s="518" t="n">
        <f aca="false">ROUND(($G$25*$D$28),2)</f>
        <v>0</v>
      </c>
      <c r="H28" s="519" t="n">
        <f aca="false">ROUND((H25*D28),2)</f>
        <v>0</v>
      </c>
      <c r="I28" s="520" t="n">
        <f aca="false">ROUND(($I$25*$D$28),2)</f>
        <v>11.28</v>
      </c>
      <c r="J28" s="101"/>
      <c r="K28" s="101"/>
      <c r="L28" s="101"/>
      <c r="M28" s="101"/>
      <c r="N28" s="101"/>
      <c r="O28" s="101"/>
      <c r="P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$F$25+$F$28</f>
        <v>4683.02</v>
      </c>
      <c r="G29" s="518" t="n">
        <f aca="false">$G$28+$G$25</f>
        <v>0</v>
      </c>
      <c r="H29" s="519" t="n">
        <f aca="false">H25+H28</f>
        <v>0</v>
      </c>
      <c r="I29" s="520" t="n">
        <f aca="false">$I$25+$I$28</f>
        <v>387.13</v>
      </c>
      <c r="J29" s="101"/>
      <c r="K29" s="101"/>
      <c r="L29" s="101"/>
      <c r="M29" s="101"/>
      <c r="N29" s="101"/>
      <c r="O29" s="101"/>
      <c r="P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$F$25+$F$28</f>
        <v>4683.02</v>
      </c>
      <c r="F30" s="517" t="n">
        <f aca="false">ROUND(($E$30*$D$30),2)</f>
        <v>317.98</v>
      </c>
      <c r="G30" s="518" t="n">
        <f aca="false">ROUND(($G$29*$D$30),2)</f>
        <v>0</v>
      </c>
      <c r="H30" s="519" t="n">
        <f aca="false">ROUND((H29*D30),2)</f>
        <v>0</v>
      </c>
      <c r="I30" s="520" t="n">
        <f aca="false">ROUND(($I$29*$D$30),2)</f>
        <v>26.29</v>
      </c>
      <c r="J30" s="101"/>
      <c r="K30" s="101"/>
      <c r="L30" s="101"/>
      <c r="M30" s="101"/>
      <c r="N30" s="101"/>
      <c r="O30" s="101"/>
      <c r="P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SUM($D$28:$D$30)</f>
        <v>0.0979</v>
      </c>
      <c r="E31" s="554"/>
      <c r="F31" s="532" t="n">
        <f aca="false">$F$28+$F$30</f>
        <v>454.38</v>
      </c>
      <c r="G31" s="533" t="n">
        <f aca="false">$G$28+$G$30</f>
        <v>0</v>
      </c>
      <c r="H31" s="534" t="n">
        <f aca="false">H28+H30</f>
        <v>0</v>
      </c>
      <c r="I31" s="535" t="n">
        <f aca="false">$I$28+$I$30</f>
        <v>37.57</v>
      </c>
      <c r="J31" s="101"/>
      <c r="K31" s="101"/>
      <c r="L31" s="101"/>
      <c r="M31" s="101"/>
      <c r="N31" s="101"/>
      <c r="O31" s="101"/>
      <c r="P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$F$14+$F$24+$F$31</f>
        <v>5001</v>
      </c>
      <c r="G32" s="533" t="n">
        <f aca="false">$G$14+$G$24+$G$31</f>
        <v>0</v>
      </c>
      <c r="H32" s="534" t="n">
        <f aca="false">H14+H24+H31</f>
        <v>0</v>
      </c>
      <c r="I32" s="535" t="n">
        <f aca="false">$I$14+$I$24+$I$31</f>
        <v>413.42</v>
      </c>
      <c r="J32" s="101"/>
      <c r="K32" s="101"/>
      <c r="L32" s="101"/>
      <c r="M32" s="101"/>
      <c r="N32" s="101"/>
      <c r="O32" s="101"/>
      <c r="P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  <c r="O33" s="101"/>
      <c r="P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ROUND(($F$39*$D$34),2)</f>
        <v>443.24</v>
      </c>
      <c r="G34" s="518" t="n">
        <f aca="false">ROUND(($G$39*$D$34),2)</f>
        <v>0</v>
      </c>
      <c r="H34" s="519" t="n">
        <f aca="false">ROUND(($H$39*$D$34),2)</f>
        <v>0</v>
      </c>
      <c r="I34" s="520" t="n">
        <f aca="false">ROUND(($I$39*$D$34),2)</f>
        <v>36.64</v>
      </c>
      <c r="J34" s="101"/>
      <c r="K34" s="101"/>
      <c r="L34" s="101"/>
      <c r="M34" s="101"/>
      <c r="N34" s="101"/>
      <c r="O34" s="101"/>
      <c r="P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ROUND(($F$39*$D$35),2)</f>
        <v>96.23</v>
      </c>
      <c r="G35" s="518" t="n">
        <f aca="false">ROUND(($G$39*$D$35),2)</f>
        <v>0</v>
      </c>
      <c r="H35" s="519" t="n">
        <f aca="false">ROUND(($H$39*$D$35),2)</f>
        <v>0</v>
      </c>
      <c r="I35" s="520" t="n">
        <f aca="false">ROUND(($I$39*$D$35),2)</f>
        <v>7.95</v>
      </c>
      <c r="J35" s="101"/>
      <c r="K35" s="101"/>
      <c r="L35" s="101"/>
      <c r="M35" s="101"/>
      <c r="N35" s="101"/>
      <c r="O35" s="101"/>
      <c r="P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ROUND(($F$39*$D$36),2)</f>
        <v>291.6</v>
      </c>
      <c r="G36" s="518" t="n">
        <f aca="false">ROUND(($G$39*$D$36),2)</f>
        <v>0</v>
      </c>
      <c r="H36" s="519" t="n">
        <f aca="false">ROUND(($H$39*$D$36),2)</f>
        <v>0</v>
      </c>
      <c r="I36" s="520" t="n">
        <f aca="false">ROUND(($I$39*$D$36),2)</f>
        <v>24.11</v>
      </c>
      <c r="J36" s="101"/>
      <c r="K36" s="101"/>
      <c r="L36" s="101"/>
      <c r="M36" s="101"/>
      <c r="N36" s="101"/>
      <c r="O36" s="101"/>
      <c r="P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  <c r="O37" s="101"/>
      <c r="P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831.07</v>
      </c>
      <c r="G38" s="532" t="n">
        <f aca="false">SUM(G34:G37)</f>
        <v>0</v>
      </c>
      <c r="H38" s="532" t="n">
        <f aca="false">SUM(H34:H37)</f>
        <v>0</v>
      </c>
      <c r="I38" s="558" t="n">
        <f aca="false">SUM(I34:I37)</f>
        <v>68.7</v>
      </c>
      <c r="J38" s="101"/>
      <c r="K38" s="101"/>
      <c r="L38" s="101"/>
      <c r="M38" s="101"/>
      <c r="N38" s="101"/>
      <c r="O38" s="101"/>
      <c r="P38" s="101"/>
    </row>
    <row r="39" customFormat="false" ht="34.5" hidden="true" customHeight="true" outlineLevel="0" collapsed="false">
      <c r="A39" s="559" t="str">
        <f aca="false">A7</f>
        <v>Auxiliar Administrativo - Classe III (Nível Superior) - 150</v>
      </c>
      <c r="B39" s="559"/>
      <c r="C39" s="559"/>
      <c r="D39" s="559"/>
      <c r="E39" s="559"/>
      <c r="F39" s="560" t="n">
        <f aca="false">ROUND($F$32/(1-$D$38),2)</f>
        <v>5832.07</v>
      </c>
      <c r="G39" s="561" t="n">
        <f aca="false">ROUND($G$32/(1-$D$38),2)</f>
        <v>0</v>
      </c>
      <c r="H39" s="562" t="n">
        <f aca="false">ROUND($H$32/(1-$D$38),2)</f>
        <v>0</v>
      </c>
      <c r="I39" s="563" t="n">
        <f aca="false">ROUND($I$32/(1-$D$38),2)</f>
        <v>482.12</v>
      </c>
      <c r="J39" s="101"/>
      <c r="K39" s="101"/>
      <c r="L39" s="101"/>
      <c r="M39" s="101"/>
      <c r="N39" s="101"/>
      <c r="O39" s="101"/>
      <c r="P39" s="101"/>
    </row>
    <row r="40" customFormat="false" ht="30" hidden="false" customHeight="true" outlineLevel="0" collapsed="false">
      <c r="A40" s="589" t="str">
        <f aca="false">A7</f>
        <v>Auxiliar Administrativo - Classe III (Nível Superior) - 150</v>
      </c>
      <c r="B40" s="589"/>
      <c r="C40" s="589"/>
      <c r="D40" s="589"/>
      <c r="E40" s="589"/>
      <c r="F40" s="590" t="n">
        <f aca="false">$F$39</f>
        <v>5832.07</v>
      </c>
      <c r="G40" s="591" t="n">
        <f aca="false">$G$39</f>
        <v>0</v>
      </c>
      <c r="H40" s="580" t="n">
        <f aca="false">$H$39</f>
        <v>0</v>
      </c>
      <c r="I40" s="581" t="n">
        <f aca="false">$I$39</f>
        <v>482.12</v>
      </c>
      <c r="J40" s="101"/>
      <c r="K40" s="101"/>
      <c r="L40" s="101"/>
      <c r="M40" s="101"/>
      <c r="N40" s="101"/>
      <c r="O40" s="101"/>
      <c r="P40" s="101"/>
    </row>
    <row r="41" customFormat="false" ht="29.25" hidden="false" customHeight="true" outlineLevel="0" collapsed="false">
      <c r="A41" s="592" t="s">
        <v>414</v>
      </c>
      <c r="B41" s="592"/>
      <c r="C41" s="592"/>
      <c r="D41" s="592"/>
      <c r="E41" s="592"/>
      <c r="F41" s="593" t="n">
        <f aca="false">($F$40/$F$12)/100</f>
        <v>0.0260070011148272</v>
      </c>
      <c r="G41" s="594"/>
      <c r="H41" s="584"/>
      <c r="I41" s="585"/>
      <c r="J41" s="101"/>
      <c r="K41" s="101"/>
      <c r="L41" s="101"/>
      <c r="M41" s="101"/>
      <c r="N41" s="101"/>
      <c r="O41" s="101"/>
      <c r="P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34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  <c r="O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  <c r="O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  <c r="O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  <c r="O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  <c r="O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  <c r="O6" s="101"/>
    </row>
    <row r="7" customFormat="false" ht="30" hidden="false" customHeight="true" outlineLevel="0" collapsed="false">
      <c r="A7" s="502" t="str">
        <f aca="false">Dados!B15&amp;" - "&amp;D10</f>
        <v>Assistente de Apoio Financeiro (Nível Superior) - 200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  <c r="O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  <c r="O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  <c r="L9" s="101"/>
      <c r="M9" s="101"/>
      <c r="N9" s="101"/>
      <c r="O9" s="101"/>
    </row>
    <row r="10" customFormat="false" ht="26.25" hidden="false" customHeight="true" outlineLevel="0" collapsed="false">
      <c r="A10" s="513" t="n">
        <v>1</v>
      </c>
      <c r="B10" s="514" t="str">
        <f aca="false">A7</f>
        <v>Assistente de Apoio Financeiro (Nível Superior) - 200</v>
      </c>
      <c r="C10" s="514"/>
      <c r="D10" s="574" t="n">
        <f aca="false">Dados!C15</f>
        <v>200</v>
      </c>
      <c r="E10" s="516" t="n">
        <f aca="false">Dados!$E15</f>
        <v>5362.5</v>
      </c>
      <c r="F10" s="517" t="n">
        <f aca="false">ROUND(E10/220*D10,2)</f>
        <v>4875</v>
      </c>
      <c r="G10" s="518"/>
      <c r="H10" s="519"/>
      <c r="I10" s="520"/>
      <c r="J10" s="101"/>
      <c r="K10" s="101"/>
      <c r="L10" s="101"/>
      <c r="M10" s="101"/>
      <c r="N10" s="101"/>
      <c r="O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  <c r="L11" s="101"/>
      <c r="M11" s="101"/>
      <c r="N11" s="101"/>
      <c r="O11" s="101"/>
    </row>
    <row r="12" customFormat="false" ht="19.5" hidden="false" customHeight="true" outlineLevel="0" collapsed="false">
      <c r="A12" s="513"/>
      <c r="B12" s="576" t="s">
        <v>391</v>
      </c>
      <c r="C12" s="576"/>
      <c r="D12" s="576"/>
      <c r="E12" s="576"/>
      <c r="F12" s="532" t="n">
        <f aca="false">F10+F11</f>
        <v>4875</v>
      </c>
      <c r="G12" s="526"/>
      <c r="H12" s="527"/>
      <c r="I12" s="528"/>
      <c r="J12" s="101"/>
      <c r="K12" s="101"/>
      <c r="L12" s="101"/>
      <c r="M12" s="101"/>
      <c r="N12" s="101"/>
      <c r="O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77" t="n">
        <f aca="false">Dados!G28</f>
        <v>0.7905</v>
      </c>
      <c r="F13" s="517" t="n">
        <f aca="false">(ROUND((E13*F12),2))</f>
        <v>3853.69</v>
      </c>
      <c r="G13" s="518"/>
      <c r="H13" s="519"/>
      <c r="I13" s="520"/>
      <c r="J13" s="101"/>
      <c r="K13" s="101"/>
      <c r="L13" s="101"/>
      <c r="M13" s="101"/>
      <c r="N13" s="101"/>
      <c r="O13" s="101"/>
    </row>
    <row r="14" customFormat="false" ht="24.75" hidden="false" customHeight="true" outlineLevel="0" collapsed="false">
      <c r="A14" s="578" t="s">
        <v>393</v>
      </c>
      <c r="B14" s="578"/>
      <c r="C14" s="578"/>
      <c r="D14" s="578"/>
      <c r="E14" s="578"/>
      <c r="F14" s="532" t="n">
        <f aca="false">ROUND(SUM(F12:F13),2)</f>
        <v>8728.69</v>
      </c>
      <c r="G14" s="533"/>
      <c r="H14" s="534"/>
      <c r="I14" s="535"/>
      <c r="J14" s="101"/>
      <c r="K14" s="101"/>
      <c r="L14" s="101"/>
      <c r="M14" s="101"/>
      <c r="N14" s="101"/>
      <c r="O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  <c r="O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  <c r="O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Dados!I15</f>
        <v>74.23</v>
      </c>
      <c r="G17" s="518"/>
      <c r="H17" s="519"/>
      <c r="I17" s="520"/>
      <c r="J17" s="101"/>
      <c r="K17" s="101"/>
      <c r="L17" s="101"/>
      <c r="M17" s="101"/>
      <c r="N17" s="101"/>
      <c r="O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  <c r="L18" s="101"/>
      <c r="M18" s="101"/>
      <c r="N18" s="101"/>
      <c r="O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  <c r="L19" s="101"/>
      <c r="M19" s="101"/>
      <c r="N19" s="101"/>
      <c r="O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460.06</v>
      </c>
      <c r="G20" s="518" t="n">
        <f aca="false">F20</f>
        <v>460.06</v>
      </c>
      <c r="H20" s="519"/>
      <c r="I20" s="520"/>
      <c r="J20" s="101"/>
      <c r="K20" s="101"/>
      <c r="L20" s="101"/>
      <c r="M20" s="101"/>
      <c r="N20" s="101"/>
      <c r="O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217.9</v>
      </c>
      <c r="G21" s="518"/>
      <c r="H21" s="519"/>
      <c r="I21" s="520" t="n">
        <f aca="false">F21</f>
        <v>217.9</v>
      </c>
      <c r="J21" s="101"/>
      <c r="K21" s="101"/>
      <c r="L21" s="101"/>
      <c r="M21" s="101"/>
      <c r="N21" s="101"/>
      <c r="O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  <c r="M22" s="101"/>
      <c r="N22" s="101"/>
      <c r="O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  <c r="M23" s="101"/>
      <c r="N23" s="101"/>
      <c r="O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835.11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217.9</v>
      </c>
      <c r="J24" s="101"/>
      <c r="K24" s="101"/>
      <c r="L24" s="101"/>
      <c r="M24" s="101"/>
      <c r="N24" s="101"/>
      <c r="O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9563.8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217.9</v>
      </c>
      <c r="J25" s="101"/>
      <c r="K25" s="101"/>
      <c r="L25" s="101"/>
      <c r="M25" s="101"/>
      <c r="N25" s="101"/>
      <c r="O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653.7</v>
      </c>
      <c r="J26" s="101"/>
      <c r="K26" s="101"/>
      <c r="L26" s="101"/>
      <c r="M26" s="101"/>
      <c r="N26" s="101"/>
      <c r="O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  <c r="O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18"/>
      <c r="F28" s="517" t="n">
        <f aca="false">ROUND((F25*D28),2)</f>
        <v>286.91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ROUND((I25*D28),2)</f>
        <v>6.54</v>
      </c>
      <c r="J28" s="101"/>
      <c r="K28" s="101"/>
      <c r="L28" s="101"/>
      <c r="M28" s="101"/>
      <c r="N28" s="101"/>
      <c r="O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18"/>
      <c r="F29" s="517" t="n">
        <f aca="false">F25+F28</f>
        <v>9850.71</v>
      </c>
      <c r="G29" s="518" t="n">
        <f aca="false">$G$28+$G$25</f>
        <v>473.86</v>
      </c>
      <c r="H29" s="519" t="n">
        <f aca="false">H25+H28</f>
        <v>0</v>
      </c>
      <c r="I29" s="520" t="n">
        <f aca="false">I25+I28</f>
        <v>224.44</v>
      </c>
      <c r="J29" s="101"/>
      <c r="K29" s="101"/>
      <c r="L29" s="101"/>
      <c r="M29" s="101"/>
      <c r="N29" s="101"/>
      <c r="O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18" t="n">
        <f aca="false">F25+F28</f>
        <v>9850.71</v>
      </c>
      <c r="F30" s="517" t="n">
        <f aca="false">ROUND((E30*D30),2)</f>
        <v>668.86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ROUND((I29*D30),2)</f>
        <v>15.24</v>
      </c>
      <c r="J30" s="101"/>
      <c r="K30" s="101"/>
      <c r="L30" s="101"/>
      <c r="M30" s="101"/>
      <c r="N30" s="101"/>
      <c r="O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33"/>
      <c r="F31" s="532" t="n">
        <f aca="false">F28+F30</f>
        <v>955.77</v>
      </c>
      <c r="G31" s="533" t="n">
        <f aca="false">$G$28+$G$30</f>
        <v>45.98</v>
      </c>
      <c r="H31" s="534" t="n">
        <f aca="false">H28+H30</f>
        <v>0</v>
      </c>
      <c r="I31" s="535" t="n">
        <f aca="false">I28+I30</f>
        <v>21.78</v>
      </c>
      <c r="J31" s="101"/>
      <c r="K31" s="101"/>
      <c r="L31" s="101"/>
      <c r="M31" s="101"/>
      <c r="N31" s="101"/>
      <c r="O31" s="101"/>
    </row>
    <row r="32" customFormat="false" ht="24.75" hidden="false" customHeight="true" outlineLevel="0" collapsed="false">
      <c r="A32" s="578" t="s">
        <v>411</v>
      </c>
      <c r="B32" s="578"/>
      <c r="C32" s="578"/>
      <c r="D32" s="578"/>
      <c r="E32" s="578"/>
      <c r="F32" s="532" t="n">
        <f aca="false">F14+F24+F31</f>
        <v>10519.57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I14+I24+I31</f>
        <v>239.68</v>
      </c>
      <c r="J32" s="101"/>
      <c r="K32" s="101"/>
      <c r="L32" s="101"/>
      <c r="M32" s="101"/>
      <c r="N32" s="101"/>
      <c r="O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  <c r="O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932.35</v>
      </c>
      <c r="G34" s="518" t="n">
        <f aca="false">ROUND(($G$39*$D$34),2)</f>
        <v>44.85</v>
      </c>
      <c r="H34" s="519" t="n">
        <f aca="false">ROUND((H39*D34),2)</f>
        <v>0</v>
      </c>
      <c r="I34" s="520" t="n">
        <f aca="false">ROUND((I39*D34),2)</f>
        <v>21.24</v>
      </c>
      <c r="J34" s="101"/>
      <c r="K34" s="101"/>
      <c r="L34" s="101"/>
      <c r="M34" s="101"/>
      <c r="N34" s="101"/>
      <c r="O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202.42</v>
      </c>
      <c r="G35" s="518" t="n">
        <f aca="false">ROUND(($G$39*$D$35),2)</f>
        <v>9.74</v>
      </c>
      <c r="H35" s="519" t="n">
        <f aca="false">ROUND((H39*D35),2)</f>
        <v>0</v>
      </c>
      <c r="I35" s="520" t="n">
        <f aca="false">ROUND((I39*D35),2)</f>
        <v>4.61</v>
      </c>
      <c r="J35" s="101"/>
      <c r="K35" s="101"/>
      <c r="L35" s="101"/>
      <c r="M35" s="101"/>
      <c r="N35" s="101"/>
      <c r="O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613.39</v>
      </c>
      <c r="G36" s="518" t="n">
        <f aca="false">ROUND(($G$39*$D$36),2)</f>
        <v>29.51</v>
      </c>
      <c r="H36" s="519" t="n">
        <f aca="false">ROUND((H39*D36),2)</f>
        <v>0</v>
      </c>
      <c r="I36" s="520" t="n">
        <f aca="false">ROUND((I39*D36),2)</f>
        <v>13.98</v>
      </c>
      <c r="J36" s="101"/>
      <c r="K36" s="101"/>
      <c r="L36" s="101"/>
      <c r="M36" s="101"/>
      <c r="N36" s="101"/>
      <c r="O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  <c r="O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1748.16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39.83</v>
      </c>
      <c r="J38" s="101"/>
      <c r="K38" s="101"/>
      <c r="L38" s="101"/>
      <c r="M38" s="101"/>
      <c r="N38" s="101"/>
      <c r="O38" s="101"/>
    </row>
    <row r="39" customFormat="false" ht="34.5" hidden="true" customHeight="true" outlineLevel="0" collapsed="false">
      <c r="A39" s="559" t="str">
        <f aca="false">A7</f>
        <v>Assistente de Apoio Financeiro (Nível Superior) - 200</v>
      </c>
      <c r="B39" s="559"/>
      <c r="C39" s="559"/>
      <c r="D39" s="559"/>
      <c r="E39" s="559"/>
      <c r="F39" s="560" t="n">
        <f aca="false">ROUND(F32/(1-D38),2)</f>
        <v>12267.72</v>
      </c>
      <c r="G39" s="561" t="n">
        <f aca="false">ROUND($G$32/(1-$D$38),2)</f>
        <v>590.13</v>
      </c>
      <c r="H39" s="562" t="n">
        <f aca="false">ROUND(H32/(1-D38),2)</f>
        <v>0</v>
      </c>
      <c r="I39" s="563" t="n">
        <f aca="false">ROUND(I32/(1-D38),2)</f>
        <v>279.51</v>
      </c>
      <c r="J39" s="101"/>
      <c r="K39" s="101"/>
      <c r="L39" s="101"/>
      <c r="M39" s="101"/>
      <c r="N39" s="101"/>
      <c r="O39" s="101"/>
    </row>
    <row r="40" customFormat="false" ht="30" hidden="false" customHeight="true" outlineLevel="0" collapsed="false">
      <c r="A40" s="579" t="str">
        <f aca="false">A7</f>
        <v>Assistente de Apoio Financeiro (Nível Superior) - 200</v>
      </c>
      <c r="B40" s="579"/>
      <c r="C40" s="579"/>
      <c r="D40" s="579"/>
      <c r="E40" s="579"/>
      <c r="F40" s="580" t="n">
        <f aca="false">F39</f>
        <v>12267.72</v>
      </c>
      <c r="G40" s="580" t="n">
        <f aca="false">$G$39</f>
        <v>590.13</v>
      </c>
      <c r="H40" s="580" t="n">
        <f aca="false">H39</f>
        <v>0</v>
      </c>
      <c r="I40" s="581" t="n">
        <f aca="false">I39</f>
        <v>279.51</v>
      </c>
      <c r="J40" s="101"/>
      <c r="K40" s="101"/>
      <c r="L40" s="101"/>
      <c r="M40" s="101"/>
      <c r="N40" s="101"/>
      <c r="O40" s="101"/>
    </row>
    <row r="41" customFormat="false" ht="29.25" hidden="false" customHeight="true" outlineLevel="0" collapsed="false">
      <c r="A41" s="582" t="s">
        <v>414</v>
      </c>
      <c r="B41" s="582"/>
      <c r="C41" s="582"/>
      <c r="D41" s="582"/>
      <c r="E41" s="582"/>
      <c r="F41" s="583" t="n">
        <f aca="false">($F$40/$F$12)/100</f>
        <v>0.0251645538461538</v>
      </c>
      <c r="G41" s="584"/>
      <c r="H41" s="584"/>
      <c r="I41" s="585"/>
      <c r="J41" s="101"/>
      <c r="K41" s="101"/>
      <c r="L41" s="101"/>
      <c r="M41" s="101"/>
      <c r="N41" s="101"/>
      <c r="O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66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  <c r="O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  <c r="O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  <c r="O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  <c r="O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  <c r="O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  <c r="O6" s="101"/>
    </row>
    <row r="7" customFormat="false" ht="30" hidden="false" customHeight="true" outlineLevel="0" collapsed="false">
      <c r="A7" s="502" t="str">
        <f aca="false">Dados!$B$14&amp;" - "&amp;$D$10</f>
        <v>Auxiliar Administrativo - Classe IV (Nível Superior) - 200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  <c r="O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  <c r="O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86" t="s">
        <v>390</v>
      </c>
      <c r="G9" s="586"/>
      <c r="H9" s="586"/>
      <c r="I9" s="586"/>
      <c r="J9" s="101"/>
      <c r="K9" s="101"/>
      <c r="L9" s="101"/>
      <c r="M9" s="101"/>
      <c r="N9" s="101"/>
      <c r="O9" s="101"/>
    </row>
    <row r="10" customFormat="false" ht="27.75" hidden="false" customHeight="true" outlineLevel="0" collapsed="false">
      <c r="A10" s="513" t="n">
        <v>1</v>
      </c>
      <c r="B10" s="514" t="str">
        <f aca="false">A7</f>
        <v>Auxiliar Administrativo - Classe IV (Nível Superior) - 200</v>
      </c>
      <c r="C10" s="514"/>
      <c r="D10" s="574" t="n">
        <f aca="false">Dados!$C$14</f>
        <v>200</v>
      </c>
      <c r="E10" s="516" t="n">
        <f aca="false">Dados!$E$14</f>
        <v>3289</v>
      </c>
      <c r="F10" s="517" t="n">
        <f aca="false">ROUND(E10/220*D10,2)</f>
        <v>2990</v>
      </c>
      <c r="G10" s="518"/>
      <c r="H10" s="519"/>
      <c r="I10" s="520"/>
      <c r="J10" s="101"/>
      <c r="K10" s="101"/>
      <c r="L10" s="101"/>
      <c r="M10" s="101"/>
      <c r="N10" s="101"/>
      <c r="O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87"/>
      <c r="J11" s="101"/>
      <c r="K11" s="101"/>
      <c r="L11" s="101"/>
      <c r="M11" s="101"/>
      <c r="N11" s="101"/>
      <c r="O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32" t="n">
        <f aca="false">F10+F11</f>
        <v>2990</v>
      </c>
      <c r="G12" s="533"/>
      <c r="H12" s="534"/>
      <c r="I12" s="535"/>
      <c r="J12" s="101"/>
      <c r="K12" s="101"/>
      <c r="L12" s="101"/>
      <c r="M12" s="101"/>
      <c r="N12" s="101"/>
      <c r="O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2363.6</v>
      </c>
      <c r="G13" s="518"/>
      <c r="H13" s="519"/>
      <c r="I13" s="520"/>
      <c r="J13" s="101"/>
      <c r="K13" s="101"/>
      <c r="L13" s="101"/>
      <c r="M13" s="101"/>
      <c r="N13" s="101"/>
      <c r="O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5353.6</v>
      </c>
      <c r="G14" s="533"/>
      <c r="H14" s="534"/>
      <c r="I14" s="535"/>
      <c r="J14" s="101"/>
      <c r="K14" s="101"/>
      <c r="L14" s="101"/>
      <c r="M14" s="101"/>
      <c r="N14" s="101"/>
      <c r="O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  <c r="O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397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  <c r="O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Dados!$I$14</f>
        <v>72.65</v>
      </c>
      <c r="G17" s="518"/>
      <c r="H17" s="519"/>
      <c r="I17" s="520"/>
      <c r="J17" s="101"/>
      <c r="K17" s="101"/>
      <c r="L17" s="101"/>
      <c r="M17" s="101"/>
      <c r="N17" s="101"/>
      <c r="O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Dados!$G$35</f>
        <v>2.2</v>
      </c>
      <c r="G18" s="518"/>
      <c r="H18" s="519"/>
      <c r="I18" s="520"/>
      <c r="J18" s="101"/>
      <c r="K18" s="101"/>
      <c r="L18" s="101"/>
      <c r="M18" s="101"/>
      <c r="N18" s="101"/>
      <c r="O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Dados!$G$36</f>
        <v>80.72</v>
      </c>
      <c r="G19" s="518"/>
      <c r="H19" s="519"/>
      <c r="I19" s="520"/>
      <c r="J19" s="101"/>
      <c r="K19" s="101"/>
      <c r="L19" s="101"/>
      <c r="M19" s="101"/>
      <c r="N19" s="101"/>
      <c r="O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460.06</v>
      </c>
      <c r="G20" s="518" t="n">
        <f aca="false">F20</f>
        <v>460.06</v>
      </c>
      <c r="H20" s="519"/>
      <c r="I20" s="520"/>
      <c r="J20" s="101"/>
      <c r="K20" s="101"/>
      <c r="L20" s="101"/>
      <c r="M20" s="101"/>
      <c r="N20" s="101"/>
      <c r="O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331</v>
      </c>
      <c r="G21" s="518"/>
      <c r="H21" s="519"/>
      <c r="I21" s="520" t="n">
        <f aca="false">F21</f>
        <v>331</v>
      </c>
      <c r="J21" s="101"/>
      <c r="K21" s="101"/>
      <c r="L21" s="101"/>
      <c r="M21" s="101"/>
      <c r="N21" s="101"/>
      <c r="O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  <c r="M22" s="101"/>
      <c r="N22" s="101"/>
      <c r="O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  <c r="M23" s="101"/>
      <c r="N23" s="101"/>
      <c r="O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946.63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331</v>
      </c>
      <c r="J24" s="101"/>
      <c r="K24" s="101"/>
      <c r="L24" s="101"/>
      <c r="M24" s="101"/>
      <c r="N24" s="101"/>
      <c r="O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$F$14+$F$24</f>
        <v>6300.23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331</v>
      </c>
      <c r="J25" s="101"/>
      <c r="K25" s="101"/>
      <c r="L25" s="101"/>
      <c r="M25" s="101"/>
      <c r="N25" s="101"/>
      <c r="O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/>
      <c r="I26" s="536"/>
      <c r="J26" s="101"/>
      <c r="K26" s="101"/>
      <c r="L26" s="101"/>
      <c r="M26" s="101"/>
      <c r="N26" s="101"/>
      <c r="O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88" t="s">
        <v>407</v>
      </c>
      <c r="E27" s="588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  <c r="O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ROUND(($F$25*$D$28),2)</f>
        <v>189.01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ROUND(($I$25*$D$28),2)</f>
        <v>9.93</v>
      </c>
      <c r="J28" s="101"/>
      <c r="K28" s="101"/>
      <c r="L28" s="101"/>
      <c r="M28" s="101"/>
      <c r="N28" s="101"/>
      <c r="O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$F$25+$F$28</f>
        <v>6489.24</v>
      </c>
      <c r="G29" s="518" t="n">
        <f aca="false">$G$28+$G$25</f>
        <v>473.86</v>
      </c>
      <c r="H29" s="519" t="n">
        <f aca="false">H25+H28</f>
        <v>0</v>
      </c>
      <c r="I29" s="520" t="n">
        <f aca="false">$I$25+$I$28</f>
        <v>340.93</v>
      </c>
      <c r="J29" s="101"/>
      <c r="K29" s="101"/>
      <c r="L29" s="101"/>
      <c r="M29" s="101"/>
      <c r="N29" s="101"/>
      <c r="O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$F$25+$F$28</f>
        <v>6489.24</v>
      </c>
      <c r="F30" s="517" t="n">
        <f aca="false">ROUND(($E$30*$D$30),2)</f>
        <v>440.62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ROUND(($I$29*$D$30),2)</f>
        <v>23.15</v>
      </c>
      <c r="J30" s="101"/>
      <c r="K30" s="101"/>
      <c r="L30" s="101"/>
      <c r="M30" s="101"/>
      <c r="N30" s="101"/>
      <c r="O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SUM($D$28:$D$30)</f>
        <v>0.0979</v>
      </c>
      <c r="E31" s="554"/>
      <c r="F31" s="532" t="n">
        <f aca="false">$F$28+$F$30</f>
        <v>629.63</v>
      </c>
      <c r="G31" s="533" t="n">
        <f aca="false">$G$28+$G$30</f>
        <v>45.98</v>
      </c>
      <c r="H31" s="534" t="n">
        <f aca="false">H28+H30</f>
        <v>0</v>
      </c>
      <c r="I31" s="535" t="n">
        <f aca="false">$I$28+$I$30</f>
        <v>33.08</v>
      </c>
      <c r="J31" s="101"/>
      <c r="K31" s="101"/>
      <c r="L31" s="101"/>
      <c r="M31" s="101"/>
      <c r="N31" s="101"/>
      <c r="O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$F$14+$F$24+$F$31</f>
        <v>6929.86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$I$14+$I$24+$I$31</f>
        <v>364.08</v>
      </c>
      <c r="J32" s="101"/>
      <c r="K32" s="101"/>
      <c r="L32" s="101"/>
      <c r="M32" s="101"/>
      <c r="N32" s="101"/>
      <c r="O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  <c r="O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ROUND(($F$39*$D$34),2)</f>
        <v>614.19</v>
      </c>
      <c r="G34" s="518" t="n">
        <f aca="false">ROUND(($G$39*$D$34),2)</f>
        <v>44.85</v>
      </c>
      <c r="H34" s="519" t="n">
        <f aca="false">ROUND(($H$39*$D$34),2)</f>
        <v>0</v>
      </c>
      <c r="I34" s="520" t="n">
        <f aca="false">ROUND(($I$39*$D$34),2)</f>
        <v>32.27</v>
      </c>
      <c r="J34" s="101"/>
      <c r="K34" s="101"/>
      <c r="L34" s="101"/>
      <c r="M34" s="101"/>
      <c r="N34" s="101"/>
      <c r="O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ROUND(($F$39*$D$35),2)</f>
        <v>133.34</v>
      </c>
      <c r="G35" s="518" t="n">
        <f aca="false">ROUND(($G$39*$D$35),2)</f>
        <v>9.74</v>
      </c>
      <c r="H35" s="519" t="n">
        <f aca="false">ROUND(($H$39*$D$35),2)</f>
        <v>0</v>
      </c>
      <c r="I35" s="520" t="n">
        <f aca="false">ROUND(($I$39*$D$35),2)</f>
        <v>7.01</v>
      </c>
      <c r="J35" s="101"/>
      <c r="K35" s="101"/>
      <c r="L35" s="101"/>
      <c r="M35" s="101"/>
      <c r="N35" s="101"/>
      <c r="O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ROUND(($F$39*$D$36),2)</f>
        <v>404.07</v>
      </c>
      <c r="G36" s="518" t="n">
        <f aca="false">ROUND(($G$39*$D$36),2)</f>
        <v>29.51</v>
      </c>
      <c r="H36" s="519" t="n">
        <f aca="false">ROUND(($H$39*$D$36),2)</f>
        <v>0</v>
      </c>
      <c r="I36" s="520" t="n">
        <f aca="false">ROUND(($I$39*$D$36),2)</f>
        <v>21.23</v>
      </c>
      <c r="J36" s="101"/>
      <c r="K36" s="101"/>
      <c r="L36" s="101"/>
      <c r="M36" s="101"/>
      <c r="N36" s="101"/>
      <c r="O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  <c r="O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1151.6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60.51</v>
      </c>
      <c r="J38" s="101"/>
      <c r="K38" s="101"/>
      <c r="L38" s="101"/>
      <c r="M38" s="101"/>
      <c r="N38" s="101"/>
      <c r="O38" s="101"/>
    </row>
    <row r="39" customFormat="false" ht="34.5" hidden="true" customHeight="true" outlineLevel="0" collapsed="false">
      <c r="A39" s="559" t="str">
        <f aca="false">A7</f>
        <v>Auxiliar Administrativo - Classe IV (Nível Superior) - 200</v>
      </c>
      <c r="B39" s="559"/>
      <c r="C39" s="559"/>
      <c r="D39" s="559"/>
      <c r="E39" s="559"/>
      <c r="F39" s="560" t="n">
        <f aca="false">ROUND($F$32/(1-$D$38),2)</f>
        <v>8081.47</v>
      </c>
      <c r="G39" s="561" t="n">
        <f aca="false">ROUND($G$32/(1-$D$38),2)</f>
        <v>590.13</v>
      </c>
      <c r="H39" s="562" t="n">
        <f aca="false">ROUND($H$32/(1-$D$38),2)</f>
        <v>0</v>
      </c>
      <c r="I39" s="563" t="n">
        <f aca="false">ROUND($I$32/(1-$D$38),2)</f>
        <v>424.58</v>
      </c>
      <c r="J39" s="101"/>
      <c r="K39" s="101"/>
      <c r="L39" s="101"/>
      <c r="M39" s="101"/>
      <c r="N39" s="101"/>
      <c r="O39" s="101"/>
    </row>
    <row r="40" customFormat="false" ht="30" hidden="false" customHeight="true" outlineLevel="0" collapsed="false">
      <c r="A40" s="589" t="str">
        <f aca="false">A7</f>
        <v>Auxiliar Administrativo - Classe IV (Nível Superior) - 200</v>
      </c>
      <c r="B40" s="589"/>
      <c r="C40" s="589"/>
      <c r="D40" s="589"/>
      <c r="E40" s="589"/>
      <c r="F40" s="590" t="n">
        <f aca="false">$F$39</f>
        <v>8081.47</v>
      </c>
      <c r="G40" s="591" t="n">
        <f aca="false">$G$39</f>
        <v>590.13</v>
      </c>
      <c r="H40" s="580" t="n">
        <f aca="false">$H$39</f>
        <v>0</v>
      </c>
      <c r="I40" s="581" t="n">
        <f aca="false">$I$39</f>
        <v>424.58</v>
      </c>
      <c r="J40" s="101"/>
      <c r="K40" s="101"/>
      <c r="L40" s="101"/>
      <c r="M40" s="101"/>
      <c r="N40" s="101"/>
      <c r="O40" s="101"/>
    </row>
    <row r="41" customFormat="false" ht="29.25" hidden="false" customHeight="true" outlineLevel="0" collapsed="false">
      <c r="A41" s="592" t="s">
        <v>414</v>
      </c>
      <c r="B41" s="592"/>
      <c r="C41" s="592"/>
      <c r="D41" s="592"/>
      <c r="E41" s="592"/>
      <c r="F41" s="593" t="n">
        <f aca="false">($F$40/$F$12)/100</f>
        <v>0.0270283277591973</v>
      </c>
      <c r="G41" s="594"/>
      <c r="H41" s="584"/>
      <c r="I41" s="585"/>
      <c r="J41" s="101"/>
      <c r="K41" s="101"/>
      <c r="L41" s="101"/>
      <c r="M41" s="101"/>
      <c r="N41" s="101"/>
      <c r="O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1.01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</row>
    <row r="7" customFormat="false" ht="30" hidden="false" customHeight="true" outlineLevel="0" collapsed="false">
      <c r="A7" s="502" t="str">
        <f aca="false">Dados!$B$16&amp;" - "&amp;$D$10</f>
        <v>Encarregado Geral - 220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86" t="s">
        <v>390</v>
      </c>
      <c r="G9" s="586"/>
      <c r="H9" s="586"/>
      <c r="I9" s="586"/>
      <c r="J9" s="101"/>
      <c r="K9" s="101"/>
      <c r="L9" s="101"/>
      <c r="M9" s="101"/>
      <c r="N9" s="101"/>
    </row>
    <row r="10" customFormat="false" ht="26.25" hidden="false" customHeight="true" outlineLevel="0" collapsed="false">
      <c r="A10" s="513" t="n">
        <v>1</v>
      </c>
      <c r="B10" s="514" t="str">
        <f aca="false">A7</f>
        <v>Encarregado Geral - 220</v>
      </c>
      <c r="C10" s="514"/>
      <c r="D10" s="574" t="n">
        <f aca="false">Dados!$C$16</f>
        <v>220</v>
      </c>
      <c r="E10" s="516" t="n">
        <f aca="false">Dados!$E$16</f>
        <v>2753.93</v>
      </c>
      <c r="F10" s="517" t="n">
        <f aca="false">ROUND(E10/220*D10,2)</f>
        <v>2753.93</v>
      </c>
      <c r="G10" s="595"/>
      <c r="H10" s="596"/>
      <c r="I10" s="520"/>
      <c r="J10" s="101"/>
      <c r="K10" s="101"/>
      <c r="L10" s="101"/>
      <c r="M10" s="101"/>
      <c r="N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87"/>
      <c r="J11" s="101"/>
      <c r="K11" s="101"/>
      <c r="L11" s="101"/>
      <c r="M11" s="101"/>
      <c r="N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32" t="n">
        <f aca="false">F10+F11</f>
        <v>2753.93</v>
      </c>
      <c r="G12" s="526"/>
      <c r="H12" s="527"/>
      <c r="I12" s="535"/>
      <c r="J12" s="101"/>
      <c r="K12" s="101"/>
      <c r="L12" s="101"/>
      <c r="M12" s="101"/>
      <c r="N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2176.98</v>
      </c>
      <c r="G13" s="518"/>
      <c r="H13" s="519"/>
      <c r="I13" s="520"/>
      <c r="J13" s="101"/>
      <c r="K13" s="101"/>
      <c r="L13" s="101"/>
      <c r="M13" s="101"/>
      <c r="N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4930.91</v>
      </c>
      <c r="G14" s="533"/>
      <c r="H14" s="534"/>
      <c r="I14" s="535"/>
      <c r="J14" s="101"/>
      <c r="K14" s="101"/>
      <c r="L14" s="101"/>
      <c r="M14" s="101"/>
      <c r="N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Dados!$I$16</f>
        <v>72.65</v>
      </c>
      <c r="G17" s="518"/>
      <c r="H17" s="519"/>
      <c r="I17" s="520"/>
      <c r="J17" s="101"/>
      <c r="K17" s="101"/>
      <c r="L17" s="101"/>
      <c r="M17" s="101"/>
      <c r="N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Dados!$G$35</f>
        <v>2.2</v>
      </c>
      <c r="G18" s="518"/>
      <c r="H18" s="519"/>
      <c r="I18" s="520"/>
      <c r="J18" s="101"/>
      <c r="K18" s="101"/>
      <c r="L18" s="101"/>
      <c r="M18" s="101"/>
      <c r="N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Dados!$G$36</f>
        <v>80.72</v>
      </c>
      <c r="G19" s="518"/>
      <c r="H19" s="519"/>
      <c r="I19" s="520"/>
      <c r="J19" s="101"/>
      <c r="K19" s="101"/>
      <c r="L19" s="101"/>
      <c r="M19" s="101"/>
      <c r="N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97" t="n">
        <f aca="false">ROUND((IF(D10&gt;150,((C20*D20)-(E20*(C20*D20))),0)),2)</f>
        <v>460.06</v>
      </c>
      <c r="G20" s="598" t="n">
        <f aca="false">F20</f>
        <v>460.06</v>
      </c>
      <c r="H20" s="519"/>
      <c r="I20" s="520"/>
      <c r="J20" s="101"/>
      <c r="K20" s="101"/>
      <c r="L20" s="101"/>
      <c r="M20" s="101"/>
      <c r="N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97" t="n">
        <f aca="false">ROUND((($C$21*$D$21*Dados!$G$42)+($C$21*$E$21*Dados!$G$40) -(F10*Dados!$G$45)),2)</f>
        <v>345.16</v>
      </c>
      <c r="G21" s="598"/>
      <c r="H21" s="519"/>
      <c r="I21" s="520" t="n">
        <f aca="false">F21</f>
        <v>345.16</v>
      </c>
      <c r="J21" s="101"/>
      <c r="K21" s="101"/>
      <c r="L21" s="101"/>
      <c r="M21" s="101"/>
      <c r="N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97" t="n">
        <f aca="false">ROUND((C22*D22),2)</f>
        <v>0</v>
      </c>
      <c r="G22" s="598"/>
      <c r="H22" s="519"/>
      <c r="I22" s="520"/>
      <c r="J22" s="101"/>
      <c r="K22" s="101"/>
      <c r="L22" s="101"/>
      <c r="M22" s="101"/>
      <c r="N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97" t="n">
        <f aca="false">ROUND((C23*D23),2)</f>
        <v>0</v>
      </c>
      <c r="G23" s="598"/>
      <c r="H23" s="519"/>
      <c r="I23" s="520"/>
      <c r="J23" s="101"/>
      <c r="K23" s="101"/>
      <c r="L23" s="101"/>
      <c r="M23" s="101"/>
      <c r="N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960.79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345.16</v>
      </c>
      <c r="J24" s="101"/>
      <c r="K24" s="101"/>
      <c r="L24" s="101"/>
      <c r="M24" s="101"/>
      <c r="N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$F$14+$F$24</f>
        <v>5891.7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345.16</v>
      </c>
      <c r="J25" s="101"/>
      <c r="K25" s="101"/>
      <c r="L25" s="101"/>
      <c r="M25" s="101"/>
      <c r="N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/>
      <c r="I26" s="536"/>
      <c r="J26" s="101"/>
      <c r="K26" s="101"/>
      <c r="L26" s="101"/>
      <c r="M26" s="101"/>
      <c r="N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99" t="s">
        <v>407</v>
      </c>
      <c r="E27" s="599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ROUND(($F$25*$D$28),2)</f>
        <v>176.75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ROUND(($I$25*$D$28),2)</f>
        <v>10.35</v>
      </c>
      <c r="J28" s="101"/>
      <c r="K28" s="101"/>
      <c r="L28" s="101"/>
      <c r="M28" s="101"/>
      <c r="N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$F$25+$F$28</f>
        <v>6068.45</v>
      </c>
      <c r="G29" s="518" t="n">
        <f aca="false">$G$28+$G$25</f>
        <v>473.86</v>
      </c>
      <c r="H29" s="519" t="n">
        <f aca="false">H25+H28</f>
        <v>0</v>
      </c>
      <c r="I29" s="520" t="n">
        <f aca="false">$I$25+$I$28</f>
        <v>355.51</v>
      </c>
      <c r="J29" s="101"/>
      <c r="K29" s="101"/>
      <c r="L29" s="101"/>
      <c r="M29" s="101"/>
      <c r="N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$F$25+$F$28</f>
        <v>6068.45</v>
      </c>
      <c r="F30" s="517" t="n">
        <f aca="false">ROUND(($E$30*$D$30),2)</f>
        <v>412.05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ROUND(($I$29*$D$30),2)</f>
        <v>24.14</v>
      </c>
      <c r="J30" s="101"/>
      <c r="K30" s="101"/>
      <c r="L30" s="101"/>
      <c r="M30" s="101"/>
      <c r="N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SUM($D$28:$D$30)</f>
        <v>0.0979</v>
      </c>
      <c r="E31" s="554"/>
      <c r="F31" s="532" t="n">
        <f aca="false">$F$28+$F$30</f>
        <v>588.8</v>
      </c>
      <c r="G31" s="533" t="n">
        <f aca="false">$G$28+$G$30</f>
        <v>45.98</v>
      </c>
      <c r="H31" s="534" t="n">
        <f aca="false">H28+H30</f>
        <v>0</v>
      </c>
      <c r="I31" s="535" t="n">
        <f aca="false">$I$28+$I$30</f>
        <v>34.49</v>
      </c>
      <c r="J31" s="101"/>
      <c r="K31" s="101"/>
      <c r="L31" s="101"/>
      <c r="M31" s="101"/>
      <c r="N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$F$14+$F$24+$F$31</f>
        <v>6480.5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$I$14+$I$24+$I$31</f>
        <v>379.65</v>
      </c>
      <c r="J32" s="101"/>
      <c r="K32" s="101"/>
      <c r="L32" s="101"/>
      <c r="M32" s="101"/>
      <c r="N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ROUND(($F$39*$D$34),2)</f>
        <v>574.36</v>
      </c>
      <c r="G34" s="518" t="n">
        <f aca="false">ROUND(($G$39*$D$34),2)</f>
        <v>44.85</v>
      </c>
      <c r="H34" s="519" t="n">
        <f aca="false">ROUND(($H$39*$D$34),2)</f>
        <v>0</v>
      </c>
      <c r="I34" s="520" t="n">
        <f aca="false">ROUND(($I$39*$D$34),2)</f>
        <v>33.65</v>
      </c>
      <c r="J34" s="101"/>
      <c r="K34" s="101"/>
      <c r="L34" s="101"/>
      <c r="M34" s="101"/>
      <c r="N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ROUND(($F$39*$D$35),2)</f>
        <v>124.7</v>
      </c>
      <c r="G35" s="518" t="n">
        <f aca="false">ROUND(($G$39*$D$35),2)</f>
        <v>9.74</v>
      </c>
      <c r="H35" s="519" t="n">
        <f aca="false">ROUND(($H$39*$D$35),2)</f>
        <v>0</v>
      </c>
      <c r="I35" s="520" t="n">
        <f aca="false">ROUND(($I$39*$D$35),2)</f>
        <v>7.31</v>
      </c>
      <c r="J35" s="101"/>
      <c r="K35" s="101"/>
      <c r="L35" s="101"/>
      <c r="M35" s="101"/>
      <c r="N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ROUND(($F$39*$D$36),2)</f>
        <v>377.87</v>
      </c>
      <c r="G36" s="518" t="n">
        <f aca="false">ROUND(($G$39*$D$36),2)</f>
        <v>29.51</v>
      </c>
      <c r="H36" s="519" t="n">
        <f aca="false">ROUND(($H$39*$D$36),2)</f>
        <v>0</v>
      </c>
      <c r="I36" s="520" t="n">
        <f aca="false">ROUND(($I$39*$D$36),2)</f>
        <v>22.14</v>
      </c>
      <c r="J36" s="101"/>
      <c r="K36" s="101"/>
      <c r="L36" s="101"/>
      <c r="M36" s="101"/>
      <c r="N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1076.93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63.1</v>
      </c>
      <c r="J38" s="101"/>
      <c r="K38" s="101"/>
      <c r="L38" s="101"/>
      <c r="M38" s="101"/>
      <c r="N38" s="101"/>
    </row>
    <row r="39" customFormat="false" ht="34.5" hidden="true" customHeight="true" outlineLevel="0" collapsed="false">
      <c r="A39" s="559" t="str">
        <f aca="false">A7</f>
        <v>Encarregado Geral - 220</v>
      </c>
      <c r="B39" s="559"/>
      <c r="C39" s="559"/>
      <c r="D39" s="559"/>
      <c r="E39" s="559"/>
      <c r="F39" s="560" t="n">
        <f aca="false">ROUND($F$32/(1-$D$38),2)</f>
        <v>7557.43</v>
      </c>
      <c r="G39" s="561" t="n">
        <f aca="false">ROUND($G$32/(1-$D$38),2)</f>
        <v>590.13</v>
      </c>
      <c r="H39" s="562" t="n">
        <f aca="false">ROUND($H$32/(1-$D$38),2)</f>
        <v>0</v>
      </c>
      <c r="I39" s="563" t="n">
        <f aca="false">ROUND($I$32/(1-$D$38),2)</f>
        <v>442.74</v>
      </c>
      <c r="J39" s="101"/>
      <c r="K39" s="101"/>
      <c r="L39" s="101"/>
      <c r="M39" s="101"/>
      <c r="N39" s="101"/>
    </row>
    <row r="40" customFormat="false" ht="30" hidden="false" customHeight="true" outlineLevel="0" collapsed="false">
      <c r="A40" s="589" t="str">
        <f aca="false">A7</f>
        <v>Encarregado Geral - 220</v>
      </c>
      <c r="B40" s="589"/>
      <c r="C40" s="589"/>
      <c r="D40" s="589"/>
      <c r="E40" s="589"/>
      <c r="F40" s="590" t="n">
        <f aca="false">$F$39</f>
        <v>7557.43</v>
      </c>
      <c r="G40" s="591" t="n">
        <f aca="false">$G$39</f>
        <v>590.13</v>
      </c>
      <c r="H40" s="580" t="n">
        <f aca="false">$H$39</f>
        <v>0</v>
      </c>
      <c r="I40" s="581" t="n">
        <f aca="false">$I$39</f>
        <v>442.74</v>
      </c>
      <c r="J40" s="101"/>
      <c r="K40" s="101"/>
      <c r="L40" s="101"/>
      <c r="M40" s="101"/>
      <c r="N40" s="101"/>
    </row>
    <row r="41" customFormat="false" ht="29.25" hidden="false" customHeight="true" outlineLevel="0" collapsed="false">
      <c r="A41" s="592" t="s">
        <v>414</v>
      </c>
      <c r="B41" s="592"/>
      <c r="C41" s="592"/>
      <c r="D41" s="592"/>
      <c r="E41" s="592"/>
      <c r="F41" s="593" t="n">
        <f aca="false">($F$40/$F$12)/100</f>
        <v>0.0274423460291293</v>
      </c>
      <c r="G41" s="594"/>
      <c r="H41" s="584"/>
      <c r="I41" s="585"/>
      <c r="J41" s="101"/>
      <c r="K41" s="101"/>
      <c r="L41" s="101"/>
      <c r="M41" s="101"/>
      <c r="N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31"/>
    <col collapsed="false" customWidth="true" hidden="false" outlineLevel="0" max="3" min="3" style="0" width="8.67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600"/>
      <c r="B1" s="490" t="s">
        <v>0</v>
      </c>
      <c r="C1" s="601"/>
      <c r="D1" s="601"/>
      <c r="E1" s="601"/>
      <c r="F1" s="602"/>
      <c r="G1" s="602"/>
      <c r="H1" s="602"/>
      <c r="I1" s="603"/>
    </row>
    <row r="2" customFormat="false" ht="12.75" hidden="false" customHeight="false" outlineLevel="0" collapsed="false">
      <c r="A2" s="604"/>
      <c r="B2" s="495" t="s">
        <v>1</v>
      </c>
      <c r="C2" s="605"/>
      <c r="D2" s="605"/>
      <c r="E2" s="605"/>
      <c r="F2" s="606"/>
      <c r="G2" s="606"/>
      <c r="H2" s="606"/>
      <c r="I2" s="607"/>
    </row>
    <row r="3" customFormat="false" ht="12.75" hidden="false" customHeight="false" outlineLevel="0" collapsed="false">
      <c r="A3" s="608"/>
      <c r="B3" s="495" t="s">
        <v>2</v>
      </c>
      <c r="C3" s="605"/>
      <c r="D3" s="605"/>
      <c r="E3" s="605"/>
      <c r="F3" s="606"/>
      <c r="G3" s="606"/>
      <c r="H3" s="606"/>
      <c r="I3" s="607"/>
    </row>
    <row r="4" customFormat="false" ht="32.25" hidden="false" customHeight="true" outlineLevel="0" collapsed="false">
      <c r="A4" s="609" t="s">
        <v>379</v>
      </c>
      <c r="B4" s="609"/>
      <c r="C4" s="609"/>
      <c r="D4" s="609"/>
      <c r="E4" s="609"/>
      <c r="F4" s="609"/>
      <c r="G4" s="609"/>
      <c r="H4" s="609"/>
      <c r="I4" s="609"/>
    </row>
    <row r="5" customFormat="false" ht="32.25" hidden="false" customHeight="true" outlineLevel="0" collapsed="false">
      <c r="A5" s="610" t="str">
        <f aca="false">Dados!A5</f>
        <v>Sindicato utilizado - SINDEAC/MG. Vigência: 01/01/2023 à 31/12/2023
Sendo a data base da categoria 01º de Janeiro. Com número de registro no MTE MG000001/2023.</v>
      </c>
      <c r="B5" s="610"/>
      <c r="C5" s="610"/>
      <c r="D5" s="610"/>
      <c r="E5" s="610"/>
      <c r="F5" s="610"/>
      <c r="G5" s="610"/>
      <c r="H5" s="610"/>
      <c r="I5" s="610"/>
    </row>
    <row r="6" customFormat="false" ht="22.5" hidden="false" customHeight="true" outlineLevel="0" collapsed="false">
      <c r="A6" s="611" t="s">
        <v>380</v>
      </c>
      <c r="B6" s="611"/>
      <c r="C6" s="611"/>
      <c r="D6" s="611"/>
      <c r="E6" s="611"/>
      <c r="F6" s="611"/>
      <c r="G6" s="611"/>
      <c r="H6" s="611"/>
      <c r="I6" s="611"/>
    </row>
    <row r="7" customFormat="false" ht="30" hidden="false" customHeight="true" outlineLevel="0" collapsed="false">
      <c r="A7" s="612" t="str">
        <f aca="false">Dados!$B$17&amp;" - "&amp;$D$10</f>
        <v>Operador e Editor de Áudio e Vídeo - 150</v>
      </c>
      <c r="B7" s="612"/>
      <c r="C7" s="612"/>
      <c r="D7" s="612"/>
      <c r="E7" s="612"/>
      <c r="F7" s="613" t="s">
        <v>381</v>
      </c>
      <c r="G7" s="613" t="s">
        <v>382</v>
      </c>
      <c r="H7" s="614" t="s">
        <v>383</v>
      </c>
      <c r="I7" s="615" t="s">
        <v>384</v>
      </c>
    </row>
    <row r="8" customFormat="false" ht="18" hidden="false" customHeight="true" outlineLevel="0" collapsed="false">
      <c r="A8" s="616" t="s">
        <v>385</v>
      </c>
      <c r="B8" s="616"/>
      <c r="C8" s="616"/>
      <c r="D8" s="616"/>
      <c r="E8" s="617" t="s">
        <v>161</v>
      </c>
      <c r="F8" s="613"/>
      <c r="G8" s="613"/>
      <c r="H8" s="614"/>
      <c r="I8" s="615"/>
    </row>
    <row r="9" customFormat="false" ht="24.75" hidden="false" customHeight="true" outlineLevel="0" collapsed="false">
      <c r="A9" s="618" t="s">
        <v>386</v>
      </c>
      <c r="B9" s="619" t="s">
        <v>387</v>
      </c>
      <c r="C9" s="619"/>
      <c r="D9" s="620" t="s">
        <v>388</v>
      </c>
      <c r="E9" s="621" t="s">
        <v>389</v>
      </c>
      <c r="F9" s="622" t="s">
        <v>390</v>
      </c>
      <c r="G9" s="622"/>
      <c r="H9" s="622"/>
      <c r="I9" s="622"/>
    </row>
    <row r="10" customFormat="false" ht="28.5" hidden="false" customHeight="true" outlineLevel="0" collapsed="false">
      <c r="A10" s="623" t="n">
        <v>1</v>
      </c>
      <c r="B10" s="624" t="str">
        <f aca="false">A7</f>
        <v>Operador e Editor de Áudio e Vídeo - 150</v>
      </c>
      <c r="C10" s="624"/>
      <c r="D10" s="625" t="n">
        <f aca="false">Dados!$C$17</f>
        <v>150</v>
      </c>
      <c r="E10" s="626" t="n">
        <f aca="false">Dados!$E$17</f>
        <v>4789.71</v>
      </c>
      <c r="F10" s="627" t="n">
        <f aca="false">ROUND(E10/200*D10,2)</f>
        <v>3592.28</v>
      </c>
      <c r="G10" s="628"/>
      <c r="H10" s="629"/>
      <c r="I10" s="630"/>
    </row>
    <row r="11" customFormat="false" ht="24" hidden="false" customHeight="true" outlineLevel="0" collapsed="false">
      <c r="A11" s="623"/>
      <c r="B11" s="631"/>
      <c r="C11" s="631"/>
      <c r="D11" s="632"/>
      <c r="E11" s="633"/>
      <c r="F11" s="627" t="n">
        <f aca="false">ROUND(((E11/220*D10)*C11)*D11,2)</f>
        <v>0</v>
      </c>
      <c r="G11" s="628"/>
      <c r="H11" s="629"/>
      <c r="I11" s="630"/>
    </row>
    <row r="12" customFormat="false" ht="19.5" hidden="false" customHeight="true" outlineLevel="0" collapsed="false">
      <c r="A12" s="623"/>
      <c r="B12" s="634" t="s">
        <v>391</v>
      </c>
      <c r="C12" s="634"/>
      <c r="D12" s="634"/>
      <c r="E12" s="634"/>
      <c r="F12" s="635" t="n">
        <f aca="false">F10+F11</f>
        <v>3592.28</v>
      </c>
      <c r="G12" s="636"/>
      <c r="H12" s="637"/>
      <c r="I12" s="638"/>
    </row>
    <row r="13" customFormat="false" ht="19.5" hidden="false" customHeight="true" outlineLevel="0" collapsed="false">
      <c r="A13" s="623"/>
      <c r="B13" s="639" t="s">
        <v>392</v>
      </c>
      <c r="C13" s="639"/>
      <c r="D13" s="639"/>
      <c r="E13" s="640" t="n">
        <f aca="false">Dados!G28</f>
        <v>0.7905</v>
      </c>
      <c r="F13" s="641" t="n">
        <f aca="false">(ROUND((E13*F12),2))</f>
        <v>2839.7</v>
      </c>
      <c r="G13" s="642"/>
      <c r="H13" s="629"/>
      <c r="I13" s="630"/>
    </row>
    <row r="14" customFormat="false" ht="24.75" hidden="false" customHeight="true" outlineLevel="0" collapsed="false">
      <c r="A14" s="643" t="s">
        <v>393</v>
      </c>
      <c r="B14" s="643"/>
      <c r="C14" s="643"/>
      <c r="D14" s="643"/>
      <c r="E14" s="643"/>
      <c r="F14" s="635" t="n">
        <f aca="false">ROUND(SUM(F12:F13),2)</f>
        <v>6431.98</v>
      </c>
      <c r="G14" s="644"/>
      <c r="H14" s="645"/>
      <c r="I14" s="646"/>
    </row>
    <row r="15" customFormat="false" ht="19.5" hidden="false" customHeight="true" outlineLevel="0" collapsed="false">
      <c r="A15" s="647" t="s">
        <v>394</v>
      </c>
      <c r="B15" s="647"/>
      <c r="C15" s="647"/>
      <c r="D15" s="647"/>
      <c r="E15" s="647"/>
      <c r="F15" s="647"/>
      <c r="G15" s="647"/>
      <c r="H15" s="647"/>
      <c r="I15" s="647"/>
    </row>
    <row r="16" customFormat="false" ht="19.5" hidden="false" customHeight="true" outlineLevel="0" collapsed="false">
      <c r="A16" s="648" t="s">
        <v>395</v>
      </c>
      <c r="B16" s="648"/>
      <c r="C16" s="649" t="s">
        <v>396</v>
      </c>
      <c r="D16" s="650" t="s">
        <v>397</v>
      </c>
      <c r="E16" s="650"/>
      <c r="F16" s="650"/>
      <c r="G16" s="650"/>
      <c r="H16" s="650"/>
      <c r="I16" s="650"/>
    </row>
    <row r="17" customFormat="false" ht="19.5" hidden="false" customHeight="true" outlineLevel="0" collapsed="false">
      <c r="A17" s="651" t="s">
        <v>398</v>
      </c>
      <c r="B17" s="651"/>
      <c r="C17" s="652"/>
      <c r="D17" s="653"/>
      <c r="E17" s="626"/>
      <c r="F17" s="641" t="n">
        <f aca="false">Dados!$I$17</f>
        <v>53.87</v>
      </c>
      <c r="G17" s="642"/>
      <c r="H17" s="629"/>
      <c r="I17" s="630"/>
    </row>
    <row r="18" customFormat="false" ht="19.5" hidden="false" customHeight="true" outlineLevel="0" collapsed="false">
      <c r="A18" s="651" t="s">
        <v>399</v>
      </c>
      <c r="B18" s="651"/>
      <c r="C18" s="652"/>
      <c r="D18" s="653"/>
      <c r="E18" s="654"/>
      <c r="F18" s="641" t="n">
        <f aca="false">Dados!G35</f>
        <v>2.2</v>
      </c>
      <c r="G18" s="642"/>
      <c r="H18" s="629"/>
      <c r="I18" s="630"/>
    </row>
    <row r="19" customFormat="false" ht="25.5" hidden="false" customHeight="true" outlineLevel="0" collapsed="false">
      <c r="A19" s="655" t="s">
        <v>400</v>
      </c>
      <c r="B19" s="655"/>
      <c r="C19" s="652"/>
      <c r="D19" s="653"/>
      <c r="E19" s="656"/>
      <c r="F19" s="641" t="n">
        <f aca="false">Dados!$G$36</f>
        <v>80.72</v>
      </c>
      <c r="G19" s="642"/>
      <c r="H19" s="629"/>
      <c r="I19" s="630"/>
    </row>
    <row r="20" customFormat="false" ht="25.5" hidden="false" customHeight="true" outlineLevel="0" collapsed="false">
      <c r="A20" s="657" t="s">
        <v>209</v>
      </c>
      <c r="B20" s="657"/>
      <c r="C20" s="629" t="n">
        <f aca="false">Dados!$G$38</f>
        <v>22</v>
      </c>
      <c r="D20" s="652" t="n">
        <f aca="false">Dados!$G$37</f>
        <v>26.14</v>
      </c>
      <c r="E20" s="658" t="n">
        <f aca="false">Dados!$G$39</f>
        <v>0.2</v>
      </c>
      <c r="F20" s="641" t="n">
        <f aca="false">ROUND((IF(D10&gt;150,((C20*D20)-(E20*(C20*D20))),0)),2)</f>
        <v>0</v>
      </c>
      <c r="G20" s="642" t="n">
        <f aca="false">F20</f>
        <v>0</v>
      </c>
      <c r="H20" s="629"/>
      <c r="I20" s="630"/>
    </row>
    <row r="21" customFormat="false" ht="19.5" hidden="false" customHeight="true" outlineLevel="0" collapsed="false">
      <c r="A21" s="651" t="s">
        <v>415</v>
      </c>
      <c r="B21" s="651"/>
      <c r="C21" s="629" t="n">
        <f aca="false">Dados!$G$44</f>
        <v>22</v>
      </c>
      <c r="D21" s="629" t="n">
        <f aca="false">Dados!$G$43</f>
        <v>7.1</v>
      </c>
      <c r="E21" s="626" t="n">
        <f aca="false">Dados!$G$41</f>
        <v>4.5</v>
      </c>
      <c r="F21" s="641" t="n">
        <f aca="false">ROUND((($C$21*$D$21*Dados!$G$42)+($C$21*$E$21*Dados!$G$40) -(F10*Dados!$G$45)),2)</f>
        <v>294.86</v>
      </c>
      <c r="G21" s="642"/>
      <c r="H21" s="629"/>
      <c r="I21" s="630" t="n">
        <f aca="false">F21</f>
        <v>294.86</v>
      </c>
    </row>
    <row r="22" customFormat="false" ht="19.5" hidden="false" customHeight="true" outlineLevel="0" collapsed="false">
      <c r="A22" s="651" t="str">
        <f aca="false">Dados!B46</f>
        <v>Outros (inserir somente com a justificativa legal)</v>
      </c>
      <c r="B22" s="651"/>
      <c r="C22" s="629" t="n">
        <v>1</v>
      </c>
      <c r="D22" s="629" t="n">
        <f aca="false">Dados!$G$46</f>
        <v>0</v>
      </c>
      <c r="E22" s="626"/>
      <c r="F22" s="641" t="n">
        <f aca="false">ROUND((C22*D22),2)</f>
        <v>0</v>
      </c>
      <c r="G22" s="642"/>
      <c r="H22" s="629"/>
      <c r="I22" s="630"/>
    </row>
    <row r="23" customFormat="false" ht="19.5" hidden="false" customHeight="true" outlineLevel="0" collapsed="false">
      <c r="A23" s="651" t="str">
        <f aca="false">Dados!B47</f>
        <v>Outros (inserir somente com a justificativa legal)</v>
      </c>
      <c r="B23" s="651"/>
      <c r="C23" s="629" t="n">
        <v>1</v>
      </c>
      <c r="D23" s="629" t="n">
        <f aca="false">Dados!$G$47</f>
        <v>0</v>
      </c>
      <c r="E23" s="626"/>
      <c r="F23" s="641" t="n">
        <f aca="false">ROUND((C23*D23),2)</f>
        <v>0</v>
      </c>
      <c r="G23" s="642"/>
      <c r="H23" s="629"/>
      <c r="I23" s="630"/>
    </row>
    <row r="24" customFormat="false" ht="24.75" hidden="false" customHeight="true" outlineLevel="0" collapsed="false">
      <c r="A24" s="643" t="s">
        <v>403</v>
      </c>
      <c r="B24" s="643"/>
      <c r="C24" s="643"/>
      <c r="D24" s="643"/>
      <c r="E24" s="643"/>
      <c r="F24" s="635" t="n">
        <f aca="false">SUM(F17:F23)</f>
        <v>431.65</v>
      </c>
      <c r="G24" s="635" t="n">
        <f aca="false">SUM(G17:G23)</f>
        <v>0</v>
      </c>
      <c r="H24" s="645" t="n">
        <f aca="false">SUM($H$17:$H$23)</f>
        <v>0</v>
      </c>
      <c r="I24" s="646" t="n">
        <f aca="false">SUM($I$17:$I$23)</f>
        <v>294.86</v>
      </c>
    </row>
    <row r="25" customFormat="false" ht="24.75" hidden="false" customHeight="true" outlineLevel="0" collapsed="false">
      <c r="A25" s="643" t="s">
        <v>404</v>
      </c>
      <c r="B25" s="643"/>
      <c r="C25" s="643"/>
      <c r="D25" s="643"/>
      <c r="E25" s="643"/>
      <c r="F25" s="635" t="n">
        <f aca="false">$F$14+$F$24</f>
        <v>6863.63</v>
      </c>
      <c r="G25" s="635" t="n">
        <f aca="false">$G$14+$G$24</f>
        <v>0</v>
      </c>
      <c r="H25" s="645" t="n">
        <f aca="false">$H$14+$H$24</f>
        <v>0</v>
      </c>
      <c r="I25" s="646" t="n">
        <f aca="false">$I$14+$I$24</f>
        <v>294.86</v>
      </c>
    </row>
    <row r="26" customFormat="false" ht="19.5" hidden="false" customHeight="true" outlineLevel="0" collapsed="false">
      <c r="A26" s="647" t="s">
        <v>405</v>
      </c>
      <c r="B26" s="647"/>
      <c r="C26" s="647"/>
      <c r="D26" s="647"/>
      <c r="E26" s="647"/>
      <c r="F26" s="647"/>
      <c r="G26" s="647"/>
      <c r="H26" s="647"/>
      <c r="I26" s="647"/>
    </row>
    <row r="27" customFormat="false" ht="19.5" hidden="false" customHeight="true" outlineLevel="0" collapsed="false">
      <c r="A27" s="659" t="s">
        <v>406</v>
      </c>
      <c r="B27" s="659"/>
      <c r="C27" s="659"/>
      <c r="D27" s="660" t="s">
        <v>407</v>
      </c>
      <c r="E27" s="660"/>
      <c r="F27" s="661" t="s">
        <v>390</v>
      </c>
      <c r="G27" s="661"/>
      <c r="H27" s="661"/>
      <c r="I27" s="661"/>
    </row>
    <row r="28" customFormat="false" ht="19.5" hidden="false" customHeight="true" outlineLevel="0" collapsed="false">
      <c r="A28" s="662" t="s">
        <v>408</v>
      </c>
      <c r="B28" s="663"/>
      <c r="C28" s="663"/>
      <c r="D28" s="653" t="n">
        <f aca="false">Dados!$G$50</f>
        <v>0.03</v>
      </c>
      <c r="E28" s="628"/>
      <c r="F28" s="641" t="n">
        <f aca="false">ROUND(($F$25*$D$28),2)</f>
        <v>205.91</v>
      </c>
      <c r="G28" s="642" t="n">
        <f aca="false">ROUND(($G$25*$D$28),2)</f>
        <v>0</v>
      </c>
      <c r="H28" s="629" t="n">
        <f aca="false">ROUND((H25*D28),2)</f>
        <v>0</v>
      </c>
      <c r="I28" s="630" t="n">
        <f aca="false">ROUND(($I$25*$D$28),2)</f>
        <v>8.85</v>
      </c>
    </row>
    <row r="29" customFormat="false" ht="19.5" hidden="false" customHeight="true" outlineLevel="0" collapsed="false">
      <c r="A29" s="664" t="s">
        <v>409</v>
      </c>
      <c r="B29" s="664"/>
      <c r="C29" s="664"/>
      <c r="D29" s="653"/>
      <c r="E29" s="628"/>
      <c r="F29" s="641" t="n">
        <f aca="false">$F$25+$F$28</f>
        <v>7069.54</v>
      </c>
      <c r="G29" s="642" t="n">
        <f aca="false">$G$28+$G$25</f>
        <v>0</v>
      </c>
      <c r="H29" s="629" t="n">
        <f aca="false">H25+H28</f>
        <v>0</v>
      </c>
      <c r="I29" s="630" t="n">
        <f aca="false">$I$25+$I$28</f>
        <v>303.71</v>
      </c>
    </row>
    <row r="30" customFormat="false" ht="19.5" hidden="false" customHeight="true" outlineLevel="0" collapsed="false">
      <c r="A30" s="662" t="s">
        <v>229</v>
      </c>
      <c r="B30" s="663"/>
      <c r="C30" s="663"/>
      <c r="D30" s="653" t="n">
        <f aca="false">Dados!$G$51</f>
        <v>0.0679</v>
      </c>
      <c r="E30" s="628" t="n">
        <f aca="false">$F$25+$F$28</f>
        <v>7069.54</v>
      </c>
      <c r="F30" s="641" t="n">
        <f aca="false">ROUND(($E$30*$D$30),2)</f>
        <v>480.02</v>
      </c>
      <c r="G30" s="642" t="n">
        <f aca="false">ROUND(($G$29*$D$30),2)</f>
        <v>0</v>
      </c>
      <c r="H30" s="629" t="n">
        <f aca="false">ROUND((H29*D30),2)</f>
        <v>0</v>
      </c>
      <c r="I30" s="630" t="n">
        <f aca="false">ROUND(($I$29*$D$30),2)</f>
        <v>20.62</v>
      </c>
    </row>
    <row r="31" customFormat="false" ht="24.75" hidden="false" customHeight="true" outlineLevel="0" collapsed="false">
      <c r="A31" s="665" t="s">
        <v>410</v>
      </c>
      <c r="B31" s="666"/>
      <c r="C31" s="666"/>
      <c r="D31" s="667" t="n">
        <f aca="false">SUM($D$28:$D$30)</f>
        <v>0.0979</v>
      </c>
      <c r="E31" s="668"/>
      <c r="F31" s="635" t="n">
        <f aca="false">$F$28+$F$30</f>
        <v>685.93</v>
      </c>
      <c r="G31" s="644" t="n">
        <f aca="false">$G$28+$G$30</f>
        <v>0</v>
      </c>
      <c r="H31" s="645" t="n">
        <f aca="false">H28+H30</f>
        <v>0</v>
      </c>
      <c r="I31" s="646" t="n">
        <f aca="false">$I$28+$I$30</f>
        <v>29.47</v>
      </c>
    </row>
    <row r="32" customFormat="false" ht="24.75" hidden="false" customHeight="true" outlineLevel="0" collapsed="false">
      <c r="A32" s="643" t="s">
        <v>411</v>
      </c>
      <c r="B32" s="643"/>
      <c r="C32" s="643"/>
      <c r="D32" s="643"/>
      <c r="E32" s="643"/>
      <c r="F32" s="635" t="n">
        <f aca="false">$F$14+$F$24+$F$31</f>
        <v>7549.56</v>
      </c>
      <c r="G32" s="644" t="n">
        <f aca="false">$G$14+$G$24+$G$31</f>
        <v>0</v>
      </c>
      <c r="H32" s="645" t="n">
        <f aca="false">H14+H24+H31</f>
        <v>0</v>
      </c>
      <c r="I32" s="646" t="n">
        <f aca="false">$I$14+$I$24+$I$31</f>
        <v>324.33</v>
      </c>
    </row>
    <row r="33" customFormat="false" ht="19.5" hidden="false" customHeight="true" outlineLevel="0" collapsed="false">
      <c r="A33" s="647" t="s">
        <v>412</v>
      </c>
      <c r="B33" s="647"/>
      <c r="C33" s="647"/>
      <c r="D33" s="647"/>
      <c r="E33" s="647"/>
      <c r="F33" s="647"/>
      <c r="G33" s="647"/>
      <c r="H33" s="647"/>
      <c r="I33" s="647"/>
    </row>
    <row r="34" customFormat="false" ht="19.5" hidden="false" customHeight="true" outlineLevel="0" collapsed="false">
      <c r="A34" s="662" t="s">
        <v>234</v>
      </c>
      <c r="B34" s="663"/>
      <c r="C34" s="669"/>
      <c r="D34" s="653" t="n">
        <f aca="false">Dados!$G$58</f>
        <v>0.076</v>
      </c>
      <c r="E34" s="626"/>
      <c r="F34" s="641" t="n">
        <f aca="false">ROUND(($F$39*$D$34),2)</f>
        <v>669.12</v>
      </c>
      <c r="G34" s="642" t="n">
        <f aca="false">ROUND(($G$39*$D$34),2)</f>
        <v>0</v>
      </c>
      <c r="H34" s="629" t="n">
        <f aca="false">ROUND(($H$39*$D$34),2)</f>
        <v>0</v>
      </c>
      <c r="I34" s="630" t="n">
        <f aca="false">ROUND(($I$39*$D$34),2)</f>
        <v>28.75</v>
      </c>
    </row>
    <row r="35" customFormat="false" ht="19.5" hidden="false" customHeight="true" outlineLevel="0" collapsed="false">
      <c r="A35" s="662" t="s">
        <v>235</v>
      </c>
      <c r="B35" s="663"/>
      <c r="C35" s="669"/>
      <c r="D35" s="653" t="n">
        <f aca="false">Dados!$G$59</f>
        <v>0.0165</v>
      </c>
      <c r="E35" s="626"/>
      <c r="F35" s="641" t="n">
        <f aca="false">ROUND(($F$39*$D$35),2)</f>
        <v>145.27</v>
      </c>
      <c r="G35" s="642" t="n">
        <f aca="false">ROUND(($G$39*$D$35),2)</f>
        <v>0</v>
      </c>
      <c r="H35" s="629" t="n">
        <f aca="false">ROUND(($H$39*$D$35),2)</f>
        <v>0</v>
      </c>
      <c r="I35" s="630" t="n">
        <f aca="false">ROUND(($I$39*$D$35),2)</f>
        <v>6.24</v>
      </c>
    </row>
    <row r="36" customFormat="false" ht="19.5" hidden="false" customHeight="true" outlineLevel="0" collapsed="false">
      <c r="A36" s="662" t="s">
        <v>236</v>
      </c>
      <c r="B36" s="663"/>
      <c r="C36" s="669"/>
      <c r="D36" s="653" t="n">
        <f aca="false">Dados!$G$60</f>
        <v>0.05</v>
      </c>
      <c r="E36" s="626"/>
      <c r="F36" s="641" t="n">
        <f aca="false">ROUND(($F$39*$D$36),2)</f>
        <v>440.21</v>
      </c>
      <c r="G36" s="642" t="n">
        <f aca="false">ROUND(($G$39*$D$36),2)</f>
        <v>0</v>
      </c>
      <c r="H36" s="629" t="n">
        <f aca="false">ROUND(($H$39*$D$36),2)</f>
        <v>0</v>
      </c>
      <c r="I36" s="630" t="n">
        <f aca="false">ROUND(($I$39*$D$36),2)</f>
        <v>18.91</v>
      </c>
    </row>
    <row r="37" customFormat="false" ht="19.5" hidden="false" customHeight="true" outlineLevel="0" collapsed="false">
      <c r="A37" s="662" t="str">
        <f aca="false">Dados!B61</f>
        <v>Outros (inserir somente com a justificativa legal)</v>
      </c>
      <c r="B37" s="663"/>
      <c r="C37" s="669"/>
      <c r="D37" s="653" t="n">
        <f aca="false">Dados!G61</f>
        <v>0</v>
      </c>
      <c r="E37" s="626"/>
      <c r="F37" s="641" t="n">
        <f aca="false">ROUND((F39*$D$37),2)</f>
        <v>0</v>
      </c>
      <c r="G37" s="641" t="n">
        <f aca="false">ROUND((G39*$D$37),2)</f>
        <v>0</v>
      </c>
      <c r="H37" s="641" t="n">
        <f aca="false">ROUND((H39*$D$37),2)</f>
        <v>0</v>
      </c>
      <c r="I37" s="641" t="n">
        <f aca="false">ROUND((I39*$D$37),2)</f>
        <v>0</v>
      </c>
    </row>
    <row r="38" customFormat="false" ht="30" hidden="false" customHeight="true" outlineLevel="0" collapsed="false">
      <c r="A38" s="665" t="s">
        <v>413</v>
      </c>
      <c r="B38" s="666"/>
      <c r="C38" s="670"/>
      <c r="D38" s="667" t="n">
        <f aca="false">SUM(D34:D37)</f>
        <v>0.1425</v>
      </c>
      <c r="E38" s="671"/>
      <c r="F38" s="635" t="n">
        <f aca="false">SUM(F34:F37)</f>
        <v>1254.6</v>
      </c>
      <c r="G38" s="635" t="n">
        <f aca="false">SUM(G34:G37)</f>
        <v>0</v>
      </c>
      <c r="H38" s="635" t="n">
        <f aca="false">SUM(H34:H37)</f>
        <v>0</v>
      </c>
      <c r="I38" s="672" t="n">
        <f aca="false">SUM(I34:I37)</f>
        <v>53.9</v>
      </c>
    </row>
    <row r="39" customFormat="false" ht="34.5" hidden="true" customHeight="true" outlineLevel="0" collapsed="false">
      <c r="A39" s="673" t="str">
        <f aca="false">A7</f>
        <v>Operador e Editor de Áudio e Vídeo - 150</v>
      </c>
      <c r="B39" s="673"/>
      <c r="C39" s="673"/>
      <c r="D39" s="673"/>
      <c r="E39" s="673"/>
      <c r="F39" s="674" t="n">
        <f aca="false">ROUND($F$32/(1-$D$38),2)</f>
        <v>8804.15</v>
      </c>
      <c r="G39" s="675" t="n">
        <f aca="false">ROUND($G$32/(1-$D$38),2)</f>
        <v>0</v>
      </c>
      <c r="H39" s="676" t="n">
        <f aca="false">ROUND($H$32/(1-$D$38),2)</f>
        <v>0</v>
      </c>
      <c r="I39" s="677" t="n">
        <f aca="false">ROUND($I$32/(1-$D$38),2)</f>
        <v>378.23</v>
      </c>
    </row>
    <row r="40" customFormat="false" ht="30" hidden="false" customHeight="true" outlineLevel="0" collapsed="false">
      <c r="A40" s="678" t="str">
        <f aca="false">A7</f>
        <v>Operador e Editor de Áudio e Vídeo - 150</v>
      </c>
      <c r="B40" s="678"/>
      <c r="C40" s="678"/>
      <c r="D40" s="678"/>
      <c r="E40" s="678"/>
      <c r="F40" s="679" t="n">
        <f aca="false">$F$39</f>
        <v>8804.15</v>
      </c>
      <c r="G40" s="680" t="n">
        <f aca="false">$G$39</f>
        <v>0</v>
      </c>
      <c r="H40" s="681" t="n">
        <f aca="false">$H$39</f>
        <v>0</v>
      </c>
      <c r="I40" s="682" t="n">
        <f aca="false">$I$39</f>
        <v>378.23</v>
      </c>
    </row>
    <row r="41" customFormat="false" ht="29.25" hidden="false" customHeight="true" outlineLevel="0" collapsed="false">
      <c r="A41" s="683" t="s">
        <v>414</v>
      </c>
      <c r="B41" s="683"/>
      <c r="C41" s="683"/>
      <c r="D41" s="683"/>
      <c r="E41" s="683"/>
      <c r="F41" s="684" t="n">
        <f aca="false">($F$40/$F$12)/100</f>
        <v>0.0245085294019397</v>
      </c>
      <c r="G41" s="685"/>
      <c r="H41" s="686"/>
      <c r="I41" s="687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1.01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  <c r="O1" s="101"/>
      <c r="P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  <c r="O2" s="101"/>
      <c r="P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  <c r="O3" s="101"/>
      <c r="P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  <c r="O4" s="101"/>
      <c r="P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  <c r="O5" s="101"/>
      <c r="P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  <c r="O6" s="101"/>
      <c r="P6" s="101"/>
    </row>
    <row r="7" customFormat="false" ht="30" hidden="false" customHeight="true" outlineLevel="0" collapsed="false">
      <c r="A7" s="502" t="str">
        <f aca="false">Dados!$B$18&amp;" - "&amp;$D$10</f>
        <v>Recepcionista  - 220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  <c r="O7" s="101"/>
      <c r="P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  <c r="O8" s="101"/>
      <c r="P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86" t="s">
        <v>390</v>
      </c>
      <c r="G9" s="586"/>
      <c r="H9" s="586"/>
      <c r="I9" s="586"/>
      <c r="J9" s="101"/>
      <c r="K9" s="101"/>
      <c r="L9" s="101"/>
      <c r="M9" s="101"/>
      <c r="N9" s="101"/>
      <c r="O9" s="101"/>
      <c r="P9" s="101"/>
    </row>
    <row r="10" customFormat="false" ht="26.25" hidden="false" customHeight="true" outlineLevel="0" collapsed="false">
      <c r="A10" s="513" t="n">
        <v>1</v>
      </c>
      <c r="B10" s="514" t="str">
        <f aca="false">A7</f>
        <v>Recepcionista  - 220</v>
      </c>
      <c r="C10" s="514"/>
      <c r="D10" s="574" t="n">
        <f aca="false">Dados!$C$18</f>
        <v>220</v>
      </c>
      <c r="E10" s="516" t="n">
        <f aca="false">Dados!$E$18</f>
        <v>2472.68</v>
      </c>
      <c r="F10" s="517" t="n">
        <f aca="false">ROUND(E10/220*D10,2)</f>
        <v>2472.68</v>
      </c>
      <c r="G10" s="595"/>
      <c r="H10" s="596"/>
      <c r="I10" s="520"/>
      <c r="J10" s="101"/>
      <c r="K10" s="101"/>
      <c r="L10" s="101"/>
      <c r="M10" s="101"/>
      <c r="N10" s="101"/>
      <c r="O10" s="101"/>
      <c r="P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87"/>
      <c r="J11" s="101"/>
      <c r="K11" s="101"/>
      <c r="L11" s="101"/>
      <c r="M11" s="101"/>
      <c r="N11" s="101"/>
      <c r="O11" s="101"/>
      <c r="P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32" t="n">
        <f aca="false">F10+F11</f>
        <v>2472.68</v>
      </c>
      <c r="G12" s="526"/>
      <c r="H12" s="527"/>
      <c r="I12" s="535"/>
      <c r="J12" s="101"/>
      <c r="K12" s="101"/>
      <c r="L12" s="101"/>
      <c r="M12" s="101"/>
      <c r="N12" s="101"/>
      <c r="O12" s="101"/>
      <c r="P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1954.65</v>
      </c>
      <c r="G13" s="518"/>
      <c r="H13" s="519"/>
      <c r="I13" s="520"/>
      <c r="J13" s="101"/>
      <c r="K13" s="101"/>
      <c r="L13" s="101"/>
      <c r="M13" s="101"/>
      <c r="N13" s="101"/>
      <c r="O13" s="101"/>
      <c r="P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4427.33</v>
      </c>
      <c r="G14" s="533"/>
      <c r="H14" s="534"/>
      <c r="I14" s="535"/>
      <c r="J14" s="101"/>
      <c r="K14" s="101"/>
      <c r="L14" s="101"/>
      <c r="M14" s="101"/>
      <c r="N14" s="101"/>
      <c r="O14" s="101"/>
      <c r="P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  <c r="O15" s="101"/>
      <c r="P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  <c r="O16" s="101"/>
      <c r="P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Dados!$I$18</f>
        <v>72.65</v>
      </c>
      <c r="G17" s="518"/>
      <c r="H17" s="519"/>
      <c r="I17" s="520"/>
      <c r="J17" s="101"/>
      <c r="K17" s="101"/>
      <c r="L17" s="101"/>
      <c r="M17" s="101"/>
      <c r="N17" s="101"/>
      <c r="O17" s="101"/>
      <c r="P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Dados!$G$35</f>
        <v>2.2</v>
      </c>
      <c r="G18" s="518"/>
      <c r="H18" s="519"/>
      <c r="I18" s="520"/>
      <c r="J18" s="101"/>
      <c r="K18" s="101"/>
      <c r="L18" s="101"/>
      <c r="M18" s="101"/>
      <c r="N18" s="101"/>
      <c r="O18" s="101"/>
      <c r="P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Dados!$G$36</f>
        <v>80.72</v>
      </c>
      <c r="G19" s="518"/>
      <c r="H19" s="519"/>
      <c r="I19" s="520"/>
      <c r="J19" s="101"/>
      <c r="K19" s="101"/>
      <c r="L19" s="101"/>
      <c r="M19" s="101"/>
      <c r="N19" s="101"/>
      <c r="O19" s="101"/>
      <c r="P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97" t="n">
        <f aca="false">ROUND((IF(D10&gt;150,((C20*D20)-(E20*(C20*D20))),0)),2)</f>
        <v>460.06</v>
      </c>
      <c r="G20" s="598" t="n">
        <f aca="false">F20</f>
        <v>460.06</v>
      </c>
      <c r="H20" s="519"/>
      <c r="I20" s="520"/>
      <c r="J20" s="101"/>
      <c r="K20" s="101"/>
      <c r="L20" s="101"/>
      <c r="M20" s="101"/>
      <c r="N20" s="101"/>
      <c r="O20" s="101"/>
      <c r="P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97" t="n">
        <f aca="false">ROUND((($C$21*$D$21*Dados!$G$42)+($C$21*$E$21*Dados!$G$40) -(F10*Dados!$G$45)),2)</f>
        <v>362.04</v>
      </c>
      <c r="G21" s="598"/>
      <c r="H21" s="519"/>
      <c r="I21" s="520" t="n">
        <f aca="false">F21</f>
        <v>362.04</v>
      </c>
      <c r="J21" s="101"/>
      <c r="K21" s="101"/>
      <c r="L21" s="101"/>
      <c r="M21" s="101"/>
      <c r="N21" s="101"/>
      <c r="O21" s="101"/>
      <c r="P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97" t="n">
        <f aca="false">ROUND((C22*D22),2)</f>
        <v>0</v>
      </c>
      <c r="G22" s="598"/>
      <c r="H22" s="519"/>
      <c r="I22" s="520"/>
      <c r="J22" s="101"/>
      <c r="K22" s="101"/>
      <c r="L22" s="101"/>
      <c r="M22" s="101"/>
      <c r="N22" s="101"/>
      <c r="O22" s="101"/>
      <c r="P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97" t="n">
        <f aca="false">ROUND((C23*D23),2)</f>
        <v>0</v>
      </c>
      <c r="G23" s="598"/>
      <c r="H23" s="519"/>
      <c r="I23" s="520"/>
      <c r="J23" s="101"/>
      <c r="K23" s="101"/>
      <c r="L23" s="101"/>
      <c r="M23" s="101"/>
      <c r="N23" s="101"/>
      <c r="O23" s="101"/>
      <c r="P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977.67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362.04</v>
      </c>
      <c r="J24" s="101"/>
      <c r="K24" s="101"/>
      <c r="L24" s="101"/>
      <c r="M24" s="101"/>
      <c r="N24" s="101"/>
      <c r="O24" s="101"/>
      <c r="P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$F$14+$F$24</f>
        <v>5405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362.04</v>
      </c>
      <c r="J25" s="101"/>
      <c r="K25" s="101"/>
      <c r="L25" s="101"/>
      <c r="M25" s="101"/>
      <c r="N25" s="101"/>
      <c r="O25" s="101"/>
      <c r="P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/>
      <c r="I26" s="536"/>
      <c r="J26" s="101"/>
      <c r="K26" s="101"/>
      <c r="L26" s="101"/>
      <c r="M26" s="101"/>
      <c r="N26" s="101"/>
      <c r="O26" s="101"/>
      <c r="P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99" t="s">
        <v>407</v>
      </c>
      <c r="E27" s="599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  <c r="O27" s="101"/>
      <c r="P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ROUND(($F$25*$D$28),2)</f>
        <v>162.15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ROUND(($I$25*$D$28),2)</f>
        <v>10.86</v>
      </c>
      <c r="J28" s="101"/>
      <c r="K28" s="101"/>
      <c r="L28" s="101"/>
      <c r="M28" s="101"/>
      <c r="N28" s="101"/>
      <c r="O28" s="101"/>
      <c r="P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$F$25+$F$28</f>
        <v>5567.15</v>
      </c>
      <c r="G29" s="518" t="n">
        <f aca="false">$G$28+$G$25</f>
        <v>473.86</v>
      </c>
      <c r="H29" s="519" t="n">
        <f aca="false">H25+H28</f>
        <v>0</v>
      </c>
      <c r="I29" s="520" t="n">
        <f aca="false">$I$25+$I$28</f>
        <v>372.9</v>
      </c>
      <c r="J29" s="101"/>
      <c r="K29" s="101"/>
      <c r="L29" s="101"/>
      <c r="M29" s="101"/>
      <c r="N29" s="101"/>
      <c r="O29" s="101"/>
      <c r="P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$F$25+$F$28</f>
        <v>5567.15</v>
      </c>
      <c r="F30" s="517" t="n">
        <f aca="false">ROUND(($E$30*$D$30),2)</f>
        <v>378.01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ROUND(($I$29*$D$30),2)</f>
        <v>25.32</v>
      </c>
      <c r="J30" s="101"/>
      <c r="K30" s="101"/>
      <c r="L30" s="101"/>
      <c r="M30" s="101"/>
      <c r="N30" s="101"/>
      <c r="O30" s="101"/>
      <c r="P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SUM($D$28:$D$30)</f>
        <v>0.0979</v>
      </c>
      <c r="E31" s="554"/>
      <c r="F31" s="532" t="n">
        <f aca="false">$F$28+$F$30</f>
        <v>540.16</v>
      </c>
      <c r="G31" s="533" t="n">
        <f aca="false">$G$28+$G$30</f>
        <v>45.98</v>
      </c>
      <c r="H31" s="534" t="n">
        <f aca="false">H28+H30</f>
        <v>0</v>
      </c>
      <c r="I31" s="535" t="n">
        <f aca="false">$I$28+$I$30</f>
        <v>36.18</v>
      </c>
      <c r="J31" s="101"/>
      <c r="K31" s="101"/>
      <c r="L31" s="101"/>
      <c r="M31" s="101"/>
      <c r="N31" s="101"/>
      <c r="O31" s="101"/>
      <c r="P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$F$14+$F$24+$F$31</f>
        <v>5945.16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$I$14+$I$24+$I$31</f>
        <v>398.22</v>
      </c>
      <c r="J32" s="101"/>
      <c r="K32" s="101"/>
      <c r="L32" s="101"/>
      <c r="M32" s="101"/>
      <c r="N32" s="101"/>
      <c r="O32" s="101"/>
      <c r="P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  <c r="O33" s="101"/>
      <c r="P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ROUND(($F$39*$D$34),2)</f>
        <v>526.92</v>
      </c>
      <c r="G34" s="518" t="n">
        <f aca="false">ROUND(($G$39*$D$34),2)</f>
        <v>44.85</v>
      </c>
      <c r="H34" s="519" t="n">
        <f aca="false">ROUND(($H$39*$D$34),2)</f>
        <v>0</v>
      </c>
      <c r="I34" s="520" t="n">
        <f aca="false">ROUND(($I$39*$D$34),2)</f>
        <v>35.29</v>
      </c>
      <c r="J34" s="101"/>
      <c r="K34" s="101"/>
      <c r="L34" s="101"/>
      <c r="M34" s="101"/>
      <c r="N34" s="101"/>
      <c r="O34" s="101"/>
      <c r="P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ROUND(($F$39*$D$35),2)</f>
        <v>114.4</v>
      </c>
      <c r="G35" s="518" t="n">
        <f aca="false">ROUND(($G$39*$D$35),2)</f>
        <v>9.74</v>
      </c>
      <c r="H35" s="519" t="n">
        <f aca="false">ROUND(($H$39*$D$35),2)</f>
        <v>0</v>
      </c>
      <c r="I35" s="520" t="n">
        <f aca="false">ROUND(($I$39*$D$35),2)</f>
        <v>7.66</v>
      </c>
      <c r="J35" s="101"/>
      <c r="K35" s="101"/>
      <c r="L35" s="101"/>
      <c r="M35" s="101"/>
      <c r="N35" s="101"/>
      <c r="O35" s="101"/>
      <c r="P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ROUND(($F$39*$D$36),2)</f>
        <v>346.66</v>
      </c>
      <c r="G36" s="518" t="n">
        <f aca="false">ROUND(($G$39*$D$36),2)</f>
        <v>29.51</v>
      </c>
      <c r="H36" s="519" t="n">
        <f aca="false">ROUND(($H$39*$D$36),2)</f>
        <v>0</v>
      </c>
      <c r="I36" s="520" t="n">
        <f aca="false">ROUND(($I$39*$D$36),2)</f>
        <v>23.22</v>
      </c>
      <c r="J36" s="101"/>
      <c r="K36" s="101"/>
      <c r="L36" s="101"/>
      <c r="M36" s="101"/>
      <c r="N36" s="101"/>
      <c r="O36" s="101"/>
      <c r="P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  <c r="O37" s="101"/>
      <c r="P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987.98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66.17</v>
      </c>
      <c r="J38" s="101"/>
      <c r="K38" s="101"/>
      <c r="L38" s="101"/>
      <c r="M38" s="101"/>
      <c r="N38" s="101"/>
      <c r="O38" s="101"/>
      <c r="P38" s="101"/>
    </row>
    <row r="39" customFormat="false" ht="34.5" hidden="true" customHeight="true" outlineLevel="0" collapsed="false">
      <c r="A39" s="559" t="str">
        <f aca="false">A7</f>
        <v>Recepcionista  - 220</v>
      </c>
      <c r="B39" s="559"/>
      <c r="C39" s="559"/>
      <c r="D39" s="559"/>
      <c r="E39" s="559"/>
      <c r="F39" s="560" t="n">
        <f aca="false">ROUND($F$32/(1-$D$38),2)</f>
        <v>6933.13</v>
      </c>
      <c r="G39" s="561" t="n">
        <f aca="false">ROUND($G$32/(1-$D$38),2)</f>
        <v>590.13</v>
      </c>
      <c r="H39" s="562" t="n">
        <f aca="false">ROUND($H$32/(1-$D$38),2)</f>
        <v>0</v>
      </c>
      <c r="I39" s="563" t="n">
        <f aca="false">ROUND($I$32/(1-$D$38),2)</f>
        <v>464.4</v>
      </c>
      <c r="J39" s="101"/>
      <c r="K39" s="101"/>
      <c r="L39" s="101"/>
      <c r="M39" s="101"/>
      <c r="N39" s="101"/>
      <c r="O39" s="101"/>
      <c r="P39" s="101"/>
    </row>
    <row r="40" customFormat="false" ht="30" hidden="false" customHeight="true" outlineLevel="0" collapsed="false">
      <c r="A40" s="589" t="str">
        <f aca="false">A7</f>
        <v>Recepcionista  - 220</v>
      </c>
      <c r="B40" s="589"/>
      <c r="C40" s="589"/>
      <c r="D40" s="589"/>
      <c r="E40" s="589"/>
      <c r="F40" s="590" t="n">
        <f aca="false">$F$39</f>
        <v>6933.13</v>
      </c>
      <c r="G40" s="591" t="n">
        <f aca="false">$G$39</f>
        <v>590.13</v>
      </c>
      <c r="H40" s="580" t="n">
        <f aca="false">$H$39</f>
        <v>0</v>
      </c>
      <c r="I40" s="581" t="n">
        <f aca="false">$I$39</f>
        <v>464.4</v>
      </c>
      <c r="J40" s="101"/>
      <c r="K40" s="101"/>
      <c r="L40" s="101"/>
      <c r="M40" s="101"/>
      <c r="N40" s="101"/>
      <c r="O40" s="101"/>
      <c r="P40" s="101"/>
    </row>
    <row r="41" customFormat="false" ht="29.25" hidden="false" customHeight="true" outlineLevel="0" collapsed="false">
      <c r="A41" s="592" t="s">
        <v>414</v>
      </c>
      <c r="B41" s="592"/>
      <c r="C41" s="592"/>
      <c r="D41" s="592"/>
      <c r="E41" s="592"/>
      <c r="F41" s="593" t="n">
        <f aca="false">($F$40/$F$12)/100</f>
        <v>0.0280389294207095</v>
      </c>
      <c r="G41" s="594"/>
      <c r="H41" s="584"/>
      <c r="I41" s="585"/>
      <c r="J41" s="101"/>
      <c r="K41" s="101"/>
      <c r="L41" s="101"/>
      <c r="M41" s="101"/>
      <c r="N41" s="101"/>
      <c r="O41" s="101"/>
      <c r="P41" s="101"/>
    </row>
    <row r="42" customFormat="false" ht="24" hidden="false" customHeight="true" outlineLevel="0" collapsed="false"/>
  </sheetData>
  <sheetProtection sheet="true" objects="true" scenarios="true"/>
  <autoFilter ref="A1:I41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3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688" width="8.5"/>
    <col collapsed="false" customWidth="true" hidden="false" outlineLevel="0" max="3" min="2" style="688" width="9.33"/>
    <col collapsed="false" customWidth="true" hidden="false" outlineLevel="0" max="4" min="4" style="688" width="38.51"/>
    <col collapsed="false" customWidth="true" hidden="false" outlineLevel="0" max="5" min="5" style="688" width="11.01"/>
    <col collapsed="false" customWidth="true" hidden="false" outlineLevel="0" max="6" min="6" style="688" width="14.5"/>
    <col collapsed="false" customWidth="true" hidden="false" outlineLevel="0" max="7" min="7" style="688" width="10.34"/>
    <col collapsed="false" customWidth="true" hidden="false" outlineLevel="0" max="8" min="8" style="688" width="11.66"/>
    <col collapsed="false" customWidth="true" hidden="false" outlineLevel="0" max="9" min="9" style="688" width="19.34"/>
    <col collapsed="false" customWidth="true" hidden="false" outlineLevel="0" max="10" min="10" style="688" width="19.16"/>
    <col collapsed="false" customWidth="true" hidden="false" outlineLevel="0" max="11" min="11" style="688" width="20.82"/>
    <col collapsed="false" customWidth="true" hidden="false" outlineLevel="0" max="12" min="12" style="688" width="21.5"/>
    <col collapsed="false" customWidth="true" hidden="false" outlineLevel="0" max="13" min="13" style="688" width="22.17"/>
    <col collapsed="false" customWidth="true" hidden="false" outlineLevel="0" max="14" min="14" style="688" width="11.16"/>
    <col collapsed="false" customWidth="true" hidden="false" outlineLevel="0" max="15" min="15" style="688" width="15.82"/>
    <col collapsed="false" customWidth="true" hidden="false" outlineLevel="0" max="16" min="16" style="688" width="12.33"/>
    <col collapsed="false" customWidth="true" hidden="false" outlineLevel="0" max="1025" min="17" style="688" width="9.33"/>
  </cols>
  <sheetData>
    <row r="1" customFormat="false" ht="12.75" hidden="false" customHeight="false" outlineLevel="0" collapsed="false">
      <c r="A1" s="689"/>
      <c r="B1" s="690" t="s">
        <v>0</v>
      </c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</row>
    <row r="2" customFormat="false" ht="12.75" hidden="false" customHeight="false" outlineLevel="0" collapsed="false">
      <c r="A2" s="691"/>
      <c r="B2" s="692" t="s">
        <v>1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</row>
    <row r="3" customFormat="false" ht="12.75" hidden="false" customHeight="false" outlineLevel="0" collapsed="false">
      <c r="A3" s="691"/>
      <c r="B3" s="692" t="s">
        <v>416</v>
      </c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</row>
    <row r="4" customFormat="false" ht="22.5" hidden="false" customHeight="true" outlineLevel="0" collapsed="false">
      <c r="A4" s="693" t="s">
        <v>417</v>
      </c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4"/>
      <c r="R4" s="694"/>
      <c r="S4" s="694"/>
      <c r="T4" s="694"/>
    </row>
    <row r="5" s="700" customFormat="true" ht="41.25" hidden="false" customHeight="true" outlineLevel="0" collapsed="false">
      <c r="A5" s="695" t="s">
        <v>418</v>
      </c>
      <c r="B5" s="695"/>
      <c r="C5" s="695"/>
      <c r="D5" s="695"/>
      <c r="E5" s="696" t="s">
        <v>407</v>
      </c>
      <c r="F5" s="697" t="str">
        <f aca="false">Dados!B8</f>
        <v>Ascensorista</v>
      </c>
      <c r="G5" s="698" t="str">
        <f aca="false">Dados!$B$9</f>
        <v>Atendente</v>
      </c>
      <c r="H5" s="698" t="str">
        <f aca="false">Dados!$B$10</f>
        <v>Auxiliar de Almoxarifado</v>
      </c>
      <c r="I5" s="698" t="str">
        <f aca="false">Dados!$B$11</f>
        <v>Auxiliar Administrativo - Classe I</v>
      </c>
      <c r="J5" s="698" t="str">
        <f aca="false">Dados!$B$12</f>
        <v>Auxiliar Administrativo - Classe II</v>
      </c>
      <c r="K5" s="698" t="str">
        <f aca="false">Dados!$B$13</f>
        <v>Auxiliar Administrativo - Classe III (Nível Superior)</v>
      </c>
      <c r="L5" s="698" t="str">
        <f aca="false">Dados!$B$14</f>
        <v>Auxiliar Administrativo - Classe IV (Nível Superior)</v>
      </c>
      <c r="M5" s="698" t="str">
        <f aca="false">Dados!$B$15</f>
        <v>Assistente de Apoio Financeiro (Nível Superior)</v>
      </c>
      <c r="N5" s="698" t="str">
        <f aca="false">Dados!$B$16</f>
        <v>Encarregado Geral</v>
      </c>
      <c r="O5" s="698" t="str">
        <f aca="false">Dados!$B$17</f>
        <v>Operador e Editor de Áudio e Vídeo</v>
      </c>
      <c r="P5" s="699" t="str">
        <f aca="false">Dados!$B$18</f>
        <v>Recepcionista </v>
      </c>
    </row>
    <row r="6" s="704" customFormat="true" ht="14.45" hidden="false" customHeight="true" outlineLevel="0" collapsed="false">
      <c r="A6" s="701" t="s">
        <v>419</v>
      </c>
      <c r="B6" s="702" t="s">
        <v>311</v>
      </c>
      <c r="C6" s="702"/>
      <c r="D6" s="702"/>
      <c r="E6" s="696"/>
      <c r="F6" s="703" t="s">
        <v>420</v>
      </c>
      <c r="G6" s="703"/>
      <c r="H6" s="703"/>
      <c r="I6" s="703"/>
      <c r="J6" s="703"/>
      <c r="K6" s="703"/>
      <c r="L6" s="703"/>
      <c r="M6" s="703"/>
      <c r="N6" s="703"/>
      <c r="O6" s="703"/>
      <c r="P6" s="703"/>
    </row>
    <row r="7" customFormat="false" ht="12.75" hidden="false" customHeight="false" outlineLevel="0" collapsed="false">
      <c r="A7" s="705" t="n">
        <v>1</v>
      </c>
      <c r="B7" s="706" t="s">
        <v>421</v>
      </c>
      <c r="C7" s="706"/>
      <c r="D7" s="706"/>
      <c r="E7" s="706"/>
      <c r="F7" s="707" t="n">
        <f aca="false">Dados!$H$8</f>
        <v>1418.18</v>
      </c>
      <c r="G7" s="707" t="n">
        <f aca="false">Dados!$H$9</f>
        <v>2300</v>
      </c>
      <c r="H7" s="707" t="n">
        <f aca="false">Dados!$H$10</f>
        <v>2200</v>
      </c>
      <c r="I7" s="707" t="n">
        <f aca="false">Dados!$H$11</f>
        <v>1725</v>
      </c>
      <c r="J7" s="707" t="n">
        <f aca="false">Dados!$H$12</f>
        <v>2300</v>
      </c>
      <c r="K7" s="707" t="n">
        <f aca="false">Dados!$H$13</f>
        <v>2242.5</v>
      </c>
      <c r="L7" s="707" t="n">
        <f aca="false">Dados!$H$14</f>
        <v>2990</v>
      </c>
      <c r="M7" s="707" t="n">
        <f aca="false">Dados!$H$15</f>
        <v>4875</v>
      </c>
      <c r="N7" s="707" t="n">
        <f aca="false">Dados!$H$16</f>
        <v>2753.93</v>
      </c>
      <c r="O7" s="707" t="n">
        <f aca="false">Dados!$H$17</f>
        <v>3592.28</v>
      </c>
      <c r="P7" s="708" t="n">
        <f aca="false">Dados!$H$18</f>
        <v>2472.68</v>
      </c>
    </row>
    <row r="8" customFormat="false" ht="12.75" hidden="false" customHeight="false" outlineLevel="0" collapsed="false">
      <c r="A8" s="709" t="s">
        <v>422</v>
      </c>
      <c r="B8" s="710" t="s">
        <v>312</v>
      </c>
      <c r="C8" s="710"/>
      <c r="D8" s="710"/>
      <c r="E8" s="711" t="n">
        <f aca="false">Encargos!$C$37</f>
        <v>0.0909</v>
      </c>
      <c r="F8" s="712" t="n">
        <f aca="false">ROUND(F7*$E$8,2)</f>
        <v>128.91</v>
      </c>
      <c r="G8" s="712" t="n">
        <f aca="false">ROUND(G7*$E$8,2)</f>
        <v>209.07</v>
      </c>
      <c r="H8" s="712" t="n">
        <f aca="false">ROUND(H7*$E$8,2)</f>
        <v>199.98</v>
      </c>
      <c r="I8" s="712" t="n">
        <f aca="false">ROUND(I7*$E$8,2)</f>
        <v>156.8</v>
      </c>
      <c r="J8" s="712" t="n">
        <f aca="false">ROUND(J7*$E$8,2)</f>
        <v>209.07</v>
      </c>
      <c r="K8" s="712" t="n">
        <f aca="false">ROUND(K7*$E$8,2)</f>
        <v>203.84</v>
      </c>
      <c r="L8" s="712" t="n">
        <f aca="false">ROUND(L7*$E$8,2)</f>
        <v>271.79</v>
      </c>
      <c r="M8" s="712" t="n">
        <f aca="false">ROUND(M7*$E$8,2)</f>
        <v>443.14</v>
      </c>
      <c r="N8" s="712" t="n">
        <f aca="false">ROUND(N7*$E$8,2)</f>
        <v>250.33</v>
      </c>
      <c r="O8" s="712" t="n">
        <f aca="false">ROUND(O7*$E$8,2)</f>
        <v>326.54</v>
      </c>
      <c r="P8" s="713" t="n">
        <f aca="false">ROUND(P7*$E$8,2)</f>
        <v>224.77</v>
      </c>
    </row>
    <row r="9" customFormat="false" ht="12.75" hidden="false" customHeight="false" outlineLevel="0" collapsed="false">
      <c r="A9" s="714" t="s">
        <v>423</v>
      </c>
      <c r="B9" s="715" t="s">
        <v>317</v>
      </c>
      <c r="C9" s="715"/>
      <c r="D9" s="715"/>
      <c r="E9" s="716" t="n">
        <f aca="false">Encargos!$C$16*E8</f>
        <v>0.0361782</v>
      </c>
      <c r="F9" s="717" t="n">
        <f aca="false">ROUND(F7*$E$9,2)</f>
        <v>51.31</v>
      </c>
      <c r="G9" s="717" t="n">
        <f aca="false">ROUND(G7*$E$9,2)</f>
        <v>83.21</v>
      </c>
      <c r="H9" s="717" t="n">
        <f aca="false">ROUND(H7*$E$9,2)</f>
        <v>79.59</v>
      </c>
      <c r="I9" s="717" t="n">
        <f aca="false">ROUND(I7*$E$9,2)</f>
        <v>62.41</v>
      </c>
      <c r="J9" s="717" t="n">
        <f aca="false">ROUND(J7*$E$9,2)</f>
        <v>83.21</v>
      </c>
      <c r="K9" s="717" t="n">
        <f aca="false">ROUND(K7*$E$9,2)</f>
        <v>81.13</v>
      </c>
      <c r="L9" s="717" t="n">
        <f aca="false">ROUND(L7*$E$9,2)</f>
        <v>108.17</v>
      </c>
      <c r="M9" s="717" t="n">
        <f aca="false">ROUND(M7*$E$9,2)</f>
        <v>176.37</v>
      </c>
      <c r="N9" s="717" t="n">
        <f aca="false">ROUND(N7*$E$9,2)</f>
        <v>99.63</v>
      </c>
      <c r="O9" s="717" t="n">
        <f aca="false">ROUND(O7*$E$9,2)</f>
        <v>129.96</v>
      </c>
      <c r="P9" s="718" t="n">
        <f aca="false">ROUND(P7*$E$9,2)</f>
        <v>89.46</v>
      </c>
    </row>
    <row r="10" customFormat="false" ht="13.9" hidden="false" customHeight="true" outlineLevel="0" collapsed="false">
      <c r="A10" s="719" t="s">
        <v>424</v>
      </c>
      <c r="B10" s="719"/>
      <c r="C10" s="719"/>
      <c r="D10" s="719"/>
      <c r="E10" s="720" t="n">
        <f aca="false">SUM(E8:E9)</f>
        <v>0.1270782</v>
      </c>
      <c r="F10" s="721" t="n">
        <f aca="false">SUM(F8:F9)</f>
        <v>180.22</v>
      </c>
      <c r="G10" s="721" t="n">
        <f aca="false">SUM(G8:G9)</f>
        <v>292.28</v>
      </c>
      <c r="H10" s="721" t="n">
        <f aca="false">SUM(H8:H9)</f>
        <v>279.57</v>
      </c>
      <c r="I10" s="721" t="n">
        <f aca="false">SUM(I8:I9)</f>
        <v>219.21</v>
      </c>
      <c r="J10" s="721" t="n">
        <f aca="false">SUM(J8:J9)</f>
        <v>292.28</v>
      </c>
      <c r="K10" s="721" t="n">
        <f aca="false">SUM(K8:K9)</f>
        <v>284.97</v>
      </c>
      <c r="L10" s="721" t="n">
        <f aca="false">SUM(L8:L9)</f>
        <v>379.96</v>
      </c>
      <c r="M10" s="721" t="n">
        <f aca="false">SUM(M8:M9)</f>
        <v>619.51</v>
      </c>
      <c r="N10" s="721" t="n">
        <f aca="false">SUM(N8:N9)</f>
        <v>349.96</v>
      </c>
      <c r="O10" s="721" t="n">
        <f aca="false">SUM(O8:O9)</f>
        <v>456.5</v>
      </c>
      <c r="P10" s="722" t="n">
        <f aca="false">SUM(P8:P9)</f>
        <v>314.23</v>
      </c>
    </row>
    <row r="11" customFormat="false" ht="13.9" hidden="false" customHeight="true" outlineLevel="0" collapsed="false">
      <c r="A11" s="719" t="s">
        <v>425</v>
      </c>
      <c r="B11" s="719"/>
      <c r="C11" s="719"/>
      <c r="D11" s="719"/>
      <c r="E11" s="719"/>
      <c r="F11" s="721" t="n">
        <f aca="false">F10*12</f>
        <v>2162.64</v>
      </c>
      <c r="G11" s="721" t="n">
        <f aca="false">G10*12</f>
        <v>3507.36</v>
      </c>
      <c r="H11" s="721" t="n">
        <f aca="false">H10*12</f>
        <v>3354.84</v>
      </c>
      <c r="I11" s="721" t="n">
        <f aca="false">I10*12</f>
        <v>2630.52</v>
      </c>
      <c r="J11" s="721" t="n">
        <f aca="false">J10*12</f>
        <v>3507.36</v>
      </c>
      <c r="K11" s="721" t="n">
        <f aca="false">K10*12</f>
        <v>3419.64</v>
      </c>
      <c r="L11" s="721" t="n">
        <f aca="false">L10*12</f>
        <v>4559.52</v>
      </c>
      <c r="M11" s="721" t="n">
        <f aca="false">M10*12</f>
        <v>7434.12</v>
      </c>
      <c r="N11" s="721" t="n">
        <f aca="false">N10*12</f>
        <v>4199.52</v>
      </c>
      <c r="O11" s="721" t="n">
        <f aca="false">O10*12</f>
        <v>5478</v>
      </c>
      <c r="P11" s="722" t="n">
        <f aca="false">P10*12</f>
        <v>3770.76</v>
      </c>
    </row>
    <row r="12" customFormat="false" ht="12.75" hidden="false" customHeight="false" outlineLevel="0" collapsed="false">
      <c r="A12" s="723" t="n">
        <v>2</v>
      </c>
      <c r="B12" s="724" t="s">
        <v>426</v>
      </c>
      <c r="C12" s="724"/>
      <c r="D12" s="724"/>
      <c r="E12" s="724"/>
      <c r="F12" s="725" t="s">
        <v>161</v>
      </c>
      <c r="G12" s="725"/>
      <c r="H12" s="725"/>
      <c r="I12" s="725"/>
      <c r="J12" s="725"/>
      <c r="K12" s="725"/>
      <c r="L12" s="725"/>
      <c r="M12" s="725"/>
      <c r="N12" s="725"/>
      <c r="O12" s="725"/>
      <c r="P12" s="725"/>
    </row>
    <row r="13" customFormat="false" ht="12.75" hidden="false" customHeight="false" outlineLevel="0" collapsed="false">
      <c r="A13" s="726" t="s">
        <v>422</v>
      </c>
      <c r="B13" s="727" t="s">
        <v>401</v>
      </c>
      <c r="C13" s="727"/>
      <c r="D13" s="727"/>
      <c r="E13" s="728"/>
      <c r="F13" s="729" t="n">
        <f aca="false">'Ascensorista 150'!F20</f>
        <v>0</v>
      </c>
      <c r="G13" s="730" t="n">
        <f aca="false">'Atendente 200'!F20</f>
        <v>460.06</v>
      </c>
      <c r="H13" s="730" t="n">
        <f aca="false">'Aux. Almoxarifado 200'!F20</f>
        <v>460.06</v>
      </c>
      <c r="I13" s="730" t="n">
        <f aca="false">'Aux Admin I 150'!F20</f>
        <v>0</v>
      </c>
      <c r="J13" s="730" t="n">
        <f aca="false">'Aux Admin II 200'!F20</f>
        <v>460.06</v>
      </c>
      <c r="K13" s="730" t="n">
        <f aca="false">'Aux Admin III 150'!F20</f>
        <v>0</v>
      </c>
      <c r="L13" s="730" t="n">
        <f aca="false">'Aux Admin IV 200'!F20</f>
        <v>460.06</v>
      </c>
      <c r="M13" s="730" t="n">
        <f aca="false">'Assistente Financeiro 200'!F20</f>
        <v>460.06</v>
      </c>
      <c r="N13" s="730" t="n">
        <f aca="false">'Encarregado Geral 220'!F20</f>
        <v>460.06</v>
      </c>
      <c r="O13" s="730" t="n">
        <f aca="false">'Op. Ed. Audio e Video 150'!F20</f>
        <v>0</v>
      </c>
      <c r="P13" s="731" t="n">
        <f aca="false">'Recepcionista 220'!F20</f>
        <v>460.06</v>
      </c>
    </row>
    <row r="14" customFormat="false" ht="12.75" hidden="false" customHeight="false" outlineLevel="0" collapsed="false">
      <c r="A14" s="726" t="s">
        <v>427</v>
      </c>
      <c r="B14" s="727" t="s">
        <v>402</v>
      </c>
      <c r="C14" s="727"/>
      <c r="D14" s="727"/>
      <c r="E14" s="728"/>
      <c r="F14" s="729" t="n">
        <f aca="false">'Ascensorista 150'!F21</f>
        <v>425.31</v>
      </c>
      <c r="G14" s="730" t="n">
        <f aca="false">'Atendente 200'!F21</f>
        <v>372.4</v>
      </c>
      <c r="H14" s="730" t="n">
        <f aca="false">'Aux. Almoxarifado 200'!F21</f>
        <v>378.4</v>
      </c>
      <c r="I14" s="730" t="n">
        <f aca="false">'Aux Admin I 150'!F21</f>
        <v>406.9</v>
      </c>
      <c r="J14" s="730" t="n">
        <f aca="false">'Aux Admin II 200'!F21</f>
        <v>372.4</v>
      </c>
      <c r="K14" s="730" t="n">
        <f aca="false">'Aux Admin III 150'!F21</f>
        <v>375.85</v>
      </c>
      <c r="L14" s="730" t="n">
        <f aca="false">'Aux Admin IV 200'!F21</f>
        <v>331</v>
      </c>
      <c r="M14" s="730" t="n">
        <f aca="false">'Assistente Financeiro 200'!F21</f>
        <v>217.9</v>
      </c>
      <c r="N14" s="730" t="n">
        <f aca="false">'Encarregado Geral 220'!F21</f>
        <v>345.16</v>
      </c>
      <c r="O14" s="730" t="n">
        <f aca="false">'Op. Ed. Audio e Video 150'!F21</f>
        <v>294.86</v>
      </c>
      <c r="P14" s="731" t="n">
        <f aca="false">'Recepcionista 220'!F21</f>
        <v>362.04</v>
      </c>
    </row>
    <row r="15" customFormat="false" ht="12.75" hidden="false" customHeight="false" outlineLevel="0" collapsed="false">
      <c r="A15" s="726" t="s">
        <v>428</v>
      </c>
      <c r="B15" s="728" t="s">
        <v>429</v>
      </c>
      <c r="C15" s="728"/>
      <c r="D15" s="728"/>
      <c r="E15" s="728"/>
      <c r="F15" s="729" t="n">
        <v>0</v>
      </c>
      <c r="G15" s="729" t="n">
        <v>0</v>
      </c>
      <c r="H15" s="729" t="n">
        <v>0</v>
      </c>
      <c r="I15" s="729" t="n">
        <v>0</v>
      </c>
      <c r="J15" s="729" t="n">
        <v>0</v>
      </c>
      <c r="K15" s="729" t="n">
        <v>0</v>
      </c>
      <c r="L15" s="729" t="n">
        <v>0</v>
      </c>
      <c r="M15" s="729" t="n">
        <v>0</v>
      </c>
      <c r="N15" s="729" t="n">
        <v>0</v>
      </c>
      <c r="O15" s="729" t="n">
        <v>0</v>
      </c>
      <c r="P15" s="732" t="n">
        <v>0</v>
      </c>
    </row>
    <row r="16" customFormat="false" ht="12.75" hidden="false" customHeight="false" outlineLevel="0" collapsed="false">
      <c r="A16" s="733" t="s">
        <v>430</v>
      </c>
      <c r="B16" s="733"/>
      <c r="C16" s="733"/>
      <c r="D16" s="733"/>
      <c r="E16" s="733"/>
      <c r="F16" s="734" t="n">
        <f aca="false">SUM(F13:F15)</f>
        <v>425.31</v>
      </c>
      <c r="G16" s="734" t="n">
        <f aca="false">SUM(G13:G15)</f>
        <v>832.46</v>
      </c>
      <c r="H16" s="734" t="n">
        <f aca="false">SUM(H13:H15)</f>
        <v>838.46</v>
      </c>
      <c r="I16" s="734" t="n">
        <f aca="false">SUM(I13:I15)</f>
        <v>406.9</v>
      </c>
      <c r="J16" s="734" t="n">
        <f aca="false">SUM(J13:J15)</f>
        <v>832.46</v>
      </c>
      <c r="K16" s="734" t="n">
        <f aca="false">SUM(K13:K15)</f>
        <v>375.85</v>
      </c>
      <c r="L16" s="734" t="n">
        <f aca="false">SUM(L13:L15)</f>
        <v>791.06</v>
      </c>
      <c r="M16" s="734" t="n">
        <f aca="false">SUM(M13:M15)</f>
        <v>677.96</v>
      </c>
      <c r="N16" s="734" t="n">
        <f aca="false">SUM(N13:N15)</f>
        <v>805.22</v>
      </c>
      <c r="O16" s="734" t="n">
        <f aca="false">SUM(O13:O15)</f>
        <v>294.86</v>
      </c>
      <c r="P16" s="735" t="n">
        <f aca="false">SUM(P13:P15)</f>
        <v>822.1</v>
      </c>
    </row>
    <row r="17" customFormat="false" ht="13.9" hidden="false" customHeight="true" outlineLevel="0" collapsed="false">
      <c r="A17" s="723" t="n">
        <v>5</v>
      </c>
      <c r="B17" s="736" t="s">
        <v>431</v>
      </c>
      <c r="C17" s="736"/>
      <c r="D17" s="736"/>
      <c r="E17" s="737" t="s">
        <v>407</v>
      </c>
      <c r="F17" s="725" t="s">
        <v>161</v>
      </c>
      <c r="G17" s="725"/>
      <c r="H17" s="725"/>
      <c r="I17" s="725"/>
      <c r="J17" s="725"/>
      <c r="K17" s="725"/>
      <c r="L17" s="725"/>
      <c r="M17" s="725"/>
      <c r="N17" s="725"/>
      <c r="O17" s="725"/>
      <c r="P17" s="725"/>
    </row>
    <row r="18" customFormat="false" ht="13.9" hidden="false" customHeight="true" outlineLevel="0" collapsed="false">
      <c r="A18" s="726" t="s">
        <v>422</v>
      </c>
      <c r="B18" s="738" t="s">
        <v>432</v>
      </c>
      <c r="C18" s="738"/>
      <c r="D18" s="738"/>
      <c r="E18" s="739" t="n">
        <f aca="false">Dados!G50</f>
        <v>0.03</v>
      </c>
      <c r="F18" s="740" t="n">
        <f aca="false">ROUND(($E$18*F31),2)</f>
        <v>77.64</v>
      </c>
      <c r="G18" s="740" t="n">
        <f aca="false">ROUND(($E$18*G31),2)</f>
        <v>130.19</v>
      </c>
      <c r="H18" s="740" t="n">
        <f aca="false">ROUND(($E$18*H31),2)</f>
        <v>125.8</v>
      </c>
      <c r="I18" s="740" t="n">
        <f aca="false">ROUND(($E$18*I31),2)</f>
        <v>91.12</v>
      </c>
      <c r="J18" s="740" t="n">
        <f aca="false">ROUND(($E$18*J31),2)</f>
        <v>130.19</v>
      </c>
      <c r="K18" s="740" t="n">
        <f aca="false">ROUND(($E$18*K31),2)</f>
        <v>113.86</v>
      </c>
      <c r="L18" s="740" t="n">
        <f aca="false">ROUND(($E$18*L31),2)</f>
        <v>160.52</v>
      </c>
      <c r="M18" s="740" t="n">
        <f aca="false">ROUND(($E$18*M31),2)</f>
        <v>243.36</v>
      </c>
      <c r="N18" s="740" t="n">
        <f aca="false">ROUND(($E$18*N31),2)</f>
        <v>150.14</v>
      </c>
      <c r="O18" s="740" t="n">
        <f aca="false">ROUND(($E$18*O31),2)</f>
        <v>173.19</v>
      </c>
      <c r="P18" s="741" t="n">
        <f aca="false">ROUND(($E$18*P31),2)</f>
        <v>137.79</v>
      </c>
    </row>
    <row r="19" customFormat="false" ht="13.9" hidden="false" customHeight="true" outlineLevel="0" collapsed="false">
      <c r="A19" s="726" t="s">
        <v>427</v>
      </c>
      <c r="B19" s="738" t="s">
        <v>229</v>
      </c>
      <c r="C19" s="738"/>
      <c r="D19" s="738"/>
      <c r="E19" s="739" t="n">
        <f aca="false">Dados!G51</f>
        <v>0.0679</v>
      </c>
      <c r="F19" s="740" t="n">
        <f aca="false">ROUND(($E$19*(F18+F31)),2)</f>
        <v>180.99</v>
      </c>
      <c r="G19" s="740" t="n">
        <f aca="false">ROUND(($E$19*(G18+G31)),2)</f>
        <v>303.51</v>
      </c>
      <c r="H19" s="740" t="n">
        <f aca="false">ROUND(($E$19*(H18+H31)),2)</f>
        <v>293.27</v>
      </c>
      <c r="I19" s="740" t="n">
        <f aca="false">ROUND(($E$19*(I18+I31)),2)</f>
        <v>212.43</v>
      </c>
      <c r="J19" s="740" t="n">
        <f aca="false">ROUND(($E$19*(J18+J31)),2)</f>
        <v>303.51</v>
      </c>
      <c r="K19" s="740" t="n">
        <f aca="false">ROUND(($E$19*(K18+K31)),2)</f>
        <v>265.44</v>
      </c>
      <c r="L19" s="740" t="n">
        <f aca="false">ROUND(($E$19*(L18+L31)),2)</f>
        <v>374.2</v>
      </c>
      <c r="M19" s="740" t="n">
        <f aca="false">ROUND(($E$19*(M18+M31)),2)</f>
        <v>567.33</v>
      </c>
      <c r="N19" s="740" t="n">
        <f aca="false">ROUND(($E$19*(N18+N31)),2)</f>
        <v>350.02</v>
      </c>
      <c r="O19" s="740" t="n">
        <f aca="false">ROUND(($E$19*(O18+O31)),2)</f>
        <v>403.74</v>
      </c>
      <c r="P19" s="741" t="n">
        <f aca="false">ROUND(($E$19*(P18+P31)),2)</f>
        <v>321.21</v>
      </c>
    </row>
    <row r="20" customFormat="false" ht="13.9" hidden="false" customHeight="true" outlineLevel="0" collapsed="false">
      <c r="A20" s="742" t="s">
        <v>428</v>
      </c>
      <c r="B20" s="743" t="s">
        <v>433</v>
      </c>
      <c r="C20" s="743"/>
      <c r="D20" s="743"/>
      <c r="E20" s="744" t="n">
        <f aca="false">SUM(E21:E24)</f>
        <v>0.1425</v>
      </c>
      <c r="F20" s="745" t="n">
        <f aca="false">ROUND((((F31+F18+F19)/(1-$E$20))-(F31+F18+F19)),2)</f>
        <v>473.05</v>
      </c>
      <c r="G20" s="745" t="n">
        <f aca="false">ROUND((((G31+G18+G19)/(1-$E$20))-(G31+G18+G19)),2)</f>
        <v>793.27</v>
      </c>
      <c r="H20" s="745" t="n">
        <f aca="false">ROUND((((H31+H18+H19)/(1-$E$20))-(H31+H18+H19)),2)</f>
        <v>766.49</v>
      </c>
      <c r="I20" s="745" t="n">
        <f aca="false">ROUND((((I31+I18+I19)/(1-$E$20))-(I31+I18+I19)),2)</f>
        <v>555.2</v>
      </c>
      <c r="J20" s="745" t="n">
        <f aca="false">ROUND((((J31+J18+J19)/(1-$E$20))-(J31+J18+J19)),2)</f>
        <v>793.27</v>
      </c>
      <c r="K20" s="745" t="n">
        <f aca="false">ROUND((((K31+K18+K19)/(1-$E$20))-(K31+K18+K19)),2)</f>
        <v>693.77</v>
      </c>
      <c r="L20" s="745" t="n">
        <f aca="false">ROUND((((L31+L18+L19)/(1-$E$20))-(L31+L18+L19)),2)</f>
        <v>978.02</v>
      </c>
      <c r="M20" s="745" t="n">
        <f aca="false">ROUND((((M31+M18+M19)/(1-$E$20))-(M31+M18+M19)),2)</f>
        <v>1482.79</v>
      </c>
      <c r="N20" s="745" t="n">
        <f aca="false">ROUND((((N31+N18+N19)/(1-$E$20))-(N31+N18+N19)),2)</f>
        <v>914.81</v>
      </c>
      <c r="O20" s="745" t="n">
        <f aca="false">ROUND((((O31+O18+O19)/(1-$E$20))-(O31+O18+O19)),2)</f>
        <v>1055.21</v>
      </c>
      <c r="P20" s="746" t="n">
        <f aca="false">ROUND((((P31+P18+P19)/(1-$E$20))-(P31+P18+P19)),2)</f>
        <v>839.52</v>
      </c>
    </row>
    <row r="21" customFormat="false" ht="13.9" hidden="false" customHeight="true" outlineLevel="0" collapsed="false">
      <c r="A21" s="747" t="s">
        <v>434</v>
      </c>
      <c r="B21" s="738" t="s">
        <v>435</v>
      </c>
      <c r="C21" s="738"/>
      <c r="D21" s="738"/>
      <c r="E21" s="739" t="n">
        <f aca="false">Dados!G58+Dados!G59</f>
        <v>0.0925</v>
      </c>
      <c r="F21" s="740" t="n">
        <f aca="false">ROUND($E$21*F33,2)</f>
        <v>307.07</v>
      </c>
      <c r="G21" s="740" t="n">
        <f aca="false">ROUND($E$21*G33,2)</f>
        <v>514.93</v>
      </c>
      <c r="H21" s="740" t="n">
        <f aca="false">ROUND($E$21*H33,2)</f>
        <v>497.54</v>
      </c>
      <c r="I21" s="740" t="n">
        <f aca="false">ROUND($E$21*I33,2)</f>
        <v>360.4</v>
      </c>
      <c r="J21" s="740" t="n">
        <f aca="false">ROUND($E$21*J33,2)</f>
        <v>514.93</v>
      </c>
      <c r="K21" s="740" t="n">
        <f aca="false">ROUND($E$21*K33,2)</f>
        <v>450.34</v>
      </c>
      <c r="L21" s="740" t="n">
        <f aca="false">ROUND($E$21*L33,2)</f>
        <v>634.86</v>
      </c>
      <c r="M21" s="740" t="n">
        <f aca="false">ROUND($E$21*M33,2)</f>
        <v>962.51</v>
      </c>
      <c r="N21" s="740" t="n">
        <f aca="false">ROUND($E$21*N33,2)</f>
        <v>593.82</v>
      </c>
      <c r="O21" s="740" t="n">
        <f aca="false">ROUND($E$21*O33,2)</f>
        <v>684.96</v>
      </c>
      <c r="P21" s="741" t="n">
        <f aca="false">ROUND($E$21*P33,2)</f>
        <v>544.95</v>
      </c>
    </row>
    <row r="22" customFormat="false" ht="13.9" hidden="false" customHeight="true" outlineLevel="0" collapsed="false">
      <c r="A22" s="726" t="s">
        <v>436</v>
      </c>
      <c r="B22" s="738" t="s">
        <v>437</v>
      </c>
      <c r="C22" s="738"/>
      <c r="D22" s="738"/>
      <c r="E22" s="739" t="n">
        <v>0</v>
      </c>
      <c r="F22" s="740" t="n">
        <f aca="false">ROUND($E$22*F33,2)</f>
        <v>0</v>
      </c>
      <c r="G22" s="740" t="n">
        <f aca="false">ROUND($E$22*G33,2)</f>
        <v>0</v>
      </c>
      <c r="H22" s="740" t="n">
        <f aca="false">ROUND($E$22*H33,2)</f>
        <v>0</v>
      </c>
      <c r="I22" s="740" t="n">
        <f aca="false">ROUND($E$22*I33,2)</f>
        <v>0</v>
      </c>
      <c r="J22" s="740" t="n">
        <f aca="false">ROUND($E$22*J33,2)</f>
        <v>0</v>
      </c>
      <c r="K22" s="740" t="n">
        <f aca="false">ROUND($E$22*K33,2)</f>
        <v>0</v>
      </c>
      <c r="L22" s="740" t="n">
        <f aca="false">ROUND($E$22*L33,2)</f>
        <v>0</v>
      </c>
      <c r="M22" s="740" t="n">
        <f aca="false">ROUND($E$22*M33,2)</f>
        <v>0</v>
      </c>
      <c r="N22" s="740" t="n">
        <f aca="false">ROUND($E$22*N33,2)</f>
        <v>0</v>
      </c>
      <c r="O22" s="740" t="n">
        <f aca="false">ROUND($E$22*O33,2)</f>
        <v>0</v>
      </c>
      <c r="P22" s="741" t="n">
        <f aca="false">ROUND($E$22*P33,2)</f>
        <v>0</v>
      </c>
    </row>
    <row r="23" customFormat="false" ht="13.9" hidden="false" customHeight="true" outlineLevel="0" collapsed="false">
      <c r="A23" s="726" t="s">
        <v>438</v>
      </c>
      <c r="B23" s="738" t="s">
        <v>439</v>
      </c>
      <c r="C23" s="738"/>
      <c r="D23" s="738"/>
      <c r="E23" s="739" t="n">
        <f aca="false">Dados!G60</f>
        <v>0.05</v>
      </c>
      <c r="F23" s="740" t="n">
        <f aca="false">ROUND($E$23*F33,2)</f>
        <v>165.98</v>
      </c>
      <c r="G23" s="740" t="n">
        <f aca="false">ROUND($E$23*G33,2)</f>
        <v>278.34</v>
      </c>
      <c r="H23" s="740" t="n">
        <f aca="false">ROUND($E$23*H33,2)</f>
        <v>268.94</v>
      </c>
      <c r="I23" s="740" t="n">
        <f aca="false">ROUND($E$23*I33,2)</f>
        <v>194.81</v>
      </c>
      <c r="J23" s="740" t="n">
        <f aca="false">ROUND($E$23*J33,2)</f>
        <v>278.34</v>
      </c>
      <c r="K23" s="740" t="n">
        <f aca="false">ROUND($E$23*K33,2)</f>
        <v>243.43</v>
      </c>
      <c r="L23" s="740" t="n">
        <f aca="false">ROUND($E$23*L33,2)</f>
        <v>343.17</v>
      </c>
      <c r="M23" s="740" t="n">
        <f aca="false">ROUND($E$23*M33,2)</f>
        <v>520.28</v>
      </c>
      <c r="N23" s="740" t="n">
        <f aca="false">ROUND($E$23*N33,2)</f>
        <v>320.99</v>
      </c>
      <c r="O23" s="740" t="n">
        <f aca="false">ROUND($E$23*O33,2)</f>
        <v>370.25</v>
      </c>
      <c r="P23" s="741" t="n">
        <f aca="false">ROUND($E$23*P33,2)</f>
        <v>294.57</v>
      </c>
    </row>
    <row r="24" customFormat="false" ht="12.75" hidden="false" customHeight="false" outlineLevel="0" collapsed="false">
      <c r="A24" s="726" t="s">
        <v>440</v>
      </c>
      <c r="B24" s="738" t="str">
        <f aca="false">Dados!B61</f>
        <v>Outros (inserir somente com a justificativa legal)</v>
      </c>
      <c r="C24" s="738"/>
      <c r="D24" s="738"/>
      <c r="E24" s="739" t="n">
        <f aca="false">Dados!G61</f>
        <v>0</v>
      </c>
      <c r="F24" s="740" t="n">
        <f aca="false">ROUND($E$24*F33,2)</f>
        <v>0</v>
      </c>
      <c r="G24" s="740" t="n">
        <f aca="false">ROUND($E$24*G33,2)</f>
        <v>0</v>
      </c>
      <c r="H24" s="740" t="n">
        <f aca="false">ROUND($E$24*H33,2)</f>
        <v>0</v>
      </c>
      <c r="I24" s="740" t="n">
        <f aca="false">ROUND($E$24*I33,2)</f>
        <v>0</v>
      </c>
      <c r="J24" s="740" t="n">
        <f aca="false">ROUND($E$24*J33,2)</f>
        <v>0</v>
      </c>
      <c r="K24" s="740" t="n">
        <f aca="false">ROUND($E$24*K33,2)</f>
        <v>0</v>
      </c>
      <c r="L24" s="740" t="n">
        <f aca="false">ROUND($E$24*L33,2)</f>
        <v>0</v>
      </c>
      <c r="M24" s="740" t="n">
        <f aca="false">ROUND($E$24*M33,2)</f>
        <v>0</v>
      </c>
      <c r="N24" s="740" t="n">
        <f aca="false">ROUND($E$24*N33,2)</f>
        <v>0</v>
      </c>
      <c r="O24" s="740" t="n">
        <f aca="false">ROUND($E$24*O33,2)</f>
        <v>0</v>
      </c>
      <c r="P24" s="741" t="n">
        <f aca="false">ROUND($E$24*P33,2)</f>
        <v>0</v>
      </c>
    </row>
    <row r="25" customFormat="false" ht="12.75" hidden="false" customHeight="false" outlineLevel="0" collapsed="false">
      <c r="A25" s="748" t="s">
        <v>441</v>
      </c>
      <c r="B25" s="749"/>
      <c r="C25" s="749"/>
      <c r="D25" s="749"/>
      <c r="E25" s="749"/>
      <c r="F25" s="750" t="n">
        <f aca="false">SUM(F18:F20)</f>
        <v>731.68</v>
      </c>
      <c r="G25" s="750" t="n">
        <f aca="false">SUM(G18:G20)</f>
        <v>1226.97</v>
      </c>
      <c r="H25" s="750" t="n">
        <f aca="false">SUM(H18:H20)</f>
        <v>1185.56</v>
      </c>
      <c r="I25" s="750" t="n">
        <f aca="false">SUM(I18:I20)</f>
        <v>858.75</v>
      </c>
      <c r="J25" s="750" t="n">
        <f aca="false">SUM(J18:J20)</f>
        <v>1226.97</v>
      </c>
      <c r="K25" s="750" t="n">
        <f aca="false">SUM(K18:K20)</f>
        <v>1073.07</v>
      </c>
      <c r="L25" s="750" t="n">
        <f aca="false">SUM(L18:L20)</f>
        <v>1512.74</v>
      </c>
      <c r="M25" s="750" t="n">
        <f aca="false">SUM(M18:M20)</f>
        <v>2293.48</v>
      </c>
      <c r="N25" s="750" t="n">
        <f aca="false">SUM(N18:N20)</f>
        <v>1414.97</v>
      </c>
      <c r="O25" s="750" t="n">
        <f aca="false">SUM(O18:O20)</f>
        <v>1632.14</v>
      </c>
      <c r="P25" s="751" t="n">
        <f aca="false">SUM(P18:P20)</f>
        <v>1298.52</v>
      </c>
    </row>
    <row r="26" customFormat="false" ht="12.75" hidden="false" customHeight="false" outlineLevel="0" collapsed="false">
      <c r="A26" s="752" t="s">
        <v>442</v>
      </c>
      <c r="B26" s="752"/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  <c r="P26" s="752"/>
    </row>
    <row r="27" customFormat="false" ht="12.75" hidden="false" customHeight="false" outlineLevel="0" collapsed="false">
      <c r="A27" s="753" t="s">
        <v>443</v>
      </c>
      <c r="B27" s="753"/>
      <c r="C27" s="753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53"/>
      <c r="P27" s="753"/>
    </row>
    <row r="28" customFormat="false" ht="12.75" hidden="false" customHeight="false" outlineLevel="0" collapsed="false">
      <c r="A28" s="754" t="s">
        <v>444</v>
      </c>
      <c r="B28" s="755"/>
      <c r="C28" s="755"/>
      <c r="D28" s="755"/>
      <c r="E28" s="755"/>
      <c r="F28" s="756" t="s">
        <v>161</v>
      </c>
      <c r="G28" s="756"/>
      <c r="H28" s="756"/>
      <c r="I28" s="756"/>
      <c r="J28" s="756"/>
      <c r="K28" s="756"/>
      <c r="L28" s="756"/>
      <c r="M28" s="756"/>
      <c r="N28" s="756"/>
      <c r="O28" s="756"/>
      <c r="P28" s="756"/>
    </row>
    <row r="29" customFormat="false" ht="12.75" hidden="false" customHeight="false" outlineLevel="0" collapsed="false">
      <c r="A29" s="714" t="s">
        <v>422</v>
      </c>
      <c r="B29" s="757" t="s">
        <v>445</v>
      </c>
      <c r="C29" s="757"/>
      <c r="D29" s="757"/>
      <c r="E29" s="757"/>
      <c r="F29" s="758" t="n">
        <f aca="false">F11</f>
        <v>2162.64</v>
      </c>
      <c r="G29" s="758" t="n">
        <f aca="false">G11</f>
        <v>3507.36</v>
      </c>
      <c r="H29" s="758" t="n">
        <f aca="false">H11</f>
        <v>3354.84</v>
      </c>
      <c r="I29" s="758" t="n">
        <f aca="false">I11</f>
        <v>2630.52</v>
      </c>
      <c r="J29" s="758" t="n">
        <f aca="false">J11</f>
        <v>3507.36</v>
      </c>
      <c r="K29" s="758" t="n">
        <f aca="false">K11</f>
        <v>3419.64</v>
      </c>
      <c r="L29" s="758" t="n">
        <f aca="false">L11</f>
        <v>4559.52</v>
      </c>
      <c r="M29" s="758" t="n">
        <f aca="false">M11</f>
        <v>7434.12</v>
      </c>
      <c r="N29" s="758" t="n">
        <f aca="false">N11</f>
        <v>4199.52</v>
      </c>
      <c r="O29" s="758" t="n">
        <f aca="false">O11</f>
        <v>5478</v>
      </c>
      <c r="P29" s="759" t="n">
        <f aca="false">P11</f>
        <v>3770.76</v>
      </c>
    </row>
    <row r="30" customFormat="false" ht="12.75" hidden="false" customHeight="false" outlineLevel="0" collapsed="false">
      <c r="A30" s="714" t="s">
        <v>427</v>
      </c>
      <c r="B30" s="757" t="s">
        <v>426</v>
      </c>
      <c r="C30" s="757"/>
      <c r="D30" s="757"/>
      <c r="E30" s="757"/>
      <c r="F30" s="758" t="n">
        <f aca="false">F16</f>
        <v>425.31</v>
      </c>
      <c r="G30" s="758" t="n">
        <f aca="false">G16</f>
        <v>832.46</v>
      </c>
      <c r="H30" s="758" t="n">
        <f aca="false">H16</f>
        <v>838.46</v>
      </c>
      <c r="I30" s="758" t="n">
        <f aca="false">I16</f>
        <v>406.9</v>
      </c>
      <c r="J30" s="758" t="n">
        <f aca="false">J16</f>
        <v>832.46</v>
      </c>
      <c r="K30" s="758" t="n">
        <f aca="false">K16</f>
        <v>375.85</v>
      </c>
      <c r="L30" s="758" t="n">
        <f aca="false">L16</f>
        <v>791.06</v>
      </c>
      <c r="M30" s="758" t="n">
        <f aca="false">M16</f>
        <v>677.96</v>
      </c>
      <c r="N30" s="758" t="n">
        <f aca="false">N16</f>
        <v>805.22</v>
      </c>
      <c r="O30" s="758" t="n">
        <f aca="false">O16</f>
        <v>294.86</v>
      </c>
      <c r="P30" s="759" t="n">
        <f aca="false">P16</f>
        <v>822.1</v>
      </c>
    </row>
    <row r="31" customFormat="false" ht="12.75" hidden="false" customHeight="false" outlineLevel="0" collapsed="false">
      <c r="A31" s="760" t="s">
        <v>446</v>
      </c>
      <c r="B31" s="760"/>
      <c r="C31" s="760"/>
      <c r="D31" s="760"/>
      <c r="E31" s="761"/>
      <c r="F31" s="762" t="n">
        <f aca="false">SUM(F29:F30)</f>
        <v>2587.95</v>
      </c>
      <c r="G31" s="762" t="n">
        <f aca="false">SUM(G29:G30)</f>
        <v>4339.82</v>
      </c>
      <c r="H31" s="762" t="n">
        <f aca="false">SUM(H29:H30)</f>
        <v>4193.3</v>
      </c>
      <c r="I31" s="762" t="n">
        <f aca="false">SUM(I29:I30)</f>
        <v>3037.42</v>
      </c>
      <c r="J31" s="762" t="n">
        <f aca="false">SUM(J29:J30)</f>
        <v>4339.82</v>
      </c>
      <c r="K31" s="762" t="n">
        <f aca="false">SUM(K29:K30)</f>
        <v>3795.49</v>
      </c>
      <c r="L31" s="762" t="n">
        <f aca="false">SUM(L29:L30)</f>
        <v>5350.58</v>
      </c>
      <c r="M31" s="762" t="n">
        <f aca="false">SUM(M29:M30)</f>
        <v>8112.08</v>
      </c>
      <c r="N31" s="762" t="n">
        <f aca="false">SUM(N29:N30)</f>
        <v>5004.74</v>
      </c>
      <c r="O31" s="762" t="n">
        <f aca="false">SUM(O29:O30)</f>
        <v>5772.86</v>
      </c>
      <c r="P31" s="763" t="n">
        <f aca="false">SUM(P29:P30)</f>
        <v>4592.86</v>
      </c>
    </row>
    <row r="32" customFormat="false" ht="12.75" hidden="false" customHeight="false" outlineLevel="0" collapsed="false">
      <c r="A32" s="764" t="s">
        <v>447</v>
      </c>
      <c r="B32" s="765" t="s">
        <v>448</v>
      </c>
      <c r="C32" s="765"/>
      <c r="D32" s="765"/>
      <c r="E32" s="765"/>
      <c r="F32" s="766" t="n">
        <f aca="false">F25</f>
        <v>731.68</v>
      </c>
      <c r="G32" s="766" t="n">
        <f aca="false">G25</f>
        <v>1226.97</v>
      </c>
      <c r="H32" s="766" t="n">
        <f aca="false">H25</f>
        <v>1185.56</v>
      </c>
      <c r="I32" s="766" t="n">
        <f aca="false">I25</f>
        <v>858.75</v>
      </c>
      <c r="J32" s="766" t="n">
        <f aca="false">J25</f>
        <v>1226.97</v>
      </c>
      <c r="K32" s="766" t="n">
        <f aca="false">K25</f>
        <v>1073.07</v>
      </c>
      <c r="L32" s="766" t="n">
        <f aca="false">L25</f>
        <v>1512.74</v>
      </c>
      <c r="M32" s="766" t="n">
        <f aca="false">M25</f>
        <v>2293.48</v>
      </c>
      <c r="N32" s="766" t="n">
        <f aca="false">N25</f>
        <v>1414.97</v>
      </c>
      <c r="O32" s="766" t="n">
        <f aca="false">O25</f>
        <v>1632.14</v>
      </c>
      <c r="P32" s="767" t="n">
        <f aca="false">P25</f>
        <v>1298.52</v>
      </c>
    </row>
    <row r="33" customFormat="false" ht="12.75" hidden="false" customHeight="false" outlineLevel="0" collapsed="false">
      <c r="A33" s="768" t="s">
        <v>449</v>
      </c>
      <c r="B33" s="769"/>
      <c r="C33" s="769"/>
      <c r="D33" s="769"/>
      <c r="E33" s="769"/>
      <c r="F33" s="770" t="n">
        <f aca="false">SUM(F31:F32)</f>
        <v>3319.63</v>
      </c>
      <c r="G33" s="770" t="n">
        <f aca="false">SUM(G31:G32)</f>
        <v>5566.79</v>
      </c>
      <c r="H33" s="770" t="n">
        <f aca="false">SUM(H31:H32)</f>
        <v>5378.86</v>
      </c>
      <c r="I33" s="770" t="n">
        <f aca="false">SUM(I31:I32)</f>
        <v>3896.17</v>
      </c>
      <c r="J33" s="770" t="n">
        <f aca="false">SUM(J31:J32)</f>
        <v>5566.79</v>
      </c>
      <c r="K33" s="770" t="n">
        <f aca="false">SUM(K31:K32)</f>
        <v>4868.56</v>
      </c>
      <c r="L33" s="770" t="n">
        <f aca="false">SUM(L31:L32)</f>
        <v>6863.32</v>
      </c>
      <c r="M33" s="770" t="n">
        <f aca="false">SUM(M31:M32)</f>
        <v>10405.56</v>
      </c>
      <c r="N33" s="770" t="n">
        <f aca="false">SUM(N31:N32)</f>
        <v>6419.71</v>
      </c>
      <c r="O33" s="770" t="n">
        <f aca="false">SUM(O31:O32)</f>
        <v>7405</v>
      </c>
      <c r="P33" s="771" t="n">
        <f aca="false">SUM(P31:P32)</f>
        <v>5891.38</v>
      </c>
    </row>
  </sheetData>
  <sheetProtection sheet="true" objects="true" scenarios="true"/>
  <mergeCells count="30">
    <mergeCell ref="B1:P1"/>
    <mergeCell ref="B2:P2"/>
    <mergeCell ref="B3:P3"/>
    <mergeCell ref="A4:P4"/>
    <mergeCell ref="A5:D5"/>
    <mergeCell ref="E5:E6"/>
    <mergeCell ref="B6:D6"/>
    <mergeCell ref="F6:P6"/>
    <mergeCell ref="B7:E7"/>
    <mergeCell ref="B8:D8"/>
    <mergeCell ref="B9:D9"/>
    <mergeCell ref="A10:D10"/>
    <mergeCell ref="A11:E11"/>
    <mergeCell ref="F12:P12"/>
    <mergeCell ref="B13:D13"/>
    <mergeCell ref="B14:D14"/>
    <mergeCell ref="A16:E16"/>
    <mergeCell ref="B17:D17"/>
    <mergeCell ref="F17:P17"/>
    <mergeCell ref="B18:D18"/>
    <mergeCell ref="B19:D19"/>
    <mergeCell ref="B20:D20"/>
    <mergeCell ref="B21:D21"/>
    <mergeCell ref="B22:D22"/>
    <mergeCell ref="B23:D23"/>
    <mergeCell ref="B24:D24"/>
    <mergeCell ref="A26:P26"/>
    <mergeCell ref="A27:P27"/>
    <mergeCell ref="F28:P28"/>
    <mergeCell ref="A31:D3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I19"/>
  <sheetViews>
    <sheetView showFormulas="false" showGridLines="false" showRowColHeaders="true" showZeros="true" rightToLeft="false" tabSelected="false" showOutlineSymbols="true" defaultGridColor="true" view="pageBreakPreview" topLeftCell="A1" colorId="64" zoomScale="130" zoomScaleNormal="100" zoomScalePageLayoutView="13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772" width="1.66"/>
    <col collapsed="false" customWidth="true" hidden="false" outlineLevel="0" max="2" min="2" style="772" width="8.5"/>
    <col collapsed="false" customWidth="true" hidden="false" outlineLevel="0" max="3" min="3" style="772" width="5.16"/>
    <col collapsed="false" customWidth="true" hidden="false" outlineLevel="0" max="4" min="4" style="772" width="8.83"/>
    <col collapsed="false" customWidth="true" hidden="false" outlineLevel="0" max="5" min="5" style="772" width="6.34"/>
    <col collapsed="false" customWidth="true" hidden="false" outlineLevel="0" max="6" min="6" style="772" width="9.66"/>
    <col collapsed="false" customWidth="true" hidden="false" outlineLevel="0" max="7" min="7" style="772" width="8.67"/>
    <col collapsed="false" customWidth="true" hidden="false" outlineLevel="0" max="8" min="8" style="772" width="3.83"/>
    <col collapsed="false" customWidth="true" hidden="false" outlineLevel="0" max="9" min="9" style="772" width="8.5"/>
    <col collapsed="false" customWidth="true" hidden="false" outlineLevel="0" max="10" min="10" style="772" width="5.16"/>
    <col collapsed="false" customWidth="true" hidden="false" outlineLevel="0" max="11" min="11" style="772" width="8.83"/>
    <col collapsed="false" customWidth="true" hidden="false" outlineLevel="0" max="12" min="12" style="772" width="6.34"/>
    <col collapsed="false" customWidth="true" hidden="false" outlineLevel="0" max="13" min="13" style="772" width="9.66"/>
    <col collapsed="false" customWidth="true" hidden="false" outlineLevel="0" max="14" min="14" style="772" width="8.67"/>
    <col collapsed="false" customWidth="true" hidden="false" outlineLevel="0" max="15" min="15" style="772" width="3.5"/>
    <col collapsed="false" customWidth="true" hidden="false" outlineLevel="0" max="16" min="16" style="772" width="8.5"/>
    <col collapsed="false" customWidth="true" hidden="false" outlineLevel="0" max="17" min="17" style="772" width="5.16"/>
    <col collapsed="false" customWidth="true" hidden="false" outlineLevel="0" max="18" min="18" style="772" width="8.83"/>
    <col collapsed="false" customWidth="true" hidden="false" outlineLevel="0" max="19" min="19" style="772" width="6.34"/>
    <col collapsed="false" customWidth="true" hidden="false" outlineLevel="0" max="20" min="20" style="772" width="9.66"/>
    <col collapsed="false" customWidth="true" hidden="false" outlineLevel="0" max="21" min="21" style="772" width="8.67"/>
    <col collapsed="false" customWidth="true" hidden="false" outlineLevel="0" max="22" min="22" style="772" width="3.5"/>
    <col collapsed="false" customWidth="true" hidden="false" outlineLevel="0" max="23" min="23" style="772" width="8.5"/>
    <col collapsed="false" customWidth="true" hidden="false" outlineLevel="0" max="24" min="24" style="772" width="5.16"/>
    <col collapsed="false" customWidth="true" hidden="false" outlineLevel="0" max="25" min="25" style="772" width="8.83"/>
    <col collapsed="false" customWidth="true" hidden="false" outlineLevel="0" max="26" min="26" style="772" width="6.34"/>
    <col collapsed="false" customWidth="true" hidden="false" outlineLevel="0" max="27" min="27" style="772" width="9.66"/>
    <col collapsed="false" customWidth="true" hidden="false" outlineLevel="0" max="28" min="28" style="772" width="8.67"/>
    <col collapsed="false" customWidth="true" hidden="false" outlineLevel="0" max="29" min="29" style="772" width="3.5"/>
    <col collapsed="false" customWidth="true" hidden="false" outlineLevel="0" max="30" min="30" style="772" width="8.5"/>
    <col collapsed="false" customWidth="true" hidden="false" outlineLevel="0" max="31" min="31" style="772" width="5.16"/>
    <col collapsed="false" customWidth="true" hidden="false" outlineLevel="0" max="256" min="32" style="772" width="9.33"/>
    <col collapsed="false" customWidth="true" hidden="false" outlineLevel="0" max="257" min="257" style="772" width="1.66"/>
    <col collapsed="false" customWidth="true" hidden="false" outlineLevel="0" max="258" min="258" style="772" width="8.5"/>
    <col collapsed="false" customWidth="true" hidden="false" outlineLevel="0" max="259" min="259" style="772" width="5.16"/>
    <col collapsed="false" customWidth="true" hidden="false" outlineLevel="0" max="260" min="260" style="772" width="8.83"/>
    <col collapsed="false" customWidth="true" hidden="false" outlineLevel="0" max="261" min="261" style="772" width="6.34"/>
    <col collapsed="false" customWidth="true" hidden="false" outlineLevel="0" max="262" min="262" style="772" width="9.66"/>
    <col collapsed="false" customWidth="true" hidden="false" outlineLevel="0" max="263" min="263" style="772" width="8.67"/>
    <col collapsed="false" customWidth="true" hidden="false" outlineLevel="0" max="264" min="264" style="772" width="3.83"/>
    <col collapsed="false" customWidth="true" hidden="false" outlineLevel="0" max="265" min="265" style="772" width="8.5"/>
    <col collapsed="false" customWidth="true" hidden="false" outlineLevel="0" max="266" min="266" style="772" width="5.16"/>
    <col collapsed="false" customWidth="true" hidden="false" outlineLevel="0" max="267" min="267" style="772" width="8.83"/>
    <col collapsed="false" customWidth="true" hidden="false" outlineLevel="0" max="268" min="268" style="772" width="6.34"/>
    <col collapsed="false" customWidth="true" hidden="false" outlineLevel="0" max="269" min="269" style="772" width="9.66"/>
    <col collapsed="false" customWidth="true" hidden="false" outlineLevel="0" max="270" min="270" style="772" width="8.67"/>
    <col collapsed="false" customWidth="true" hidden="false" outlineLevel="0" max="271" min="271" style="772" width="3.5"/>
    <col collapsed="false" customWidth="true" hidden="false" outlineLevel="0" max="272" min="272" style="772" width="8.5"/>
    <col collapsed="false" customWidth="true" hidden="false" outlineLevel="0" max="273" min="273" style="772" width="5.16"/>
    <col collapsed="false" customWidth="true" hidden="false" outlineLevel="0" max="274" min="274" style="772" width="8.83"/>
    <col collapsed="false" customWidth="true" hidden="false" outlineLevel="0" max="275" min="275" style="772" width="6.34"/>
    <col collapsed="false" customWidth="true" hidden="false" outlineLevel="0" max="276" min="276" style="772" width="9.66"/>
    <col collapsed="false" customWidth="true" hidden="false" outlineLevel="0" max="277" min="277" style="772" width="8.67"/>
    <col collapsed="false" customWidth="true" hidden="false" outlineLevel="0" max="278" min="278" style="772" width="3.5"/>
    <col collapsed="false" customWidth="true" hidden="false" outlineLevel="0" max="279" min="279" style="772" width="8.5"/>
    <col collapsed="false" customWidth="true" hidden="false" outlineLevel="0" max="280" min="280" style="772" width="5.16"/>
    <col collapsed="false" customWidth="true" hidden="false" outlineLevel="0" max="281" min="281" style="772" width="8.83"/>
    <col collapsed="false" customWidth="true" hidden="false" outlineLevel="0" max="282" min="282" style="772" width="6.34"/>
    <col collapsed="false" customWidth="true" hidden="false" outlineLevel="0" max="283" min="283" style="772" width="9.66"/>
    <col collapsed="false" customWidth="true" hidden="false" outlineLevel="0" max="284" min="284" style="772" width="8.67"/>
    <col collapsed="false" customWidth="true" hidden="false" outlineLevel="0" max="285" min="285" style="772" width="3.5"/>
    <col collapsed="false" customWidth="true" hidden="false" outlineLevel="0" max="286" min="286" style="772" width="8.5"/>
    <col collapsed="false" customWidth="true" hidden="false" outlineLevel="0" max="287" min="287" style="772" width="5.16"/>
    <col collapsed="false" customWidth="true" hidden="false" outlineLevel="0" max="512" min="288" style="772" width="9.33"/>
    <col collapsed="false" customWidth="true" hidden="false" outlineLevel="0" max="513" min="513" style="772" width="1.66"/>
    <col collapsed="false" customWidth="true" hidden="false" outlineLevel="0" max="514" min="514" style="772" width="8.5"/>
    <col collapsed="false" customWidth="true" hidden="false" outlineLevel="0" max="515" min="515" style="772" width="5.16"/>
    <col collapsed="false" customWidth="true" hidden="false" outlineLevel="0" max="516" min="516" style="772" width="8.83"/>
    <col collapsed="false" customWidth="true" hidden="false" outlineLevel="0" max="517" min="517" style="772" width="6.34"/>
    <col collapsed="false" customWidth="true" hidden="false" outlineLevel="0" max="518" min="518" style="772" width="9.66"/>
    <col collapsed="false" customWidth="true" hidden="false" outlineLevel="0" max="519" min="519" style="772" width="8.67"/>
    <col collapsed="false" customWidth="true" hidden="false" outlineLevel="0" max="520" min="520" style="772" width="3.83"/>
    <col collapsed="false" customWidth="true" hidden="false" outlineLevel="0" max="521" min="521" style="772" width="8.5"/>
    <col collapsed="false" customWidth="true" hidden="false" outlineLevel="0" max="522" min="522" style="772" width="5.16"/>
    <col collapsed="false" customWidth="true" hidden="false" outlineLevel="0" max="523" min="523" style="772" width="8.83"/>
    <col collapsed="false" customWidth="true" hidden="false" outlineLevel="0" max="524" min="524" style="772" width="6.34"/>
    <col collapsed="false" customWidth="true" hidden="false" outlineLevel="0" max="525" min="525" style="772" width="9.66"/>
    <col collapsed="false" customWidth="true" hidden="false" outlineLevel="0" max="526" min="526" style="772" width="8.67"/>
    <col collapsed="false" customWidth="true" hidden="false" outlineLevel="0" max="527" min="527" style="772" width="3.5"/>
    <col collapsed="false" customWidth="true" hidden="false" outlineLevel="0" max="528" min="528" style="772" width="8.5"/>
    <col collapsed="false" customWidth="true" hidden="false" outlineLevel="0" max="529" min="529" style="772" width="5.16"/>
    <col collapsed="false" customWidth="true" hidden="false" outlineLevel="0" max="530" min="530" style="772" width="8.83"/>
    <col collapsed="false" customWidth="true" hidden="false" outlineLevel="0" max="531" min="531" style="772" width="6.34"/>
    <col collapsed="false" customWidth="true" hidden="false" outlineLevel="0" max="532" min="532" style="772" width="9.66"/>
    <col collapsed="false" customWidth="true" hidden="false" outlineLevel="0" max="533" min="533" style="772" width="8.67"/>
    <col collapsed="false" customWidth="true" hidden="false" outlineLevel="0" max="534" min="534" style="772" width="3.5"/>
    <col collapsed="false" customWidth="true" hidden="false" outlineLevel="0" max="535" min="535" style="772" width="8.5"/>
    <col collapsed="false" customWidth="true" hidden="false" outlineLevel="0" max="536" min="536" style="772" width="5.16"/>
    <col collapsed="false" customWidth="true" hidden="false" outlineLevel="0" max="537" min="537" style="772" width="8.83"/>
    <col collapsed="false" customWidth="true" hidden="false" outlineLevel="0" max="538" min="538" style="772" width="6.34"/>
    <col collapsed="false" customWidth="true" hidden="false" outlineLevel="0" max="539" min="539" style="772" width="9.66"/>
    <col collapsed="false" customWidth="true" hidden="false" outlineLevel="0" max="540" min="540" style="772" width="8.67"/>
    <col collapsed="false" customWidth="true" hidden="false" outlineLevel="0" max="541" min="541" style="772" width="3.5"/>
    <col collapsed="false" customWidth="true" hidden="false" outlineLevel="0" max="542" min="542" style="772" width="8.5"/>
    <col collapsed="false" customWidth="true" hidden="false" outlineLevel="0" max="543" min="543" style="772" width="5.16"/>
    <col collapsed="false" customWidth="true" hidden="false" outlineLevel="0" max="768" min="544" style="772" width="9.33"/>
    <col collapsed="false" customWidth="true" hidden="false" outlineLevel="0" max="769" min="769" style="772" width="1.66"/>
    <col collapsed="false" customWidth="true" hidden="false" outlineLevel="0" max="770" min="770" style="772" width="8.5"/>
    <col collapsed="false" customWidth="true" hidden="false" outlineLevel="0" max="771" min="771" style="772" width="5.16"/>
    <col collapsed="false" customWidth="true" hidden="false" outlineLevel="0" max="772" min="772" style="772" width="8.83"/>
    <col collapsed="false" customWidth="true" hidden="false" outlineLevel="0" max="773" min="773" style="772" width="6.34"/>
    <col collapsed="false" customWidth="true" hidden="false" outlineLevel="0" max="774" min="774" style="772" width="9.66"/>
    <col collapsed="false" customWidth="true" hidden="false" outlineLevel="0" max="775" min="775" style="772" width="8.67"/>
    <col collapsed="false" customWidth="true" hidden="false" outlineLevel="0" max="776" min="776" style="772" width="3.83"/>
    <col collapsed="false" customWidth="true" hidden="false" outlineLevel="0" max="777" min="777" style="772" width="8.5"/>
    <col collapsed="false" customWidth="true" hidden="false" outlineLevel="0" max="778" min="778" style="772" width="5.16"/>
    <col collapsed="false" customWidth="true" hidden="false" outlineLevel="0" max="779" min="779" style="772" width="8.83"/>
    <col collapsed="false" customWidth="true" hidden="false" outlineLevel="0" max="780" min="780" style="772" width="6.34"/>
    <col collapsed="false" customWidth="true" hidden="false" outlineLevel="0" max="781" min="781" style="772" width="9.66"/>
    <col collapsed="false" customWidth="true" hidden="false" outlineLevel="0" max="782" min="782" style="772" width="8.67"/>
    <col collapsed="false" customWidth="true" hidden="false" outlineLevel="0" max="783" min="783" style="772" width="3.5"/>
    <col collapsed="false" customWidth="true" hidden="false" outlineLevel="0" max="784" min="784" style="772" width="8.5"/>
    <col collapsed="false" customWidth="true" hidden="false" outlineLevel="0" max="785" min="785" style="772" width="5.16"/>
    <col collapsed="false" customWidth="true" hidden="false" outlineLevel="0" max="786" min="786" style="772" width="8.83"/>
    <col collapsed="false" customWidth="true" hidden="false" outlineLevel="0" max="787" min="787" style="772" width="6.34"/>
    <col collapsed="false" customWidth="true" hidden="false" outlineLevel="0" max="788" min="788" style="772" width="9.66"/>
    <col collapsed="false" customWidth="true" hidden="false" outlineLevel="0" max="789" min="789" style="772" width="8.67"/>
    <col collapsed="false" customWidth="true" hidden="false" outlineLevel="0" max="790" min="790" style="772" width="3.5"/>
    <col collapsed="false" customWidth="true" hidden="false" outlineLevel="0" max="791" min="791" style="772" width="8.5"/>
    <col collapsed="false" customWidth="true" hidden="false" outlineLevel="0" max="792" min="792" style="772" width="5.16"/>
    <col collapsed="false" customWidth="true" hidden="false" outlineLevel="0" max="793" min="793" style="772" width="8.83"/>
    <col collapsed="false" customWidth="true" hidden="false" outlineLevel="0" max="794" min="794" style="772" width="6.34"/>
    <col collapsed="false" customWidth="true" hidden="false" outlineLevel="0" max="795" min="795" style="772" width="9.66"/>
    <col collapsed="false" customWidth="true" hidden="false" outlineLevel="0" max="796" min="796" style="772" width="8.67"/>
    <col collapsed="false" customWidth="true" hidden="false" outlineLevel="0" max="797" min="797" style="772" width="3.5"/>
    <col collapsed="false" customWidth="true" hidden="false" outlineLevel="0" max="798" min="798" style="772" width="8.5"/>
    <col collapsed="false" customWidth="true" hidden="false" outlineLevel="0" max="799" min="799" style="772" width="5.16"/>
    <col collapsed="false" customWidth="true" hidden="false" outlineLevel="0" max="1025" min="800" style="772" width="9.33"/>
  </cols>
  <sheetData>
    <row r="1" customFormat="false" ht="7.5" hidden="false" customHeight="true" outlineLevel="0" collapsed="false"/>
    <row r="2" customFormat="false" ht="15.75" hidden="false" customHeight="true" outlineLevel="0" collapsed="false">
      <c r="B2" s="773" t="s">
        <v>244</v>
      </c>
      <c r="C2" s="773"/>
      <c r="D2" s="773"/>
      <c r="E2" s="773"/>
      <c r="F2" s="773"/>
      <c r="G2" s="773"/>
      <c r="I2" s="773" t="s">
        <v>248</v>
      </c>
      <c r="J2" s="773"/>
      <c r="K2" s="773"/>
      <c r="L2" s="773"/>
      <c r="M2" s="773"/>
      <c r="N2" s="773"/>
      <c r="P2" s="773" t="s">
        <v>249</v>
      </c>
      <c r="Q2" s="773"/>
      <c r="R2" s="773"/>
      <c r="S2" s="773"/>
      <c r="T2" s="773"/>
      <c r="U2" s="773"/>
      <c r="W2" s="773" t="s">
        <v>250</v>
      </c>
      <c r="X2" s="773"/>
      <c r="Y2" s="773"/>
      <c r="Z2" s="773"/>
      <c r="AA2" s="773"/>
      <c r="AB2" s="773"/>
      <c r="AD2" s="773" t="s">
        <v>251</v>
      </c>
      <c r="AE2" s="773"/>
      <c r="AF2" s="773"/>
      <c r="AG2" s="773"/>
      <c r="AH2" s="773"/>
      <c r="AI2" s="773"/>
    </row>
    <row r="3" customFormat="false" ht="12.75" hidden="false" customHeight="false" outlineLevel="0" collapsed="false">
      <c r="B3" s="774" t="s">
        <v>450</v>
      </c>
      <c r="C3" s="775"/>
      <c r="D3" s="775"/>
      <c r="E3" s="775"/>
      <c r="F3" s="775"/>
      <c r="G3" s="775"/>
      <c r="I3" s="774" t="s">
        <v>450</v>
      </c>
      <c r="J3" s="775"/>
      <c r="K3" s="775"/>
      <c r="L3" s="775"/>
      <c r="M3" s="775"/>
      <c r="N3" s="775"/>
      <c r="P3" s="774" t="s">
        <v>450</v>
      </c>
      <c r="Q3" s="775"/>
      <c r="R3" s="775"/>
      <c r="S3" s="775"/>
      <c r="T3" s="775"/>
      <c r="U3" s="775"/>
      <c r="W3" s="774" t="s">
        <v>450</v>
      </c>
      <c r="X3" s="775"/>
      <c r="Y3" s="775"/>
      <c r="Z3" s="775"/>
      <c r="AA3" s="775"/>
      <c r="AB3" s="775"/>
      <c r="AD3" s="774" t="s">
        <v>450</v>
      </c>
      <c r="AE3" s="775"/>
      <c r="AF3" s="775"/>
      <c r="AG3" s="775"/>
      <c r="AH3" s="775"/>
      <c r="AI3" s="775"/>
    </row>
    <row r="4" customFormat="false" ht="28.5" hidden="false" customHeight="true" outlineLevel="0" collapsed="false">
      <c r="B4" s="776" t="s">
        <v>451</v>
      </c>
      <c r="C4" s="776"/>
      <c r="D4" s="776" t="s">
        <v>452</v>
      </c>
      <c r="E4" s="776" t="s">
        <v>453</v>
      </c>
      <c r="F4" s="776" t="s">
        <v>454</v>
      </c>
      <c r="G4" s="776" t="s">
        <v>455</v>
      </c>
      <c r="I4" s="776" t="s">
        <v>451</v>
      </c>
      <c r="J4" s="776"/>
      <c r="K4" s="776" t="s">
        <v>452</v>
      </c>
      <c r="L4" s="776" t="s">
        <v>453</v>
      </c>
      <c r="M4" s="776" t="s">
        <v>454</v>
      </c>
      <c r="N4" s="776" t="s">
        <v>455</v>
      </c>
      <c r="P4" s="776" t="s">
        <v>451</v>
      </c>
      <c r="Q4" s="776"/>
      <c r="R4" s="776" t="s">
        <v>452</v>
      </c>
      <c r="S4" s="776" t="s">
        <v>453</v>
      </c>
      <c r="T4" s="776" t="s">
        <v>454</v>
      </c>
      <c r="U4" s="776" t="s">
        <v>455</v>
      </c>
      <c r="W4" s="776" t="s">
        <v>451</v>
      </c>
      <c r="X4" s="776"/>
      <c r="Y4" s="776" t="s">
        <v>452</v>
      </c>
      <c r="Z4" s="776" t="s">
        <v>453</v>
      </c>
      <c r="AA4" s="776" t="s">
        <v>454</v>
      </c>
      <c r="AB4" s="776" t="s">
        <v>455</v>
      </c>
      <c r="AD4" s="776" t="s">
        <v>451</v>
      </c>
      <c r="AE4" s="776"/>
      <c r="AF4" s="776" t="s">
        <v>452</v>
      </c>
      <c r="AG4" s="776" t="s">
        <v>453</v>
      </c>
      <c r="AH4" s="776" t="s">
        <v>454</v>
      </c>
      <c r="AI4" s="776" t="s">
        <v>455</v>
      </c>
    </row>
    <row r="5" customFormat="false" ht="15" hidden="false" customHeight="false" outlineLevel="0" collapsed="false">
      <c r="B5" s="777" t="s">
        <v>456</v>
      </c>
      <c r="C5" s="777" t="s">
        <v>457</v>
      </c>
      <c r="D5" s="777" t="s">
        <v>458</v>
      </c>
      <c r="E5" s="777"/>
      <c r="F5" s="777" t="s">
        <v>459</v>
      </c>
      <c r="G5" s="778" t="n">
        <v>100</v>
      </c>
      <c r="I5" s="777" t="s">
        <v>456</v>
      </c>
      <c r="J5" s="777" t="s">
        <v>457</v>
      </c>
      <c r="K5" s="777" t="s">
        <v>458</v>
      </c>
      <c r="L5" s="777"/>
      <c r="M5" s="777" t="s">
        <v>459</v>
      </c>
      <c r="N5" s="778" t="n">
        <v>100</v>
      </c>
      <c r="P5" s="777" t="s">
        <v>456</v>
      </c>
      <c r="Q5" s="777" t="s">
        <v>457</v>
      </c>
      <c r="R5" s="777" t="s">
        <v>458</v>
      </c>
      <c r="S5" s="777"/>
      <c r="T5" s="777" t="s">
        <v>459</v>
      </c>
      <c r="U5" s="778" t="n">
        <v>100</v>
      </c>
      <c r="W5" s="777" t="s">
        <v>456</v>
      </c>
      <c r="X5" s="777" t="s">
        <v>457</v>
      </c>
      <c r="Y5" s="777" t="s">
        <v>458</v>
      </c>
      <c r="Z5" s="777"/>
      <c r="AA5" s="777" t="s">
        <v>459</v>
      </c>
      <c r="AB5" s="778" t="n">
        <v>100</v>
      </c>
      <c r="AD5" s="777" t="s">
        <v>456</v>
      </c>
      <c r="AE5" s="777" t="s">
        <v>457</v>
      </c>
      <c r="AF5" s="777" t="s">
        <v>458</v>
      </c>
      <c r="AG5" s="777"/>
      <c r="AH5" s="777" t="s">
        <v>459</v>
      </c>
      <c r="AI5" s="778" t="n">
        <v>100</v>
      </c>
    </row>
    <row r="6" customFormat="false" ht="16.5" hidden="false" customHeight="true" outlineLevel="0" collapsed="false">
      <c r="B6" s="777" t="n">
        <v>2023</v>
      </c>
      <c r="C6" s="779" t="s">
        <v>460</v>
      </c>
      <c r="D6" s="780"/>
      <c r="E6" s="781" t="n">
        <v>25</v>
      </c>
      <c r="F6" s="780" t="n">
        <f aca="false">D6/30*E6</f>
        <v>0</v>
      </c>
      <c r="G6" s="782" t="n">
        <f aca="false">(G5*F6)+G5</f>
        <v>100</v>
      </c>
      <c r="I6" s="777" t="n">
        <f aca="false">B6+1</f>
        <v>2024</v>
      </c>
      <c r="J6" s="779" t="str">
        <f aca="false">C6</f>
        <v>AGO</v>
      </c>
      <c r="K6" s="780"/>
      <c r="L6" s="781" t="n">
        <f aca="false">$E$6</f>
        <v>25</v>
      </c>
      <c r="M6" s="780" t="n">
        <f aca="false">K6/30*L6</f>
        <v>0</v>
      </c>
      <c r="N6" s="782" t="n">
        <f aca="false">(N5*M6)+N5</f>
        <v>100</v>
      </c>
      <c r="P6" s="777" t="n">
        <f aca="false">I6+1</f>
        <v>2025</v>
      </c>
      <c r="Q6" s="779" t="s">
        <v>460</v>
      </c>
      <c r="R6" s="780"/>
      <c r="S6" s="781" t="n">
        <f aca="false">$E$6</f>
        <v>25</v>
      </c>
      <c r="T6" s="780" t="n">
        <f aca="false">R6/30*S6</f>
        <v>0</v>
      </c>
      <c r="U6" s="782" t="n">
        <f aca="false">(U5*T6)+U5</f>
        <v>100</v>
      </c>
      <c r="W6" s="777" t="n">
        <f aca="false">P6+1</f>
        <v>2026</v>
      </c>
      <c r="X6" s="779" t="s">
        <v>460</v>
      </c>
      <c r="Y6" s="780"/>
      <c r="Z6" s="781" t="n">
        <f aca="false">$E$6</f>
        <v>25</v>
      </c>
      <c r="AA6" s="780" t="n">
        <f aca="false">Y6/30*Z6</f>
        <v>0</v>
      </c>
      <c r="AB6" s="782" t="n">
        <f aca="false">(AB5*AA6)+AB5</f>
        <v>100</v>
      </c>
      <c r="AD6" s="777" t="n">
        <f aca="false">W6+1</f>
        <v>2027</v>
      </c>
      <c r="AE6" s="779" t="s">
        <v>460</v>
      </c>
      <c r="AF6" s="780"/>
      <c r="AG6" s="781" t="n">
        <f aca="false">$E$6</f>
        <v>25</v>
      </c>
      <c r="AH6" s="780" t="n">
        <f aca="false">AF6/30*AG6</f>
        <v>0</v>
      </c>
      <c r="AI6" s="782" t="n">
        <f aca="false">(AI5*AH6)+AI5</f>
        <v>100</v>
      </c>
    </row>
    <row r="7" customFormat="false" ht="16.5" hidden="false" customHeight="false" outlineLevel="0" collapsed="false">
      <c r="B7" s="777" t="n">
        <v>2023</v>
      </c>
      <c r="C7" s="779" t="s">
        <v>461</v>
      </c>
      <c r="D7" s="780"/>
      <c r="E7" s="781"/>
      <c r="F7" s="780" t="n">
        <f aca="false">D7</f>
        <v>0</v>
      </c>
      <c r="G7" s="782" t="n">
        <f aca="false">(G6*F7)+G6</f>
        <v>100</v>
      </c>
      <c r="I7" s="777" t="n">
        <f aca="false">B7+1</f>
        <v>2024</v>
      </c>
      <c r="J7" s="779" t="str">
        <f aca="false">C7</f>
        <v>SET</v>
      </c>
      <c r="K7" s="780"/>
      <c r="L7" s="781"/>
      <c r="M7" s="780" t="n">
        <f aca="false">K7</f>
        <v>0</v>
      </c>
      <c r="N7" s="782" t="n">
        <f aca="false">(N6*M7)+N6</f>
        <v>100</v>
      </c>
      <c r="P7" s="777" t="n">
        <f aca="false">I7+1</f>
        <v>2025</v>
      </c>
      <c r="Q7" s="779" t="s">
        <v>461</v>
      </c>
      <c r="R7" s="780"/>
      <c r="S7" s="781"/>
      <c r="T7" s="780" t="n">
        <f aca="false">R7</f>
        <v>0</v>
      </c>
      <c r="U7" s="782" t="n">
        <f aca="false">(U6*T7)+U6</f>
        <v>100</v>
      </c>
      <c r="W7" s="777" t="n">
        <f aca="false">P7+1</f>
        <v>2026</v>
      </c>
      <c r="X7" s="779" t="s">
        <v>461</v>
      </c>
      <c r="Y7" s="780"/>
      <c r="Z7" s="781"/>
      <c r="AA7" s="780" t="n">
        <f aca="false">Y7</f>
        <v>0</v>
      </c>
      <c r="AB7" s="782" t="n">
        <f aca="false">(AB6*AA7)+AB6</f>
        <v>100</v>
      </c>
      <c r="AD7" s="777" t="n">
        <f aca="false">W7+1</f>
        <v>2027</v>
      </c>
      <c r="AE7" s="779" t="s">
        <v>461</v>
      </c>
      <c r="AF7" s="780"/>
      <c r="AG7" s="781"/>
      <c r="AH7" s="780" t="n">
        <f aca="false">AF7</f>
        <v>0</v>
      </c>
      <c r="AI7" s="782" t="n">
        <f aca="false">(AI6*AH7)+AI6</f>
        <v>100</v>
      </c>
    </row>
    <row r="8" customFormat="false" ht="16.5" hidden="false" customHeight="false" outlineLevel="0" collapsed="false">
      <c r="B8" s="777" t="n">
        <v>2023</v>
      </c>
      <c r="C8" s="779" t="s">
        <v>462</v>
      </c>
      <c r="D8" s="780"/>
      <c r="E8" s="781"/>
      <c r="F8" s="780" t="n">
        <f aca="false">D8</f>
        <v>0</v>
      </c>
      <c r="G8" s="782" t="n">
        <f aca="false">(G7*F8)+G7</f>
        <v>100</v>
      </c>
      <c r="I8" s="777" t="n">
        <f aca="false">B8+1</f>
        <v>2024</v>
      </c>
      <c r="J8" s="779" t="str">
        <f aca="false">C8</f>
        <v>OUT</v>
      </c>
      <c r="K8" s="780"/>
      <c r="L8" s="781"/>
      <c r="M8" s="780" t="n">
        <f aca="false">K8</f>
        <v>0</v>
      </c>
      <c r="N8" s="782" t="n">
        <f aca="false">(N7*M8)+N7</f>
        <v>100</v>
      </c>
      <c r="P8" s="777" t="n">
        <f aca="false">I8+1</f>
        <v>2025</v>
      </c>
      <c r="Q8" s="779" t="s">
        <v>462</v>
      </c>
      <c r="R8" s="780"/>
      <c r="S8" s="781"/>
      <c r="T8" s="780" t="n">
        <f aca="false">R8</f>
        <v>0</v>
      </c>
      <c r="U8" s="782" t="n">
        <f aca="false">(U7*T8)+U7</f>
        <v>100</v>
      </c>
      <c r="W8" s="777" t="n">
        <f aca="false">P8+1</f>
        <v>2026</v>
      </c>
      <c r="X8" s="779" t="s">
        <v>462</v>
      </c>
      <c r="Y8" s="780"/>
      <c r="Z8" s="781"/>
      <c r="AA8" s="780" t="n">
        <f aca="false">Y8</f>
        <v>0</v>
      </c>
      <c r="AB8" s="782" t="n">
        <f aca="false">(AB7*AA8)+AB7</f>
        <v>100</v>
      </c>
      <c r="AD8" s="777" t="n">
        <f aca="false">W8+1</f>
        <v>2027</v>
      </c>
      <c r="AE8" s="779" t="s">
        <v>462</v>
      </c>
      <c r="AF8" s="780"/>
      <c r="AG8" s="781"/>
      <c r="AH8" s="780" t="n">
        <f aca="false">AF8</f>
        <v>0</v>
      </c>
      <c r="AI8" s="782" t="n">
        <f aca="false">(AI7*AH8)+AI7</f>
        <v>100</v>
      </c>
    </row>
    <row r="9" customFormat="false" ht="16.5" hidden="false" customHeight="false" outlineLevel="0" collapsed="false">
      <c r="B9" s="777" t="n">
        <v>2023</v>
      </c>
      <c r="C9" s="779" t="s">
        <v>463</v>
      </c>
      <c r="D9" s="780"/>
      <c r="E9" s="781"/>
      <c r="F9" s="780" t="n">
        <f aca="false">D9</f>
        <v>0</v>
      </c>
      <c r="G9" s="782" t="n">
        <f aca="false">(G8*F9)+G8</f>
        <v>100</v>
      </c>
      <c r="I9" s="777" t="n">
        <f aca="false">B9+1</f>
        <v>2024</v>
      </c>
      <c r="J9" s="779" t="str">
        <f aca="false">C9</f>
        <v>NOV</v>
      </c>
      <c r="K9" s="780"/>
      <c r="L9" s="781"/>
      <c r="M9" s="780" t="n">
        <f aca="false">K9</f>
        <v>0</v>
      </c>
      <c r="N9" s="782" t="n">
        <f aca="false">(N8*M9)+N8</f>
        <v>100</v>
      </c>
      <c r="P9" s="777" t="n">
        <f aca="false">I9+1</f>
        <v>2025</v>
      </c>
      <c r="Q9" s="779" t="s">
        <v>463</v>
      </c>
      <c r="R9" s="780"/>
      <c r="S9" s="781"/>
      <c r="T9" s="780" t="n">
        <f aca="false">R9</f>
        <v>0</v>
      </c>
      <c r="U9" s="782" t="n">
        <f aca="false">(U8*T9)+U8</f>
        <v>100</v>
      </c>
      <c r="W9" s="777" t="n">
        <f aca="false">P9+1</f>
        <v>2026</v>
      </c>
      <c r="X9" s="779" t="s">
        <v>463</v>
      </c>
      <c r="Y9" s="780"/>
      <c r="Z9" s="781"/>
      <c r="AA9" s="780" t="n">
        <f aca="false">Y9</f>
        <v>0</v>
      </c>
      <c r="AB9" s="782" t="n">
        <f aca="false">(AB8*AA9)+AB8</f>
        <v>100</v>
      </c>
      <c r="AD9" s="777" t="n">
        <f aca="false">W9+1</f>
        <v>2027</v>
      </c>
      <c r="AE9" s="779" t="s">
        <v>463</v>
      </c>
      <c r="AF9" s="780"/>
      <c r="AG9" s="781"/>
      <c r="AH9" s="780" t="n">
        <f aca="false">AF9</f>
        <v>0</v>
      </c>
      <c r="AI9" s="782" t="n">
        <f aca="false">(AI8*AH9)+AI8</f>
        <v>100</v>
      </c>
    </row>
    <row r="10" customFormat="false" ht="16.5" hidden="false" customHeight="false" outlineLevel="0" collapsed="false">
      <c r="B10" s="777" t="n">
        <v>2023</v>
      </c>
      <c r="C10" s="779" t="s">
        <v>464</v>
      </c>
      <c r="D10" s="780"/>
      <c r="E10" s="781"/>
      <c r="F10" s="780" t="n">
        <f aca="false">D10</f>
        <v>0</v>
      </c>
      <c r="G10" s="782" t="n">
        <f aca="false">(G9*F10)+G9</f>
        <v>100</v>
      </c>
      <c r="I10" s="777" t="n">
        <f aca="false">B10+1</f>
        <v>2024</v>
      </c>
      <c r="J10" s="779" t="str">
        <f aca="false">C10</f>
        <v>DEZ</v>
      </c>
      <c r="K10" s="780"/>
      <c r="L10" s="781"/>
      <c r="M10" s="780" t="n">
        <f aca="false">K10</f>
        <v>0</v>
      </c>
      <c r="N10" s="782" t="n">
        <f aca="false">(N9*M10)+N9</f>
        <v>100</v>
      </c>
      <c r="P10" s="777" t="n">
        <f aca="false">I10+1</f>
        <v>2025</v>
      </c>
      <c r="Q10" s="779" t="s">
        <v>464</v>
      </c>
      <c r="R10" s="780"/>
      <c r="S10" s="781"/>
      <c r="T10" s="780" t="n">
        <f aca="false">R10</f>
        <v>0</v>
      </c>
      <c r="U10" s="782" t="n">
        <f aca="false">(U9*T10)+U9</f>
        <v>100</v>
      </c>
      <c r="W10" s="777" t="n">
        <f aca="false">P10+1</f>
        <v>2026</v>
      </c>
      <c r="X10" s="779" t="s">
        <v>464</v>
      </c>
      <c r="Y10" s="780"/>
      <c r="Z10" s="781"/>
      <c r="AA10" s="780" t="n">
        <f aca="false">Y10</f>
        <v>0</v>
      </c>
      <c r="AB10" s="782" t="n">
        <f aca="false">(AB9*AA10)+AB9</f>
        <v>100</v>
      </c>
      <c r="AD10" s="777" t="n">
        <f aca="false">W10+1</f>
        <v>2027</v>
      </c>
      <c r="AE10" s="779" t="s">
        <v>464</v>
      </c>
      <c r="AF10" s="780"/>
      <c r="AG10" s="781"/>
      <c r="AH10" s="780" t="n">
        <f aca="false">AF10</f>
        <v>0</v>
      </c>
      <c r="AI10" s="782" t="n">
        <f aca="false">(AI9*AH10)+AI9</f>
        <v>100</v>
      </c>
    </row>
    <row r="11" customFormat="false" ht="16.5" hidden="false" customHeight="false" outlineLevel="0" collapsed="false">
      <c r="B11" s="777" t="n">
        <v>2023</v>
      </c>
      <c r="C11" s="779" t="s">
        <v>464</v>
      </c>
      <c r="D11" s="780"/>
      <c r="E11" s="781"/>
      <c r="F11" s="780" t="n">
        <f aca="false">D11</f>
        <v>0</v>
      </c>
      <c r="G11" s="782" t="n">
        <f aca="false">(G10*F11)+G10</f>
        <v>100</v>
      </c>
      <c r="I11" s="777" t="n">
        <f aca="false">B11+1</f>
        <v>2024</v>
      </c>
      <c r="J11" s="779" t="str">
        <f aca="false">C11</f>
        <v>DEZ</v>
      </c>
      <c r="K11" s="780"/>
      <c r="L11" s="781"/>
      <c r="M11" s="780" t="n">
        <f aca="false">K11</f>
        <v>0</v>
      </c>
      <c r="N11" s="782" t="n">
        <f aca="false">(N10*M11)+N10</f>
        <v>100</v>
      </c>
      <c r="P11" s="777" t="n">
        <f aca="false">I11+1</f>
        <v>2025</v>
      </c>
      <c r="Q11" s="779" t="s">
        <v>464</v>
      </c>
      <c r="R11" s="780"/>
      <c r="S11" s="781"/>
      <c r="T11" s="780" t="n">
        <f aca="false">R11</f>
        <v>0</v>
      </c>
      <c r="U11" s="782" t="n">
        <f aca="false">(U10*T11)+U10</f>
        <v>100</v>
      </c>
      <c r="W11" s="777" t="n">
        <f aca="false">P11+1</f>
        <v>2026</v>
      </c>
      <c r="X11" s="779" t="s">
        <v>464</v>
      </c>
      <c r="Y11" s="780"/>
      <c r="Z11" s="781"/>
      <c r="AA11" s="780" t="n">
        <f aca="false">Y11</f>
        <v>0</v>
      </c>
      <c r="AB11" s="782" t="n">
        <f aca="false">(AB10*AA11)+AB10</f>
        <v>100</v>
      </c>
      <c r="AD11" s="777" t="n">
        <f aca="false">W11+1</f>
        <v>2027</v>
      </c>
      <c r="AE11" s="779" t="s">
        <v>464</v>
      </c>
      <c r="AF11" s="780"/>
      <c r="AG11" s="781"/>
      <c r="AH11" s="780" t="n">
        <f aca="false">AF11</f>
        <v>0</v>
      </c>
      <c r="AI11" s="782" t="n">
        <f aca="false">(AI10*AH11)+AI10</f>
        <v>100</v>
      </c>
    </row>
    <row r="12" customFormat="false" ht="16.5" hidden="false" customHeight="true" outlineLevel="0" collapsed="false">
      <c r="B12" s="777" t="n">
        <v>2024</v>
      </c>
      <c r="C12" s="783" t="s">
        <v>465</v>
      </c>
      <c r="D12" s="784"/>
      <c r="E12" s="785"/>
      <c r="F12" s="780" t="n">
        <f aca="false">D12</f>
        <v>0</v>
      </c>
      <c r="G12" s="782" t="n">
        <f aca="false">(G11*F12)+G11</f>
        <v>100</v>
      </c>
      <c r="I12" s="777" t="n">
        <f aca="false">B12+1</f>
        <v>2025</v>
      </c>
      <c r="J12" s="779" t="str">
        <f aca="false">C12</f>
        <v>JAN</v>
      </c>
      <c r="K12" s="784"/>
      <c r="L12" s="781"/>
      <c r="M12" s="780" t="n">
        <f aca="false">K12</f>
        <v>0</v>
      </c>
      <c r="N12" s="782" t="n">
        <f aca="false">(N11*M12)+N11</f>
        <v>100</v>
      </c>
      <c r="P12" s="777" t="n">
        <f aca="false">I12+1</f>
        <v>2026</v>
      </c>
      <c r="Q12" s="783" t="s">
        <v>465</v>
      </c>
      <c r="R12" s="784"/>
      <c r="S12" s="785"/>
      <c r="T12" s="780" t="n">
        <f aca="false">R12</f>
        <v>0</v>
      </c>
      <c r="U12" s="782" t="n">
        <f aca="false">(U11*T12)+U11</f>
        <v>100</v>
      </c>
      <c r="W12" s="777" t="n">
        <f aca="false">P12+1</f>
        <v>2027</v>
      </c>
      <c r="X12" s="783" t="s">
        <v>465</v>
      </c>
      <c r="Y12" s="784"/>
      <c r="Z12" s="785"/>
      <c r="AA12" s="780" t="n">
        <f aca="false">Y12</f>
        <v>0</v>
      </c>
      <c r="AB12" s="782" t="n">
        <f aca="false">(AB11*AA12)+AB11</f>
        <v>100</v>
      </c>
      <c r="AD12" s="777" t="n">
        <f aca="false">W12+1</f>
        <v>2028</v>
      </c>
      <c r="AE12" s="783" t="s">
        <v>465</v>
      </c>
      <c r="AF12" s="784"/>
      <c r="AG12" s="785"/>
      <c r="AH12" s="780" t="n">
        <f aca="false">AF12</f>
        <v>0</v>
      </c>
      <c r="AI12" s="782" t="n">
        <f aca="false">(AI11*AH12)+AI11</f>
        <v>100</v>
      </c>
    </row>
    <row r="13" customFormat="false" ht="16.5" hidden="false" customHeight="false" outlineLevel="0" collapsed="false">
      <c r="B13" s="777" t="n">
        <v>2024</v>
      </c>
      <c r="C13" s="779" t="s">
        <v>466</v>
      </c>
      <c r="D13" s="780"/>
      <c r="E13" s="781"/>
      <c r="F13" s="780" t="n">
        <f aca="false">D13</f>
        <v>0</v>
      </c>
      <c r="G13" s="782" t="n">
        <f aca="false">(G12*F13)+G12</f>
        <v>100</v>
      </c>
      <c r="I13" s="777" t="n">
        <f aca="false">B13+1</f>
        <v>2025</v>
      </c>
      <c r="J13" s="779" t="str">
        <f aca="false">C13</f>
        <v>FEV</v>
      </c>
      <c r="K13" s="780"/>
      <c r="L13" s="781"/>
      <c r="M13" s="780" t="n">
        <f aca="false">K13</f>
        <v>0</v>
      </c>
      <c r="N13" s="782" t="n">
        <f aca="false">(N12*M13)+N12</f>
        <v>100</v>
      </c>
      <c r="P13" s="777" t="n">
        <f aca="false">I13+1</f>
        <v>2026</v>
      </c>
      <c r="Q13" s="779" t="s">
        <v>466</v>
      </c>
      <c r="R13" s="780"/>
      <c r="S13" s="781"/>
      <c r="T13" s="780" t="n">
        <f aca="false">R13</f>
        <v>0</v>
      </c>
      <c r="U13" s="782" t="n">
        <f aca="false">(U12*T13)+U12</f>
        <v>100</v>
      </c>
      <c r="W13" s="777" t="n">
        <f aca="false">P13+1</f>
        <v>2027</v>
      </c>
      <c r="X13" s="779" t="s">
        <v>466</v>
      </c>
      <c r="Y13" s="780"/>
      <c r="Z13" s="781"/>
      <c r="AA13" s="780" t="n">
        <f aca="false">Y13</f>
        <v>0</v>
      </c>
      <c r="AB13" s="782" t="n">
        <f aca="false">(AB12*AA13)+AB12</f>
        <v>100</v>
      </c>
      <c r="AD13" s="777" t="n">
        <f aca="false">W13+1</f>
        <v>2028</v>
      </c>
      <c r="AE13" s="779" t="s">
        <v>466</v>
      </c>
      <c r="AF13" s="780"/>
      <c r="AG13" s="781"/>
      <c r="AH13" s="780" t="n">
        <f aca="false">AF13</f>
        <v>0</v>
      </c>
      <c r="AI13" s="782" t="n">
        <f aca="false">(AI12*AH13)+AI12</f>
        <v>100</v>
      </c>
    </row>
    <row r="14" customFormat="false" ht="16.5" hidden="false" customHeight="false" outlineLevel="0" collapsed="false">
      <c r="B14" s="777" t="n">
        <v>2024</v>
      </c>
      <c r="C14" s="783" t="s">
        <v>467</v>
      </c>
      <c r="D14" s="780"/>
      <c r="E14" s="781"/>
      <c r="F14" s="780" t="n">
        <f aca="false">D14</f>
        <v>0</v>
      </c>
      <c r="G14" s="782" t="n">
        <f aca="false">(G13*F14)+G13</f>
        <v>100</v>
      </c>
      <c r="I14" s="777" t="n">
        <f aca="false">B14+1</f>
        <v>2025</v>
      </c>
      <c r="J14" s="779" t="str">
        <f aca="false">C14</f>
        <v>MAR</v>
      </c>
      <c r="K14" s="780"/>
      <c r="L14" s="781"/>
      <c r="M14" s="780" t="n">
        <f aca="false">K14</f>
        <v>0</v>
      </c>
      <c r="N14" s="782" t="n">
        <f aca="false">(N13*M14)+N13</f>
        <v>100</v>
      </c>
      <c r="P14" s="777" t="n">
        <f aca="false">I14+1</f>
        <v>2026</v>
      </c>
      <c r="Q14" s="783" t="s">
        <v>467</v>
      </c>
      <c r="R14" s="780"/>
      <c r="S14" s="781"/>
      <c r="T14" s="780" t="n">
        <f aca="false">R14</f>
        <v>0</v>
      </c>
      <c r="U14" s="782" t="n">
        <f aca="false">(U13*T14)+U13</f>
        <v>100</v>
      </c>
      <c r="W14" s="777" t="n">
        <f aca="false">P14+1</f>
        <v>2027</v>
      </c>
      <c r="X14" s="783" t="s">
        <v>467</v>
      </c>
      <c r="Y14" s="780"/>
      <c r="Z14" s="781"/>
      <c r="AA14" s="780" t="n">
        <f aca="false">Y14</f>
        <v>0</v>
      </c>
      <c r="AB14" s="782" t="n">
        <f aca="false">(AB13*AA14)+AB13</f>
        <v>100</v>
      </c>
      <c r="AD14" s="777" t="n">
        <f aca="false">W14+1</f>
        <v>2028</v>
      </c>
      <c r="AE14" s="783" t="s">
        <v>467</v>
      </c>
      <c r="AF14" s="780"/>
      <c r="AG14" s="781"/>
      <c r="AH14" s="780" t="n">
        <f aca="false">AF14</f>
        <v>0</v>
      </c>
      <c r="AI14" s="782" t="n">
        <f aca="false">(AI13*AH14)+AI13</f>
        <v>100</v>
      </c>
    </row>
    <row r="15" customFormat="false" ht="16.5" hidden="false" customHeight="false" outlineLevel="0" collapsed="false">
      <c r="B15" s="777" t="n">
        <v>2024</v>
      </c>
      <c r="C15" s="779" t="s">
        <v>468</v>
      </c>
      <c r="D15" s="780"/>
      <c r="E15" s="781"/>
      <c r="F15" s="780" t="n">
        <f aca="false">D15</f>
        <v>0</v>
      </c>
      <c r="G15" s="782" t="n">
        <f aca="false">(G14*F15)+G14</f>
        <v>100</v>
      </c>
      <c r="I15" s="777" t="n">
        <f aca="false">B15+1</f>
        <v>2025</v>
      </c>
      <c r="J15" s="779" t="str">
        <f aca="false">C15</f>
        <v>ABR</v>
      </c>
      <c r="K15" s="780"/>
      <c r="L15" s="781"/>
      <c r="M15" s="780" t="n">
        <f aca="false">K15</f>
        <v>0</v>
      </c>
      <c r="N15" s="782" t="n">
        <f aca="false">(N14*M15)+N14</f>
        <v>100</v>
      </c>
      <c r="P15" s="777" t="n">
        <f aca="false">I15+1</f>
        <v>2026</v>
      </c>
      <c r="Q15" s="779" t="s">
        <v>468</v>
      </c>
      <c r="R15" s="780"/>
      <c r="S15" s="781"/>
      <c r="T15" s="780" t="n">
        <f aca="false">R15</f>
        <v>0</v>
      </c>
      <c r="U15" s="782" t="n">
        <f aca="false">(U14*T15)+U14</f>
        <v>100</v>
      </c>
      <c r="W15" s="777" t="n">
        <f aca="false">P15+1</f>
        <v>2027</v>
      </c>
      <c r="X15" s="779" t="s">
        <v>468</v>
      </c>
      <c r="Y15" s="780"/>
      <c r="Z15" s="781"/>
      <c r="AA15" s="780" t="n">
        <f aca="false">Y15</f>
        <v>0</v>
      </c>
      <c r="AB15" s="782" t="n">
        <f aca="false">(AB14*AA15)+AB14</f>
        <v>100</v>
      </c>
      <c r="AD15" s="777" t="n">
        <f aca="false">W15+1</f>
        <v>2028</v>
      </c>
      <c r="AE15" s="779" t="s">
        <v>468</v>
      </c>
      <c r="AF15" s="780"/>
      <c r="AG15" s="781"/>
      <c r="AH15" s="780" t="n">
        <f aca="false">AF15</f>
        <v>0</v>
      </c>
      <c r="AI15" s="782" t="n">
        <f aca="false">(AI14*AH15)+AI14</f>
        <v>100</v>
      </c>
    </row>
    <row r="16" customFormat="false" ht="16.5" hidden="false" customHeight="false" outlineLevel="0" collapsed="false">
      <c r="B16" s="777" t="n">
        <v>2024</v>
      </c>
      <c r="C16" s="783" t="s">
        <v>469</v>
      </c>
      <c r="D16" s="780"/>
      <c r="E16" s="781"/>
      <c r="F16" s="780" t="n">
        <f aca="false">D16</f>
        <v>0</v>
      </c>
      <c r="G16" s="782" t="n">
        <f aca="false">(G15*F16)+G15</f>
        <v>100</v>
      </c>
      <c r="I16" s="777" t="n">
        <f aca="false">B16+1</f>
        <v>2025</v>
      </c>
      <c r="J16" s="779" t="str">
        <f aca="false">C16</f>
        <v>MAI</v>
      </c>
      <c r="K16" s="780"/>
      <c r="L16" s="781"/>
      <c r="M16" s="780" t="n">
        <f aca="false">K16</f>
        <v>0</v>
      </c>
      <c r="N16" s="782" t="n">
        <f aca="false">(N15*M16)+N15</f>
        <v>100</v>
      </c>
      <c r="P16" s="777" t="n">
        <f aca="false">I16+1</f>
        <v>2026</v>
      </c>
      <c r="Q16" s="783" t="s">
        <v>469</v>
      </c>
      <c r="R16" s="780"/>
      <c r="S16" s="781"/>
      <c r="T16" s="780" t="n">
        <f aca="false">R16</f>
        <v>0</v>
      </c>
      <c r="U16" s="782" t="n">
        <f aca="false">(U15*T16)+U15</f>
        <v>100</v>
      </c>
      <c r="W16" s="777" t="n">
        <f aca="false">P16+1</f>
        <v>2027</v>
      </c>
      <c r="X16" s="783" t="s">
        <v>469</v>
      </c>
      <c r="Y16" s="780"/>
      <c r="Z16" s="781"/>
      <c r="AA16" s="780" t="n">
        <f aca="false">Y16</f>
        <v>0</v>
      </c>
      <c r="AB16" s="782" t="n">
        <f aca="false">(AB15*AA16)+AB15</f>
        <v>100</v>
      </c>
      <c r="AD16" s="777" t="n">
        <f aca="false">W16+1</f>
        <v>2028</v>
      </c>
      <c r="AE16" s="783" t="s">
        <v>469</v>
      </c>
      <c r="AF16" s="780"/>
      <c r="AG16" s="781"/>
      <c r="AH16" s="780" t="n">
        <f aca="false">AF16</f>
        <v>0</v>
      </c>
      <c r="AI16" s="782" t="n">
        <f aca="false">(AI15*AH16)+AI15</f>
        <v>100</v>
      </c>
    </row>
    <row r="17" customFormat="false" ht="16.5" hidden="false" customHeight="false" outlineLevel="0" collapsed="false">
      <c r="B17" s="777" t="n">
        <v>2024</v>
      </c>
      <c r="C17" s="779" t="s">
        <v>470</v>
      </c>
      <c r="D17" s="780"/>
      <c r="E17" s="781"/>
      <c r="F17" s="780" t="n">
        <f aca="false">D17</f>
        <v>0</v>
      </c>
      <c r="G17" s="782" t="n">
        <f aca="false">(G16*F17)+G16</f>
        <v>100</v>
      </c>
      <c r="I17" s="777" t="n">
        <f aca="false">B17+1</f>
        <v>2025</v>
      </c>
      <c r="J17" s="779" t="str">
        <f aca="false">C17</f>
        <v>JUN</v>
      </c>
      <c r="K17" s="780"/>
      <c r="L17" s="781"/>
      <c r="M17" s="780" t="n">
        <f aca="false">K17</f>
        <v>0</v>
      </c>
      <c r="N17" s="782" t="n">
        <f aca="false">(N16*M17)+N16</f>
        <v>100</v>
      </c>
      <c r="P17" s="777" t="n">
        <f aca="false">I17+1</f>
        <v>2026</v>
      </c>
      <c r="Q17" s="779" t="s">
        <v>470</v>
      </c>
      <c r="R17" s="780"/>
      <c r="S17" s="781"/>
      <c r="T17" s="780" t="n">
        <f aca="false">R17</f>
        <v>0</v>
      </c>
      <c r="U17" s="782" t="n">
        <f aca="false">(U16*T17)+U16</f>
        <v>100</v>
      </c>
      <c r="W17" s="777" t="n">
        <f aca="false">P17+1</f>
        <v>2027</v>
      </c>
      <c r="X17" s="779" t="s">
        <v>470</v>
      </c>
      <c r="Y17" s="780"/>
      <c r="Z17" s="781"/>
      <c r="AA17" s="780" t="n">
        <f aca="false">Y17</f>
        <v>0</v>
      </c>
      <c r="AB17" s="782" t="n">
        <f aca="false">(AB16*AA17)+AB16</f>
        <v>100</v>
      </c>
      <c r="AD17" s="777" t="n">
        <f aca="false">W17+1</f>
        <v>2028</v>
      </c>
      <c r="AE17" s="779" t="s">
        <v>470</v>
      </c>
      <c r="AF17" s="780"/>
      <c r="AG17" s="781"/>
      <c r="AH17" s="780" t="n">
        <f aca="false">AF17</f>
        <v>0</v>
      </c>
      <c r="AI17" s="782" t="n">
        <f aca="false">(AI16*AH17)+AI16</f>
        <v>100</v>
      </c>
    </row>
    <row r="18" customFormat="false" ht="16.5" hidden="false" customHeight="false" outlineLevel="0" collapsed="false">
      <c r="B18" s="777" t="n">
        <v>2024</v>
      </c>
      <c r="C18" s="783" t="s">
        <v>471</v>
      </c>
      <c r="D18" s="780"/>
      <c r="E18" s="781" t="n">
        <v>5</v>
      </c>
      <c r="F18" s="780" t="n">
        <f aca="false">D18/30*E18</f>
        <v>0</v>
      </c>
      <c r="G18" s="782" t="n">
        <f aca="false">(G17*F18)+G17</f>
        <v>100</v>
      </c>
      <c r="I18" s="777" t="n">
        <f aca="false">B18+1</f>
        <v>2025</v>
      </c>
      <c r="J18" s="779" t="str">
        <f aca="false">C18</f>
        <v>JUL</v>
      </c>
      <c r="K18" s="780"/>
      <c r="L18" s="781" t="n">
        <f aca="false">$E$18</f>
        <v>5</v>
      </c>
      <c r="M18" s="780" t="n">
        <f aca="false">K18/30*L18</f>
        <v>0</v>
      </c>
      <c r="N18" s="782" t="n">
        <f aca="false">(N17*M18)+N17</f>
        <v>100</v>
      </c>
      <c r="P18" s="777" t="n">
        <f aca="false">I18+1</f>
        <v>2026</v>
      </c>
      <c r="Q18" s="783" t="s">
        <v>471</v>
      </c>
      <c r="R18" s="780"/>
      <c r="S18" s="781" t="n">
        <f aca="false">$E$18</f>
        <v>5</v>
      </c>
      <c r="T18" s="780" t="n">
        <f aca="false">R18/30*S18</f>
        <v>0</v>
      </c>
      <c r="U18" s="782" t="n">
        <f aca="false">(U17*T18)+U17</f>
        <v>100</v>
      </c>
      <c r="W18" s="777" t="n">
        <f aca="false">P18+1</f>
        <v>2027</v>
      </c>
      <c r="X18" s="783" t="s">
        <v>471</v>
      </c>
      <c r="Y18" s="780"/>
      <c r="Z18" s="781" t="n">
        <f aca="false">$E$18</f>
        <v>5</v>
      </c>
      <c r="AA18" s="780" t="n">
        <f aca="false">Y18/30*Z18</f>
        <v>0</v>
      </c>
      <c r="AB18" s="782" t="n">
        <f aca="false">(AB17*AA18)+AB17</f>
        <v>100</v>
      </c>
      <c r="AD18" s="777" t="n">
        <f aca="false">W18+1</f>
        <v>2028</v>
      </c>
      <c r="AE18" s="783" t="s">
        <v>471</v>
      </c>
      <c r="AF18" s="780"/>
      <c r="AG18" s="781" t="n">
        <f aca="false">$E$18</f>
        <v>5</v>
      </c>
      <c r="AH18" s="780" t="n">
        <f aca="false">AF18/30*AG18</f>
        <v>0</v>
      </c>
      <c r="AI18" s="782" t="n">
        <f aca="false">(AI17*AH18)+AI17</f>
        <v>100</v>
      </c>
    </row>
    <row r="19" customFormat="false" ht="12.75" hidden="false" customHeight="false" outlineLevel="0" collapsed="false">
      <c r="B19" s="777" t="s">
        <v>472</v>
      </c>
      <c r="C19" s="777"/>
      <c r="D19" s="777"/>
      <c r="E19" s="777"/>
      <c r="F19" s="777"/>
      <c r="G19" s="786" t="n">
        <f aca="false">ROUND(((G18-G5)/G5),4)</f>
        <v>0</v>
      </c>
      <c r="I19" s="777" t="s">
        <v>472</v>
      </c>
      <c r="J19" s="777"/>
      <c r="K19" s="777"/>
      <c r="L19" s="777"/>
      <c r="M19" s="777"/>
      <c r="N19" s="786" t="n">
        <f aca="false">ROUND(((N18-N5)/N5),4)</f>
        <v>0</v>
      </c>
      <c r="P19" s="777" t="s">
        <v>472</v>
      </c>
      <c r="Q19" s="777"/>
      <c r="R19" s="777"/>
      <c r="S19" s="777"/>
      <c r="T19" s="777"/>
      <c r="U19" s="786" t="n">
        <f aca="false">ROUND(((U18-U5)/U5),4)</f>
        <v>0</v>
      </c>
      <c r="W19" s="777" t="s">
        <v>472</v>
      </c>
      <c r="X19" s="777"/>
      <c r="Y19" s="777"/>
      <c r="Z19" s="777"/>
      <c r="AA19" s="777"/>
      <c r="AB19" s="786" t="n">
        <f aca="false">ROUND(((AB18-AB5)/AB5),4)</f>
        <v>0</v>
      </c>
      <c r="AD19" s="777" t="s">
        <v>472</v>
      </c>
      <c r="AE19" s="777"/>
      <c r="AF19" s="777"/>
      <c r="AG19" s="777"/>
      <c r="AH19" s="777"/>
      <c r="AI19" s="786" t="n">
        <f aca="false">ROUND(((AI18-AI5)/AI5),4)</f>
        <v>0</v>
      </c>
    </row>
  </sheetData>
  <sheetProtection sheet="true" objects="true" scenarios="true"/>
  <mergeCells count="20">
    <mergeCell ref="B2:G2"/>
    <mergeCell ref="I2:N2"/>
    <mergeCell ref="P2:U2"/>
    <mergeCell ref="W2:AB2"/>
    <mergeCell ref="AD2:AI2"/>
    <mergeCell ref="C3:G3"/>
    <mergeCell ref="J3:N3"/>
    <mergeCell ref="Q3:U3"/>
    <mergeCell ref="X3:AB3"/>
    <mergeCell ref="AE3:AI3"/>
    <mergeCell ref="B4:C4"/>
    <mergeCell ref="I4:J4"/>
    <mergeCell ref="P4:Q4"/>
    <mergeCell ref="W4:X4"/>
    <mergeCell ref="AD4:AE4"/>
    <mergeCell ref="B19:F19"/>
    <mergeCell ref="I19:M19"/>
    <mergeCell ref="P19:T19"/>
    <mergeCell ref="W19:AA19"/>
    <mergeCell ref="AD19:AH1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3"/>
  <sheetViews>
    <sheetView showFormulas="false" showGridLines="false" showRowColHeaders="true" showZeros="true" rightToLeft="false" tabSelected="false" showOutlineSymbols="true" defaultGridColor="true" view="pageBreakPreview" topLeftCell="A18" colorId="64" zoomScale="100" zoomScaleNormal="100" zoomScalePageLayoutView="100" workbookViewId="0">
      <selection pane="topLeft" activeCell="L27" activeCellId="0" sqref="L27"/>
    </sheetView>
  </sheetViews>
  <sheetFormatPr defaultRowHeight="12.75" zeroHeight="false" outlineLevelRow="0" outlineLevelCol="0"/>
  <cols>
    <col collapsed="false" customWidth="true" hidden="false" outlineLevel="0" max="1025" min="1" style="68" width="9.33"/>
  </cols>
  <sheetData>
    <row r="1" s="70" customFormat="true" ht="25.5" hidden="false" customHeight="true" outlineLevel="0" collapsed="false">
      <c r="A1" s="69" t="s">
        <v>74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customFormat="false" ht="15" hidden="false" customHeight="false" outlineLevel="0" collapsed="false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customFormat="false" ht="15" hidden="false" customHeight="false" outlineLevel="0" collapsed="false">
      <c r="A3" s="73" t="s">
        <v>75</v>
      </c>
      <c r="B3" s="73" t="s">
        <v>76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2"/>
    </row>
    <row r="4" customFormat="false" ht="15" hidden="false" customHeight="false" outlineLevel="0" collapsed="false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2"/>
    </row>
    <row r="5" customFormat="false" ht="15" hidden="false" customHeight="false" outlineLevel="0" collapsed="false">
      <c r="A5" s="71"/>
      <c r="B5" s="74"/>
      <c r="C5" s="71" t="s">
        <v>77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2"/>
    </row>
    <row r="6" customFormat="false" ht="15" hidden="false" customHeight="false" outlineLevel="0" collapsed="false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2"/>
    </row>
    <row r="7" customFormat="false" ht="15" hidden="false" customHeight="false" outlineLevel="0" collapsed="false">
      <c r="A7" s="71" t="s">
        <v>78</v>
      </c>
      <c r="B7" s="71" t="s">
        <v>79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2"/>
    </row>
    <row r="8" customFormat="false" ht="15" hidden="false" customHeight="false" outlineLevel="0" collapsed="false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</row>
    <row r="9" s="77" customFormat="true" ht="21.75" hidden="false" customHeight="true" outlineLevel="0" collapsed="false">
      <c r="A9" s="75" t="s">
        <v>80</v>
      </c>
      <c r="B9" s="75" t="s">
        <v>81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</row>
    <row r="10" s="77" customFormat="true" ht="23.25" hidden="false" customHeight="true" outlineLevel="0" collapsed="false">
      <c r="A10" s="75"/>
      <c r="B10" s="75" t="s">
        <v>82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="81" customFormat="true" ht="19.5" hidden="false" customHeight="true" outlineLevel="0" collapsed="false">
      <c r="A11" s="78"/>
      <c r="B11" s="78" t="s">
        <v>83</v>
      </c>
      <c r="C11" s="79" t="s">
        <v>84</v>
      </c>
      <c r="D11" s="79"/>
      <c r="E11" s="79"/>
      <c r="F11" s="79"/>
      <c r="G11" s="79"/>
      <c r="H11" s="79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80"/>
    </row>
    <row r="12" customFormat="false" ht="15" hidden="false" customHeight="false" outlineLevel="0" collapsed="false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2"/>
    </row>
    <row r="13" customFormat="false" ht="15" hidden="false" customHeight="false" outlineLevel="0" collapsed="false">
      <c r="A13" s="71"/>
      <c r="B13" s="71"/>
      <c r="C13" s="82" t="s">
        <v>85</v>
      </c>
      <c r="D13" s="82" t="s">
        <v>86</v>
      </c>
      <c r="E13" s="82"/>
      <c r="F13" s="82"/>
      <c r="G13" s="82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2"/>
    </row>
    <row r="14" customFormat="false" ht="15" hidden="false" customHeight="false" outlineLevel="0" collapsed="false">
      <c r="A14" s="71"/>
      <c r="B14" s="71"/>
      <c r="C14" s="71"/>
      <c r="D14" s="71" t="s">
        <v>87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</row>
    <row r="15" customFormat="false" ht="15" hidden="false" customHeight="false" outlineLevel="0" collapsed="false">
      <c r="A15" s="71"/>
      <c r="B15" s="71"/>
      <c r="C15" s="71"/>
      <c r="D15" s="71" t="s">
        <v>88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2"/>
    </row>
    <row r="16" customFormat="false" ht="15" hidden="false" customHeight="false" outlineLevel="0" collapsed="false">
      <c r="A16" s="71"/>
      <c r="B16" s="71"/>
      <c r="C16" s="71"/>
      <c r="D16" s="71" t="s">
        <v>89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2"/>
    </row>
    <row r="17" customFormat="false" ht="15" hidden="false" customHeight="false" outlineLevel="0" collapsed="false">
      <c r="A17" s="71"/>
      <c r="B17" s="71"/>
      <c r="C17" s="71"/>
      <c r="D17" s="71" t="s">
        <v>90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2"/>
    </row>
    <row r="18" customFormat="false" ht="15" hidden="false" customHeight="false" outlineLevel="0" collapsed="false">
      <c r="A18" s="71"/>
      <c r="B18" s="71"/>
      <c r="C18" s="71"/>
      <c r="D18" s="71" t="s">
        <v>91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2"/>
    </row>
    <row r="19" customFormat="false" ht="15" hidden="false" customHeight="false" outlineLevel="0" collapsed="false">
      <c r="A19" s="71"/>
      <c r="B19" s="71"/>
      <c r="C19" s="71"/>
      <c r="D19" s="71" t="s">
        <v>92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2"/>
    </row>
    <row r="20" customFormat="false" ht="15" hidden="false" customHeight="false" outlineLevel="0" collapsed="false">
      <c r="A20" s="71"/>
      <c r="B20" s="71"/>
      <c r="C20" s="71"/>
      <c r="D20" s="71" t="s">
        <v>93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</row>
    <row r="21" customFormat="false" ht="15" hidden="false" customHeight="false" outlineLevel="0" collapsed="false">
      <c r="A21" s="71"/>
      <c r="B21" s="71"/>
      <c r="C21" s="71"/>
      <c r="D21" s="71" t="s">
        <v>94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</row>
    <row r="22" customFormat="false" ht="15" hidden="false" customHeight="false" outlineLevel="0" collapsed="false">
      <c r="A22" s="71"/>
      <c r="B22" s="71"/>
      <c r="C22" s="71"/>
      <c r="D22" s="71" t="s">
        <v>95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2"/>
    </row>
    <row r="23" customFormat="false" ht="15" hidden="false" customHeight="false" outlineLevel="0" collapsed="false">
      <c r="A23" s="71"/>
      <c r="B23" s="71"/>
      <c r="C23" s="71"/>
      <c r="D23" s="71" t="s">
        <v>96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2"/>
    </row>
    <row r="24" customFormat="false" ht="15" hidden="false" customHeight="false" outlineLevel="0" collapsed="false">
      <c r="A24" s="71"/>
      <c r="B24" s="71"/>
      <c r="C24" s="71"/>
      <c r="D24" s="71" t="s">
        <v>97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2"/>
    </row>
    <row r="25" customFormat="false" ht="15" hidden="false" customHeight="false" outlineLevel="0" collapsed="false">
      <c r="A25" s="71"/>
      <c r="B25" s="71"/>
      <c r="C25" s="71"/>
      <c r="D25" s="71" t="s">
        <v>98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customFormat="false" ht="15" hidden="false" customHeight="false" outlineLevel="0" collapsed="false">
      <c r="A26" s="71"/>
      <c r="B26" s="71"/>
      <c r="C26" s="71"/>
      <c r="D26" s="71" t="s">
        <v>99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2"/>
    </row>
    <row r="27" customFormat="false" ht="15" hidden="false" customHeight="false" outlineLevel="0" collapsed="false">
      <c r="A27" s="71"/>
      <c r="B27" s="71"/>
      <c r="C27" s="71"/>
      <c r="D27" s="71" t="s">
        <v>100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2"/>
    </row>
    <row r="28" customFormat="false" ht="15" hidden="false" customHeight="false" outlineLevel="0" collapsed="false">
      <c r="A28" s="71"/>
      <c r="B28" s="71"/>
      <c r="C28" s="71"/>
      <c r="D28" s="71" t="s">
        <v>101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2"/>
    </row>
    <row r="29" customFormat="false" ht="15" hidden="false" customHeight="false" outlineLevel="0" collapsed="false">
      <c r="A29" s="71"/>
      <c r="B29" s="71"/>
      <c r="C29" s="71"/>
      <c r="D29" s="71" t="s">
        <v>102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customFormat="false" ht="15" hidden="false" customHeight="false" outlineLevel="0" collapsed="false">
      <c r="A30" s="71"/>
      <c r="B30" s="71"/>
      <c r="C30" s="71"/>
      <c r="D30" s="71" t="s">
        <v>103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</row>
    <row r="31" customFormat="false" ht="15" hidden="false" customHeight="false" outlineLevel="0" collapsed="false">
      <c r="A31" s="71"/>
      <c r="B31" s="71"/>
      <c r="C31" s="71"/>
      <c r="D31" s="71" t="s">
        <v>104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</row>
    <row r="32" customFormat="false" ht="15" hidden="false" customHeight="false" outlineLevel="0" collapsed="false">
      <c r="A32" s="71"/>
      <c r="B32" s="71"/>
      <c r="C32" s="71"/>
      <c r="D32" s="71" t="s">
        <v>105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</row>
    <row r="33" customFormat="false" ht="15" hidden="false" customHeight="false" outlineLevel="0" collapsed="false">
      <c r="A33" s="71"/>
      <c r="B33" s="71"/>
      <c r="C33" s="71"/>
      <c r="D33" s="83" t="s">
        <v>106</v>
      </c>
      <c r="E33" s="83"/>
      <c r="F33" s="83"/>
      <c r="G33" s="83"/>
      <c r="H33" s="83"/>
      <c r="I33" s="83"/>
      <c r="J33" s="83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</row>
    <row r="34" customFormat="false" ht="15" hidden="false" customHeight="false" outlineLevel="0" collapsed="false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</row>
    <row r="35" s="85" customFormat="true" ht="15" hidden="false" customHeight="false" outlineLevel="0" collapsed="false">
      <c r="A35" s="82"/>
      <c r="B35" s="82"/>
      <c r="C35" s="82" t="s">
        <v>107</v>
      </c>
      <c r="D35" s="82" t="s">
        <v>108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4"/>
    </row>
    <row r="36" customFormat="false" ht="15" hidden="false" customHeight="false" outlineLevel="0" collapsed="false">
      <c r="A36" s="71"/>
      <c r="B36" s="71"/>
      <c r="C36" s="71"/>
      <c r="D36" s="71" t="s">
        <v>109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</row>
    <row r="37" customFormat="false" ht="15" hidden="false" customHeight="false" outlineLevel="0" collapsed="false">
      <c r="A37" s="71"/>
      <c r="B37" s="71"/>
      <c r="C37" s="71"/>
      <c r="D37" s="71" t="s">
        <v>110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</row>
    <row r="38" customFormat="false" ht="15" hidden="false" customHeight="false" outlineLevel="0" collapsed="false">
      <c r="A38" s="71"/>
      <c r="B38" s="71"/>
      <c r="C38" s="71"/>
      <c r="D38" s="83" t="s">
        <v>106</v>
      </c>
      <c r="E38" s="83"/>
      <c r="F38" s="83"/>
      <c r="G38" s="83"/>
      <c r="H38" s="83"/>
      <c r="I38" s="83"/>
      <c r="J38" s="83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</row>
    <row r="39" customFormat="false" ht="14.25" hidden="false" customHeight="true" outlineLevel="0" collapsed="false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</row>
    <row r="40" s="85" customFormat="true" ht="14.25" hidden="false" customHeight="true" outlineLevel="0" collapsed="false">
      <c r="A40" s="82"/>
      <c r="B40" s="82"/>
      <c r="C40" s="82" t="s">
        <v>111</v>
      </c>
      <c r="D40" s="82" t="s">
        <v>112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4"/>
    </row>
    <row r="41" customFormat="false" ht="15" hidden="false" customHeight="false" outlineLevel="0" collapsed="false">
      <c r="A41" s="71"/>
      <c r="B41" s="71"/>
      <c r="C41" s="71"/>
      <c r="D41" s="71" t="s">
        <v>113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</row>
    <row r="42" customFormat="false" ht="15" hidden="false" customHeight="false" outlineLevel="0" collapsed="false">
      <c r="A42" s="71"/>
      <c r="B42" s="71"/>
      <c r="C42" s="71"/>
      <c r="D42" s="83" t="s">
        <v>106</v>
      </c>
      <c r="E42" s="83"/>
      <c r="F42" s="83"/>
      <c r="G42" s="83"/>
      <c r="H42" s="83"/>
      <c r="I42" s="83"/>
      <c r="J42" s="83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</row>
    <row r="43" customFormat="false" ht="15" hidden="false" customHeight="false" outlineLevel="0" collapsed="false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</row>
    <row r="44" customFormat="false" ht="15" hidden="false" customHeight="false" outlineLevel="0" collapsed="false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</row>
    <row r="45" customFormat="false" ht="32.25" hidden="false" customHeight="true" outlineLevel="0" collapsed="false">
      <c r="A45" s="86" t="s">
        <v>114</v>
      </c>
      <c r="B45" s="87" t="s">
        <v>115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72"/>
    </row>
    <row r="46" s="90" customFormat="true" ht="19.5" hidden="false" customHeight="true" outlineLevel="0" collapsed="false">
      <c r="A46" s="88"/>
      <c r="B46" s="78" t="s">
        <v>116</v>
      </c>
      <c r="C46" s="88" t="s">
        <v>117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9"/>
    </row>
    <row r="47" s="85" customFormat="true" ht="15" hidden="false" customHeight="false" outlineLevel="0" collapsed="false">
      <c r="A47" s="82"/>
      <c r="B47" s="82" t="s">
        <v>118</v>
      </c>
      <c r="C47" s="91" t="s">
        <v>119</v>
      </c>
      <c r="D47" s="91"/>
      <c r="E47" s="91"/>
      <c r="F47" s="91"/>
      <c r="G47" s="91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4"/>
    </row>
    <row r="48" customFormat="false" ht="15" hidden="false" customHeight="false" outlineLevel="0" collapsed="false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/>
    </row>
    <row r="49" s="81" customFormat="true" ht="16.5" hidden="false" customHeight="true" outlineLevel="0" collapsed="false">
      <c r="A49" s="78" t="s">
        <v>120</v>
      </c>
      <c r="B49" s="78" t="s">
        <v>121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80"/>
    </row>
    <row r="50" s="77" customFormat="true" ht="18.75" hidden="false" customHeight="true" outlineLevel="0" collapsed="false">
      <c r="A50" s="75"/>
      <c r="B50" s="75" t="s">
        <v>122</v>
      </c>
      <c r="C50" s="75" t="s">
        <v>123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6"/>
    </row>
    <row r="51" s="85" customFormat="true" ht="15" hidden="false" customHeight="false" outlineLevel="0" collapsed="false">
      <c r="A51" s="82"/>
      <c r="B51" s="82" t="s">
        <v>124</v>
      </c>
      <c r="C51" s="92" t="s">
        <v>125</v>
      </c>
      <c r="D51" s="92"/>
      <c r="E51" s="92"/>
      <c r="F51" s="9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4"/>
    </row>
    <row r="52" customFormat="false" ht="12.75" hidden="false" customHeight="false" outlineLevel="0" collapsed="false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customFormat="false" ht="12.75" hidden="false" customHeight="false" outlineLevel="0" collapsed="false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</sheetData>
  <sheetProtection sheet="true" objects="true" scenarios="true"/>
  <mergeCells count="2">
    <mergeCell ref="A1:Z1"/>
    <mergeCell ref="B45:Z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G2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0" zoomScalePageLayoutView="80" workbookViewId="0">
      <selection pane="topLeft" activeCell="T11" activeCellId="0" sqref="T11"/>
    </sheetView>
  </sheetViews>
  <sheetFormatPr defaultRowHeight="14.25" zeroHeight="false" outlineLevelRow="0" outlineLevelCol="0"/>
  <cols>
    <col collapsed="false" customWidth="true" hidden="false" outlineLevel="0" max="1" min="1" style="94" width="10"/>
    <col collapsed="false" customWidth="true" hidden="false" outlineLevel="0" max="2" min="2" style="94" width="43.49"/>
    <col collapsed="false" customWidth="true" hidden="false" outlineLevel="0" max="3" min="3" style="94" width="8.33"/>
    <col collapsed="false" customWidth="true" hidden="false" outlineLevel="0" max="4" min="4" style="94" width="8"/>
    <col collapsed="false" customWidth="true" hidden="false" outlineLevel="0" max="5" min="5" style="94" width="14.33"/>
    <col collapsed="false" customWidth="true" hidden="false" outlineLevel="0" max="6" min="6" style="94" width="17.83"/>
    <col collapsed="false" customWidth="true" hidden="false" outlineLevel="0" max="7" min="7" style="94" width="12.5"/>
    <col collapsed="false" customWidth="true" hidden="false" outlineLevel="0" max="8" min="8" style="94" width="11.66"/>
    <col collapsed="false" customWidth="true" hidden="false" outlineLevel="0" max="9" min="9" style="94" width="12.83"/>
    <col collapsed="false" customWidth="true" hidden="false" outlineLevel="0" max="10" min="10" style="94" width="14.16"/>
    <col collapsed="false" customWidth="true" hidden="false" outlineLevel="0" max="11" min="11" style="94" width="10.84"/>
    <col collapsed="false" customWidth="true" hidden="false" outlineLevel="0" max="13" min="12" style="94" width="12.83"/>
    <col collapsed="false" customWidth="true" hidden="false" outlineLevel="0" max="14" min="14" style="94" width="8.83"/>
    <col collapsed="false" customWidth="true" hidden="false" outlineLevel="0" max="18" min="15" style="94" width="12.83"/>
    <col collapsed="false" customWidth="true" hidden="false" outlineLevel="0" max="19" min="19" style="94" width="16.32"/>
    <col collapsed="false" customWidth="true" hidden="false" outlineLevel="0" max="20" min="20" style="94" width="18.33"/>
    <col collapsed="false" customWidth="true" hidden="false" outlineLevel="0" max="21" min="21" style="94" width="20.32"/>
    <col collapsed="false" customWidth="true" hidden="false" outlineLevel="0" max="22" min="22" style="94" width="9.33"/>
    <col collapsed="false" customWidth="true" hidden="false" outlineLevel="0" max="23" min="23" style="94" width="14.33"/>
    <col collapsed="false" customWidth="true" hidden="false" outlineLevel="0" max="25" min="24" style="94" width="16.66"/>
    <col collapsed="false" customWidth="true" hidden="false" outlineLevel="0" max="26" min="26" style="94" width="15.66"/>
    <col collapsed="false" customWidth="true" hidden="false" outlineLevel="0" max="27" min="27" style="94" width="13.33"/>
    <col collapsed="false" customWidth="true" hidden="false" outlineLevel="0" max="28" min="28" style="94" width="15.16"/>
    <col collapsed="false" customWidth="true" hidden="false" outlineLevel="0" max="30" min="29" style="94" width="13.33"/>
    <col collapsed="false" customWidth="true" hidden="false" outlineLevel="0" max="31" min="31" style="94" width="14.33"/>
    <col collapsed="false" customWidth="true" hidden="false" outlineLevel="0" max="260" min="32" style="94" width="9.33"/>
    <col collapsed="false" customWidth="true" hidden="false" outlineLevel="0" max="1025" min="261" style="0" width="9.16"/>
  </cols>
  <sheetData>
    <row r="1" customFormat="false" ht="15" hidden="false" customHeight="false" outlineLevel="0" collapsed="false">
      <c r="A1" s="95"/>
      <c r="B1" s="5" t="s">
        <v>0</v>
      </c>
      <c r="C1" s="96"/>
      <c r="D1" s="96"/>
      <c r="E1" s="96"/>
      <c r="F1" s="96"/>
      <c r="G1" s="96"/>
      <c r="H1" s="96"/>
      <c r="I1" s="96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V1" s="99"/>
      <c r="W1" s="99"/>
    </row>
    <row r="2" customFormat="false" ht="15" hidden="false" customHeight="false" outlineLevel="0" collapsed="false">
      <c r="A2" s="100"/>
      <c r="B2" s="9" t="s">
        <v>1</v>
      </c>
      <c r="C2" s="101"/>
      <c r="D2" s="101"/>
      <c r="E2" s="101"/>
      <c r="F2" s="101"/>
      <c r="G2" s="101"/>
      <c r="H2" s="101"/>
      <c r="I2" s="10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102"/>
      <c r="V2" s="99"/>
      <c r="W2" s="99"/>
    </row>
    <row r="3" customFormat="false" ht="15" hidden="false" customHeight="false" outlineLevel="0" collapsed="false">
      <c r="A3" s="103"/>
      <c r="B3" s="104" t="s">
        <v>2</v>
      </c>
      <c r="C3" s="105"/>
      <c r="D3" s="105"/>
      <c r="E3" s="105"/>
      <c r="F3" s="105"/>
      <c r="G3" s="105"/>
      <c r="H3" s="105"/>
      <c r="I3" s="105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7"/>
      <c r="V3" s="99"/>
      <c r="W3" s="99"/>
    </row>
    <row r="4" s="109" customFormat="true" ht="30.75" hidden="false" customHeight="true" outlineLevel="0" collapsed="false">
      <c r="A4" s="108" t="s">
        <v>126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="109" customFormat="true" ht="21.75" hidden="false" customHeight="true" outlineLevel="0" collapsed="false">
      <c r="A5" s="110" t="s">
        <v>127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="109" customFormat="true" ht="42.75" hidden="false" customHeight="true" outlineLevel="0" collapsed="false">
      <c r="A6" s="111" t="str">
        <f aca="false">Dados!A5</f>
        <v>Sindicato utilizado - SINDEAC/MG. Vigência: 01/01/2023 à 31/12/2023
Sendo a data base da categoria 01º de Janeiro. Com número de registro no MTE MG000001/2023.</v>
      </c>
      <c r="B6" s="111"/>
      <c r="C6" s="111"/>
      <c r="D6" s="111"/>
      <c r="E6" s="111"/>
      <c r="F6" s="111"/>
      <c r="G6" s="111"/>
      <c r="H6" s="111"/>
      <c r="I6" s="112" t="s">
        <v>128</v>
      </c>
      <c r="J6" s="113"/>
      <c r="K6" s="114"/>
      <c r="L6" s="114"/>
      <c r="M6" s="114"/>
      <c r="N6" s="114"/>
      <c r="O6" s="115"/>
      <c r="P6" s="114"/>
      <c r="Q6" s="114"/>
      <c r="R6" s="114"/>
      <c r="S6" s="116" t="s">
        <v>129</v>
      </c>
      <c r="T6" s="116"/>
      <c r="U6" s="117"/>
    </row>
    <row r="7" s="109" customFormat="true" ht="12.75" hidden="false" customHeight="true" outlineLevel="0" collapsed="false">
      <c r="A7" s="118" t="s">
        <v>130</v>
      </c>
      <c r="B7" s="119" t="s">
        <v>131</v>
      </c>
      <c r="C7" s="119"/>
      <c r="D7" s="120" t="s">
        <v>47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1" t="s">
        <v>132</v>
      </c>
      <c r="U7" s="122" t="s">
        <v>133</v>
      </c>
    </row>
    <row r="8" s="109" customFormat="true" ht="15" hidden="false" customHeight="true" outlineLevel="0" collapsed="false">
      <c r="A8" s="118"/>
      <c r="B8" s="119"/>
      <c r="C8" s="119"/>
      <c r="D8" s="123" t="s">
        <v>134</v>
      </c>
      <c r="E8" s="123"/>
      <c r="F8" s="123"/>
      <c r="G8" s="124" t="s">
        <v>135</v>
      </c>
      <c r="H8" s="124"/>
      <c r="I8" s="124"/>
      <c r="J8" s="124" t="s">
        <v>136</v>
      </c>
      <c r="K8" s="124"/>
      <c r="L8" s="124"/>
      <c r="M8" s="124"/>
      <c r="N8" s="124"/>
      <c r="O8" s="124"/>
      <c r="P8" s="125" t="s">
        <v>137</v>
      </c>
      <c r="Q8" s="125"/>
      <c r="R8" s="125"/>
      <c r="S8" s="126"/>
      <c r="T8" s="121"/>
      <c r="U8" s="122"/>
    </row>
    <row r="9" s="109" customFormat="true" ht="29.25" hidden="false" customHeight="true" outlineLevel="0" collapsed="false">
      <c r="A9" s="118"/>
      <c r="B9" s="119"/>
      <c r="C9" s="119"/>
      <c r="D9" s="127" t="s">
        <v>138</v>
      </c>
      <c r="E9" s="127"/>
      <c r="F9" s="127"/>
      <c r="G9" s="128" t="s">
        <v>139</v>
      </c>
      <c r="H9" s="129" t="s">
        <v>140</v>
      </c>
      <c r="I9" s="129"/>
      <c r="J9" s="130" t="s">
        <v>141</v>
      </c>
      <c r="K9" s="130"/>
      <c r="L9" s="130"/>
      <c r="M9" s="131" t="s">
        <v>142</v>
      </c>
      <c r="N9" s="131"/>
      <c r="O9" s="131"/>
      <c r="P9" s="132" t="s">
        <v>143</v>
      </c>
      <c r="Q9" s="132"/>
      <c r="R9" s="132"/>
      <c r="S9" s="133" t="s">
        <v>144</v>
      </c>
      <c r="T9" s="121"/>
      <c r="U9" s="122"/>
    </row>
    <row r="10" s="109" customFormat="true" ht="84" hidden="false" customHeight="true" outlineLevel="0" collapsed="false">
      <c r="A10" s="118"/>
      <c r="B10" s="134" t="s">
        <v>28</v>
      </c>
      <c r="C10" s="135" t="s">
        <v>29</v>
      </c>
      <c r="D10" s="136" t="s">
        <v>27</v>
      </c>
      <c r="E10" s="137" t="s">
        <v>145</v>
      </c>
      <c r="F10" s="138" t="s">
        <v>146</v>
      </c>
      <c r="G10" s="128"/>
      <c r="H10" s="139" t="s">
        <v>147</v>
      </c>
      <c r="I10" s="138" t="s">
        <v>148</v>
      </c>
      <c r="J10" s="140" t="s">
        <v>149</v>
      </c>
      <c r="K10" s="137" t="s">
        <v>36</v>
      </c>
      <c r="L10" s="141" t="s">
        <v>150</v>
      </c>
      <c r="M10" s="140" t="s">
        <v>151</v>
      </c>
      <c r="N10" s="137" t="s">
        <v>37</v>
      </c>
      <c r="O10" s="142" t="s">
        <v>152</v>
      </c>
      <c r="P10" s="143" t="s">
        <v>153</v>
      </c>
      <c r="Q10" s="144" t="s">
        <v>154</v>
      </c>
      <c r="R10" s="145" t="s">
        <v>155</v>
      </c>
      <c r="S10" s="133"/>
      <c r="T10" s="121"/>
      <c r="U10" s="122"/>
    </row>
    <row r="11" s="109" customFormat="true" ht="34.5" hidden="false" customHeight="true" outlineLevel="0" collapsed="false">
      <c r="A11" s="146" t="n">
        <v>333903701</v>
      </c>
      <c r="B11" s="147" t="str">
        <f aca="false">Dados!B8</f>
        <v>Ascensorista</v>
      </c>
      <c r="C11" s="148" t="n">
        <f aca="false">Dados!C8</f>
        <v>150</v>
      </c>
      <c r="D11" s="149" t="n">
        <f aca="false">Dados!D8</f>
        <v>2</v>
      </c>
      <c r="E11" s="150" t="n">
        <f aca="false">'Ascensorista 150'!F40</f>
        <v>4006.87</v>
      </c>
      <c r="F11" s="151" t="n">
        <f aca="false">ROUND(D11*E11,2)</f>
        <v>8013.74</v>
      </c>
      <c r="G11" s="152" t="n">
        <f aca="false">'Ascensorista 150'!I40</f>
        <v>545.55</v>
      </c>
      <c r="H11" s="153" t="n">
        <f aca="false">'Ocorrências Mensais - FAT'!F14+'Ocorrências Mensais - FAT'!G14</f>
        <v>0</v>
      </c>
      <c r="I11" s="154" t="n">
        <f aca="false">(ROUND(G11/Dados!$G$38*H11,2)-(G11/'Ocorrências Mensais - FAT'!$E$8*'Ocorrências Mensais - FAT'!H14))</f>
        <v>0</v>
      </c>
      <c r="J11" s="155" t="n">
        <f aca="false">'Ascensorista 150'!F40-'Ascensorista 150'!H40</f>
        <v>4006.87</v>
      </c>
      <c r="K11" s="156" t="n">
        <f aca="false">'Ocorrências Mensais - FAT'!K14</f>
        <v>0</v>
      </c>
      <c r="L11" s="157" t="n">
        <f aca="false">J11/'Ocorrências Mensais - FAT'!$E$8*K11</f>
        <v>0</v>
      </c>
      <c r="M11" s="158" t="n">
        <f aca="false">'Custo Estimativo Substituto'!F33</f>
        <v>3319.63</v>
      </c>
      <c r="N11" s="159" t="n">
        <f aca="false">'Ocorrências Mensais - FAT'!L14</f>
        <v>0</v>
      </c>
      <c r="O11" s="160" t="n">
        <f aca="false">ROUND((M11/'Ocorrências Mensais - FAT'!$E$8*N11),2)</f>
        <v>0</v>
      </c>
      <c r="P11" s="161" t="n">
        <f aca="false">'Ascensorista 150'!G39</f>
        <v>0</v>
      </c>
      <c r="Q11" s="162" t="n">
        <f aca="false">'Ocorrências Mensais - FAT'!M14</f>
        <v>0</v>
      </c>
      <c r="R11" s="163" t="n">
        <f aca="false">ROUND((P11/Dados!$G$38*Q11),2)</f>
        <v>0</v>
      </c>
      <c r="S11" s="164" t="n">
        <f aca="false">I11+L11+O11+R11</f>
        <v>0</v>
      </c>
      <c r="T11" s="165" t="n">
        <f aca="false">(((F11-S11)))</f>
        <v>8013.74</v>
      </c>
      <c r="U11" s="166" t="n">
        <f aca="false">SUM(T11:T21)</f>
        <v>1131678.4</v>
      </c>
    </row>
    <row r="12" s="109" customFormat="true" ht="34.5" hidden="false" customHeight="true" outlineLevel="0" collapsed="false">
      <c r="A12" s="146"/>
      <c r="B12" s="167" t="str">
        <f aca="false">Dados!B9</f>
        <v>Atendente</v>
      </c>
      <c r="C12" s="168" t="n">
        <f aca="false">Dados!C9</f>
        <v>200</v>
      </c>
      <c r="D12" s="149" t="n">
        <f aca="false">Dados!D9</f>
        <v>15</v>
      </c>
      <c r="E12" s="150" t="n">
        <f aca="false">'Atendente 200'!F40</f>
        <v>6549.83</v>
      </c>
      <c r="F12" s="151" t="n">
        <f aca="false">ROUND(D12*E12,2)</f>
        <v>98247.45</v>
      </c>
      <c r="G12" s="152" t="n">
        <f aca="false">'Atendente 200'!I40</f>
        <v>477.68</v>
      </c>
      <c r="H12" s="153" t="n">
        <f aca="false">'Ocorrências Mensais - FAT'!F15+'Ocorrências Mensais - FAT'!G15</f>
        <v>0</v>
      </c>
      <c r="I12" s="154" t="n">
        <f aca="false">(ROUND(G12/Dados!$G$38*H12,2)-(G12/'Ocorrências Mensais - FAT'!$E$8*'Ocorrências Mensais - FAT'!H15))</f>
        <v>0</v>
      </c>
      <c r="J12" s="155" t="n">
        <f aca="false">'Atendente 200'!F40-'Atendente 200'!H40</f>
        <v>6549.83</v>
      </c>
      <c r="K12" s="156" t="n">
        <f aca="false">'Ocorrências Mensais - FAT'!K15</f>
        <v>0</v>
      </c>
      <c r="L12" s="157" t="n">
        <f aca="false">J12/'Ocorrências Mensais - FAT'!$E$8*K12</f>
        <v>0</v>
      </c>
      <c r="M12" s="158" t="n">
        <f aca="false">'Custo Estimativo Substituto'!G33</f>
        <v>5566.79</v>
      </c>
      <c r="N12" s="159" t="n">
        <f aca="false">'Ocorrências Mensais - FAT'!L15</f>
        <v>0</v>
      </c>
      <c r="O12" s="160" t="n">
        <f aca="false">ROUND((M12/'Ocorrências Mensais - FAT'!$E$8*N12),2)</f>
        <v>0</v>
      </c>
      <c r="P12" s="169" t="n">
        <f aca="false">'Atendente 200'!G39</f>
        <v>590.13</v>
      </c>
      <c r="Q12" s="170" t="n">
        <f aca="false">'Ocorrências Mensais - FAT'!M15</f>
        <v>0</v>
      </c>
      <c r="R12" s="171" t="n">
        <f aca="false">ROUND((P12/Dados!$G$38*Q12),2)</f>
        <v>0</v>
      </c>
      <c r="S12" s="164" t="n">
        <f aca="false">I12+L12+O12+R12</f>
        <v>0</v>
      </c>
      <c r="T12" s="172" t="n">
        <f aca="false">(((F12-S12)))</f>
        <v>98247.45</v>
      </c>
      <c r="U12" s="166"/>
    </row>
    <row r="13" s="109" customFormat="true" ht="34.5" hidden="false" customHeight="true" outlineLevel="0" collapsed="false">
      <c r="A13" s="146"/>
      <c r="B13" s="167" t="str">
        <f aca="false">Dados!B10</f>
        <v>Auxiliar de Almoxarifado</v>
      </c>
      <c r="C13" s="168" t="n">
        <f aca="false">Dados!C10</f>
        <v>200</v>
      </c>
      <c r="D13" s="149" t="n">
        <f aca="false">Dados!D10</f>
        <v>3</v>
      </c>
      <c r="E13" s="173" t="n">
        <f aca="false">'Aux. Almoxarifado 200'!F40</f>
        <v>6286.88</v>
      </c>
      <c r="F13" s="151" t="n">
        <f aca="false">ROUND(D13*E13,2)</f>
        <v>18860.64</v>
      </c>
      <c r="G13" s="174" t="n">
        <f aca="false">'Aux. Almoxarifado 200'!I40</f>
        <v>485.38</v>
      </c>
      <c r="H13" s="153" t="n">
        <f aca="false">'Ocorrências Mensais - FAT'!F16+'Ocorrências Mensais - FAT'!G16</f>
        <v>0</v>
      </c>
      <c r="I13" s="154" t="n">
        <f aca="false">(ROUND(G13/Dados!$G$38*H13,2)-(G13/'Ocorrências Mensais - FAT'!$E$8*'Ocorrências Mensais - FAT'!H16))</f>
        <v>0</v>
      </c>
      <c r="J13" s="175" t="n">
        <f aca="false">'Aux. Almoxarifado 200'!F40-'Aux. Almoxarifado 200'!H40</f>
        <v>6286.88</v>
      </c>
      <c r="K13" s="156" t="n">
        <f aca="false">'Ocorrências Mensais - FAT'!K16</f>
        <v>0</v>
      </c>
      <c r="L13" s="157" t="n">
        <f aca="false">J13/'Ocorrências Mensais - FAT'!$E$8*K13</f>
        <v>0</v>
      </c>
      <c r="M13" s="176" t="n">
        <f aca="false">'Custo Estimativo Substituto'!H33</f>
        <v>5378.86</v>
      </c>
      <c r="N13" s="159" t="n">
        <f aca="false">'Ocorrências Mensais - FAT'!L16</f>
        <v>0</v>
      </c>
      <c r="O13" s="160" t="n">
        <f aca="false">ROUND((M13/'Ocorrências Mensais - FAT'!$E$8*N13),2)</f>
        <v>0</v>
      </c>
      <c r="P13" s="169" t="n">
        <f aca="false">'Aux. Almoxarifado 200'!G39</f>
        <v>590.13</v>
      </c>
      <c r="Q13" s="170" t="n">
        <f aca="false">'Ocorrências Mensais - FAT'!M16</f>
        <v>0</v>
      </c>
      <c r="R13" s="171" t="n">
        <f aca="false">ROUND((P13/Dados!$G$38*Q13),2)</f>
        <v>0</v>
      </c>
      <c r="S13" s="164" t="n">
        <f aca="false">I13+L13+O13+R13</f>
        <v>0</v>
      </c>
      <c r="T13" s="177" t="n">
        <f aca="false">(((F13-S13)))</f>
        <v>18860.64</v>
      </c>
      <c r="U13" s="166"/>
    </row>
    <row r="14" customFormat="false" ht="32.25" hidden="false" customHeight="true" outlineLevel="0" collapsed="false">
      <c r="A14" s="146"/>
      <c r="B14" s="167" t="str">
        <f aca="false">Dados!B11</f>
        <v>Auxiliar Administrativo - Classe I</v>
      </c>
      <c r="C14" s="168" t="n">
        <f aca="false">Dados!C11</f>
        <v>150</v>
      </c>
      <c r="D14" s="149" t="n">
        <f aca="false">Dados!D11</f>
        <v>27</v>
      </c>
      <c r="E14" s="178" t="n">
        <f aca="false">'Aux Admin I 150'!F40</f>
        <v>4683.34</v>
      </c>
      <c r="F14" s="179" t="n">
        <f aca="false">ROUND(D14*E14,2)</f>
        <v>126450.18</v>
      </c>
      <c r="G14" s="180" t="n">
        <f aca="false">'Aux Admin I 150'!I40</f>
        <v>521.95</v>
      </c>
      <c r="H14" s="153" t="n">
        <f aca="false">'Ocorrências Mensais - FAT'!F17+'Ocorrências Mensais - FAT'!G17</f>
        <v>0</v>
      </c>
      <c r="I14" s="154" t="n">
        <f aca="false">(ROUND(G14/Dados!$G$38*H14,2)-(G14/'Ocorrências Mensais - FAT'!$E$8*'Ocorrências Mensais - FAT'!H17))</f>
        <v>0</v>
      </c>
      <c r="J14" s="181" t="n">
        <f aca="false">'Aux Admin I 150'!F40-'Aux Admin I 150'!H40</f>
        <v>4683.34</v>
      </c>
      <c r="K14" s="156" t="n">
        <f aca="false">'Ocorrências Mensais - FAT'!K17</f>
        <v>0</v>
      </c>
      <c r="L14" s="157" t="n">
        <f aca="false">J14/'Ocorrências Mensais - FAT'!$E$8*K14</f>
        <v>0</v>
      </c>
      <c r="M14" s="182" t="n">
        <f aca="false">'Custo Estimativo Substituto'!I33</f>
        <v>3896.17</v>
      </c>
      <c r="N14" s="159" t="n">
        <f aca="false">'Ocorrências Mensais - FAT'!L17</f>
        <v>0</v>
      </c>
      <c r="O14" s="160" t="n">
        <f aca="false">ROUND((M14/'Ocorrências Mensais - FAT'!$E$8*N14),2)</f>
        <v>0</v>
      </c>
      <c r="P14" s="169" t="n">
        <f aca="false">'Aux Admin I 150'!G39</f>
        <v>0</v>
      </c>
      <c r="Q14" s="170" t="n">
        <f aca="false">'Ocorrências Mensais - FAT'!M17</f>
        <v>0</v>
      </c>
      <c r="R14" s="171" t="n">
        <f aca="false">ROUND((P14/Dados!$G$38*Q14),2)</f>
        <v>0</v>
      </c>
      <c r="S14" s="164" t="n">
        <f aca="false">I14+L14+O14+R14</f>
        <v>0</v>
      </c>
      <c r="T14" s="172" t="n">
        <f aca="false">(((F14-S14)))</f>
        <v>126450.18</v>
      </c>
      <c r="U14" s="166"/>
      <c r="V14" s="99"/>
      <c r="W14" s="99"/>
    </row>
    <row r="15" customFormat="false" ht="32.25" hidden="false" customHeight="true" outlineLevel="0" collapsed="false">
      <c r="A15" s="146"/>
      <c r="B15" s="167" t="str">
        <f aca="false">Dados!B12</f>
        <v>Auxiliar Administrativo - Classe II</v>
      </c>
      <c r="C15" s="168" t="n">
        <f aca="false">Dados!C12</f>
        <v>200</v>
      </c>
      <c r="D15" s="149" t="n">
        <f aca="false">Dados!D12</f>
        <v>71</v>
      </c>
      <c r="E15" s="178" t="n">
        <f aca="false">'Aux Admin II 200'!F40</f>
        <v>6549.83</v>
      </c>
      <c r="F15" s="183" t="n">
        <f aca="false">ROUND(D15*E15,2)</f>
        <v>465037.93</v>
      </c>
      <c r="G15" s="180" t="n">
        <f aca="false">'Aux Admin II 200'!I40</f>
        <v>477.68</v>
      </c>
      <c r="H15" s="153" t="n">
        <f aca="false">'Ocorrências Mensais - FAT'!F18+'Ocorrências Mensais - FAT'!G18</f>
        <v>0</v>
      </c>
      <c r="I15" s="154" t="n">
        <f aca="false">(ROUND(G15/Dados!$G$38*H15,2)-(G15/'Ocorrências Mensais - FAT'!$E$8*'Ocorrências Mensais - FAT'!H18))</f>
        <v>0</v>
      </c>
      <c r="J15" s="184" t="n">
        <f aca="false">'Aux Admin II 200'!F40-'Aux Admin II 200'!H40</f>
        <v>6549.83</v>
      </c>
      <c r="K15" s="156" t="n">
        <f aca="false">'Ocorrências Mensais - FAT'!K18</f>
        <v>0</v>
      </c>
      <c r="L15" s="157" t="n">
        <f aca="false">J15/'Ocorrências Mensais - FAT'!$E$8*K15</f>
        <v>0</v>
      </c>
      <c r="M15" s="185" t="n">
        <f aca="false">'Custo Estimativo Substituto'!J33</f>
        <v>5566.79</v>
      </c>
      <c r="N15" s="159" t="n">
        <f aca="false">'Ocorrências Mensais - FAT'!L18</f>
        <v>0</v>
      </c>
      <c r="O15" s="160" t="n">
        <f aca="false">ROUND((M15/'Ocorrências Mensais - FAT'!$E$8*N15),2)</f>
        <v>0</v>
      </c>
      <c r="P15" s="169" t="n">
        <f aca="false">'Aux Admin II 200'!G39</f>
        <v>590.13</v>
      </c>
      <c r="Q15" s="170" t="n">
        <f aca="false">'Ocorrências Mensais - FAT'!M18</f>
        <v>0</v>
      </c>
      <c r="R15" s="171" t="n">
        <f aca="false">ROUND((P15/Dados!$G$38*Q15),2)</f>
        <v>0</v>
      </c>
      <c r="S15" s="164" t="n">
        <f aca="false">I15+L15+O15+R15</f>
        <v>0</v>
      </c>
      <c r="T15" s="172" t="n">
        <f aca="false">(((F15-S15)))</f>
        <v>465037.93</v>
      </c>
      <c r="U15" s="166"/>
      <c r="V15" s="99"/>
      <c r="W15" s="186"/>
    </row>
    <row r="16" customFormat="false" ht="32.25" hidden="false" customHeight="true" outlineLevel="0" collapsed="false">
      <c r="A16" s="146"/>
      <c r="B16" s="167" t="str">
        <f aca="false">Dados!B13</f>
        <v>Auxiliar Administrativo - Classe III (Nível Superior)</v>
      </c>
      <c r="C16" s="168" t="n">
        <f aca="false">Dados!C13</f>
        <v>150</v>
      </c>
      <c r="D16" s="149" t="n">
        <f aca="false">Dados!D13</f>
        <v>3</v>
      </c>
      <c r="E16" s="187" t="n">
        <f aca="false">'Aux Admin III 150'!F40</f>
        <v>5832.07</v>
      </c>
      <c r="F16" s="183" t="n">
        <f aca="false">ROUND(D16*E16,2)</f>
        <v>17496.21</v>
      </c>
      <c r="G16" s="184" t="n">
        <f aca="false">'Aux Admin III 150'!I40</f>
        <v>482.12</v>
      </c>
      <c r="H16" s="153" t="n">
        <f aca="false">'Ocorrências Mensais - FAT'!F19+'Ocorrências Mensais - FAT'!G19</f>
        <v>0</v>
      </c>
      <c r="I16" s="154" t="n">
        <f aca="false">(ROUND(G16/Dados!$G$38*H16,2)-(G16/'Ocorrências Mensais - FAT'!$E$8*'Ocorrências Mensais - FAT'!H19))</f>
        <v>0</v>
      </c>
      <c r="J16" s="184" t="n">
        <f aca="false">'Aux Admin III 150'!F40-'Aux Admin III 150'!H40</f>
        <v>5832.07</v>
      </c>
      <c r="K16" s="156" t="n">
        <f aca="false">'Ocorrências Mensais - FAT'!K19</f>
        <v>0</v>
      </c>
      <c r="L16" s="157" t="n">
        <f aca="false">J16/'Ocorrências Mensais - FAT'!$E$8*K16</f>
        <v>0</v>
      </c>
      <c r="M16" s="185" t="n">
        <f aca="false">'Custo Estimativo Substituto'!K33</f>
        <v>4868.56</v>
      </c>
      <c r="N16" s="159" t="n">
        <f aca="false">'Ocorrências Mensais - FAT'!L19</f>
        <v>0</v>
      </c>
      <c r="O16" s="160" t="n">
        <f aca="false">ROUND((M16/'Ocorrências Mensais - FAT'!$E$8*N16),2)</f>
        <v>0</v>
      </c>
      <c r="P16" s="169" t="n">
        <f aca="false">'Aux Admin III 150'!G39</f>
        <v>0</v>
      </c>
      <c r="Q16" s="170" t="n">
        <f aca="false">'Ocorrências Mensais - FAT'!M19</f>
        <v>0</v>
      </c>
      <c r="R16" s="171" t="n">
        <f aca="false">ROUND((P16/Dados!$G$38*Q16),2)</f>
        <v>0</v>
      </c>
      <c r="S16" s="164" t="n">
        <f aca="false">I16+L16+O16+R16</f>
        <v>0</v>
      </c>
      <c r="T16" s="172" t="n">
        <f aca="false">(((F16-S16)))</f>
        <v>17496.21</v>
      </c>
      <c r="U16" s="166"/>
      <c r="V16" s="99"/>
      <c r="W16" s="99"/>
    </row>
    <row r="17" customFormat="false" ht="32.25" hidden="false" customHeight="true" outlineLevel="0" collapsed="false">
      <c r="A17" s="146"/>
      <c r="B17" s="167" t="str">
        <f aca="false">Dados!B14</f>
        <v>Auxiliar Administrativo - Classe IV (Nível Superior)</v>
      </c>
      <c r="C17" s="168" t="n">
        <f aca="false">Dados!C14</f>
        <v>200</v>
      </c>
      <c r="D17" s="149" t="n">
        <f aca="false">Dados!D14</f>
        <v>21</v>
      </c>
      <c r="E17" s="187" t="n">
        <f aca="false">'Aux Admin IV 200'!F40</f>
        <v>8081.47</v>
      </c>
      <c r="F17" s="183" t="n">
        <f aca="false">ROUND(D17*E17,2)</f>
        <v>169710.87</v>
      </c>
      <c r="G17" s="184" t="n">
        <f aca="false">'Aux Admin IV 200'!I40</f>
        <v>424.58</v>
      </c>
      <c r="H17" s="153" t="n">
        <f aca="false">'Ocorrências Mensais - FAT'!F20+'Ocorrências Mensais - FAT'!G20</f>
        <v>0</v>
      </c>
      <c r="I17" s="154" t="n">
        <f aca="false">(ROUND(G17/Dados!$G$38*H17,2)-(G17/'Ocorrências Mensais - FAT'!$E$8*'Ocorrências Mensais - FAT'!H20))</f>
        <v>0</v>
      </c>
      <c r="J17" s="184" t="n">
        <f aca="false">'Aux Admin IV 200'!F40-'Aux Admin IV 200'!H40</f>
        <v>8081.47</v>
      </c>
      <c r="K17" s="156" t="n">
        <f aca="false">'Ocorrências Mensais - FAT'!K20</f>
        <v>0</v>
      </c>
      <c r="L17" s="157" t="n">
        <f aca="false">J17/'Ocorrências Mensais - FAT'!$E$8*K17</f>
        <v>0</v>
      </c>
      <c r="M17" s="185" t="n">
        <f aca="false">'Custo Estimativo Substituto'!L33</f>
        <v>6863.32</v>
      </c>
      <c r="N17" s="159" t="n">
        <f aca="false">'Ocorrências Mensais - FAT'!L20</f>
        <v>0</v>
      </c>
      <c r="O17" s="160" t="n">
        <f aca="false">ROUND((M17/'Ocorrências Mensais - FAT'!$E$8*N17),2)</f>
        <v>0</v>
      </c>
      <c r="P17" s="169" t="n">
        <f aca="false">'Aux Admin IV 200'!G39</f>
        <v>590.13</v>
      </c>
      <c r="Q17" s="170" t="n">
        <f aca="false">'Ocorrências Mensais - FAT'!M20</f>
        <v>0</v>
      </c>
      <c r="R17" s="171" t="n">
        <f aca="false">ROUND((P17/Dados!$G$38*Q17),2)</f>
        <v>0</v>
      </c>
      <c r="S17" s="164" t="n">
        <f aca="false">I17+L17+O17+R17</f>
        <v>0</v>
      </c>
      <c r="T17" s="172" t="n">
        <f aca="false">(((F17-S17)))</f>
        <v>169710.87</v>
      </c>
      <c r="U17" s="166"/>
      <c r="V17" s="99"/>
      <c r="W17" s="99"/>
    </row>
    <row r="18" customFormat="false" ht="32.25" hidden="false" customHeight="true" outlineLevel="0" collapsed="false">
      <c r="A18" s="146"/>
      <c r="B18" s="167" t="str">
        <f aca="false">Dados!B15</f>
        <v>Assistente de Apoio Financeiro (Nível Superior)</v>
      </c>
      <c r="C18" s="168" t="n">
        <f aca="false">Dados!C15</f>
        <v>200</v>
      </c>
      <c r="D18" s="149" t="n">
        <f aca="false">Dados!D15</f>
        <v>6</v>
      </c>
      <c r="E18" s="187" t="n">
        <f aca="false">'Assistente Financeiro 200'!F40</f>
        <v>12267.72</v>
      </c>
      <c r="F18" s="183" t="n">
        <f aca="false">ROUND(D18*E18,2)</f>
        <v>73606.32</v>
      </c>
      <c r="G18" s="184" t="n">
        <f aca="false">'Assistente Financeiro 200'!I40</f>
        <v>279.51</v>
      </c>
      <c r="H18" s="153" t="n">
        <f aca="false">'Ocorrências Mensais - FAT'!F21+'Ocorrências Mensais - FAT'!G21</f>
        <v>0</v>
      </c>
      <c r="I18" s="154" t="n">
        <f aca="false">(ROUND(G18/Dados!$G$38*H18,2)-(G18/'Ocorrências Mensais - FAT'!$E$8*'Ocorrências Mensais - FAT'!H21))</f>
        <v>0</v>
      </c>
      <c r="J18" s="184" t="n">
        <f aca="false">'Assistente Financeiro 200'!F40-'Assistente Financeiro 200'!H40</f>
        <v>12267.72</v>
      </c>
      <c r="K18" s="156" t="n">
        <f aca="false">'Ocorrências Mensais - FAT'!K21</f>
        <v>0</v>
      </c>
      <c r="L18" s="157" t="n">
        <f aca="false">J18/'Ocorrências Mensais - FAT'!$E$8*K18</f>
        <v>0</v>
      </c>
      <c r="M18" s="185" t="n">
        <f aca="false">'Custo Estimativo Substituto'!M33</f>
        <v>10405.56</v>
      </c>
      <c r="N18" s="159" t="n">
        <f aca="false">'Ocorrências Mensais - FAT'!L21</f>
        <v>0</v>
      </c>
      <c r="O18" s="160" t="n">
        <f aca="false">ROUND((M18/'Ocorrências Mensais - FAT'!$E$8*N18),2)</f>
        <v>0</v>
      </c>
      <c r="P18" s="169" t="n">
        <f aca="false">'Assistente Financeiro 200'!G39</f>
        <v>590.13</v>
      </c>
      <c r="Q18" s="170" t="n">
        <f aca="false">'Ocorrências Mensais - FAT'!M21</f>
        <v>0</v>
      </c>
      <c r="R18" s="171" t="n">
        <f aca="false">ROUND((P18/Dados!$G$38*Q18),2)</f>
        <v>0</v>
      </c>
      <c r="S18" s="164" t="n">
        <f aca="false">I18+L18+O18+R18</f>
        <v>0</v>
      </c>
      <c r="T18" s="172" t="n">
        <f aca="false">(((F18-S18)))</f>
        <v>73606.32</v>
      </c>
      <c r="U18" s="166"/>
      <c r="V18" s="99"/>
      <c r="W18" s="99"/>
    </row>
    <row r="19" customFormat="false" ht="32.25" hidden="false" customHeight="true" outlineLevel="0" collapsed="false">
      <c r="A19" s="146"/>
      <c r="B19" s="167" t="str">
        <f aca="false">Dados!B16</f>
        <v>Encarregado Geral</v>
      </c>
      <c r="C19" s="168" t="n">
        <f aca="false">Dados!C16</f>
        <v>220</v>
      </c>
      <c r="D19" s="149" t="n">
        <f aca="false">Dados!D16</f>
        <v>1</v>
      </c>
      <c r="E19" s="187" t="n">
        <f aca="false">'Encarregado Geral 220'!F40</f>
        <v>7557.43</v>
      </c>
      <c r="F19" s="183" t="n">
        <f aca="false">ROUND(D19*E19,2)</f>
        <v>7557.43</v>
      </c>
      <c r="G19" s="184" t="n">
        <f aca="false">'Encarregado Geral 220'!I40</f>
        <v>442.74</v>
      </c>
      <c r="H19" s="153" t="n">
        <f aca="false">'Ocorrências Mensais - FAT'!F22+'Ocorrências Mensais - FAT'!G22</f>
        <v>0</v>
      </c>
      <c r="I19" s="154" t="n">
        <f aca="false">(ROUND(G19/Dados!$G$38*H19,2)-(G19/'Ocorrências Mensais - FAT'!$E$8*'Ocorrências Mensais - FAT'!H22))</f>
        <v>0</v>
      </c>
      <c r="J19" s="184" t="n">
        <f aca="false">'Encarregado Geral 220'!F40-'Encarregado Geral 220'!H40</f>
        <v>7557.43</v>
      </c>
      <c r="K19" s="156" t="n">
        <f aca="false">'Ocorrências Mensais - FAT'!K22</f>
        <v>0</v>
      </c>
      <c r="L19" s="157" t="n">
        <f aca="false">J19/'Ocorrências Mensais - FAT'!$E$8*K19</f>
        <v>0</v>
      </c>
      <c r="M19" s="185" t="n">
        <f aca="false">'Custo Estimativo Substituto'!N33</f>
        <v>6419.71</v>
      </c>
      <c r="N19" s="159" t="n">
        <f aca="false">'Ocorrências Mensais - FAT'!L22</f>
        <v>0</v>
      </c>
      <c r="O19" s="160" t="n">
        <f aca="false">ROUND((M19/'Ocorrências Mensais - FAT'!$E$8*N19),2)</f>
        <v>0</v>
      </c>
      <c r="P19" s="169" t="n">
        <f aca="false">'Encarregado Geral 220'!G39</f>
        <v>590.13</v>
      </c>
      <c r="Q19" s="170" t="n">
        <f aca="false">'Ocorrências Mensais - FAT'!M22</f>
        <v>0</v>
      </c>
      <c r="R19" s="171" t="n">
        <f aca="false">ROUND((P19/Dados!$G$38*Q19),2)</f>
        <v>0</v>
      </c>
      <c r="S19" s="164" t="n">
        <f aca="false">I19+L19+O19+R19</f>
        <v>0</v>
      </c>
      <c r="T19" s="172" t="n">
        <f aca="false">(((F19-S19)))</f>
        <v>7557.43</v>
      </c>
      <c r="U19" s="166"/>
      <c r="V19" s="99"/>
      <c r="W19" s="99"/>
    </row>
    <row r="20" customFormat="false" ht="32.25" hidden="false" customHeight="true" outlineLevel="0" collapsed="false">
      <c r="A20" s="146"/>
      <c r="B20" s="167" t="str">
        <f aca="false">Dados!B17</f>
        <v>Operador e Editor de Áudio e Vídeo</v>
      </c>
      <c r="C20" s="168" t="n">
        <f aca="false">Dados!C17</f>
        <v>150</v>
      </c>
      <c r="D20" s="149" t="n">
        <f aca="false">Dados!D17</f>
        <v>8</v>
      </c>
      <c r="E20" s="187" t="n">
        <f aca="false">'Op. Ed. Audio e Video 150'!F40</f>
        <v>8804.15</v>
      </c>
      <c r="F20" s="183" t="n">
        <f aca="false">ROUND(D20*E20,2)</f>
        <v>70433.2</v>
      </c>
      <c r="G20" s="184" t="n">
        <f aca="false">'Op. Ed. Audio e Video 150'!I40</f>
        <v>378.23</v>
      </c>
      <c r="H20" s="153" t="n">
        <f aca="false">'Ocorrências Mensais - FAT'!F23+'Ocorrências Mensais - FAT'!G23</f>
        <v>0</v>
      </c>
      <c r="I20" s="154" t="n">
        <f aca="false">(ROUND(G20/Dados!$G$38*H20,2)-(G20/'Ocorrências Mensais - FAT'!$E$8*'Ocorrências Mensais - FAT'!H23))</f>
        <v>0</v>
      </c>
      <c r="J20" s="184" t="n">
        <f aca="false">'Op. Ed. Audio e Video 150'!F40-'Op. Ed. Audio e Video 150'!H40</f>
        <v>8804.15</v>
      </c>
      <c r="K20" s="156" t="n">
        <f aca="false">'Ocorrências Mensais - FAT'!K23</f>
        <v>0</v>
      </c>
      <c r="L20" s="157" t="n">
        <f aca="false">J20/'Ocorrências Mensais - FAT'!$E$8*K20</f>
        <v>0</v>
      </c>
      <c r="M20" s="185" t="n">
        <f aca="false">'Custo Estimativo Substituto'!O33</f>
        <v>7405</v>
      </c>
      <c r="N20" s="159" t="n">
        <f aca="false">'Ocorrências Mensais - FAT'!L23</f>
        <v>0</v>
      </c>
      <c r="O20" s="160" t="n">
        <f aca="false">ROUND((M20/'Ocorrências Mensais - FAT'!$E$8*N20),2)</f>
        <v>0</v>
      </c>
      <c r="P20" s="169" t="n">
        <f aca="false">'Op. Ed. Audio e Video 150'!G39</f>
        <v>0</v>
      </c>
      <c r="Q20" s="170" t="n">
        <f aca="false">'Ocorrências Mensais - FAT'!M23</f>
        <v>0</v>
      </c>
      <c r="R20" s="171" t="n">
        <f aca="false">ROUND((P20/Dados!$G$38*Q20),2)</f>
        <v>0</v>
      </c>
      <c r="S20" s="164" t="n">
        <f aca="false">I20+L20+O20+R20</f>
        <v>0</v>
      </c>
      <c r="T20" s="172" t="n">
        <f aca="false">(((F20-S20)))</f>
        <v>70433.2</v>
      </c>
      <c r="U20" s="166"/>
      <c r="V20" s="99"/>
      <c r="W20" s="188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</row>
    <row r="21" customFormat="false" ht="32.25" hidden="false" customHeight="true" outlineLevel="0" collapsed="false">
      <c r="A21" s="146"/>
      <c r="B21" s="190" t="str">
        <f aca="false">Dados!B18</f>
        <v>Recepcionista </v>
      </c>
      <c r="C21" s="191" t="n">
        <f aca="false">Dados!C18</f>
        <v>220</v>
      </c>
      <c r="D21" s="192" t="n">
        <f aca="false">Dados!D18</f>
        <v>11</v>
      </c>
      <c r="E21" s="193" t="n">
        <f aca="false">'Recepcionista 220'!F40</f>
        <v>6933.13</v>
      </c>
      <c r="F21" s="194" t="n">
        <f aca="false">ROUND(D21*E21,2)</f>
        <v>76264.43</v>
      </c>
      <c r="G21" s="195" t="n">
        <f aca="false">'Recepcionista 220'!I40</f>
        <v>464.4</v>
      </c>
      <c r="H21" s="153" t="n">
        <f aca="false">'Ocorrências Mensais - FAT'!F24+'Ocorrências Mensais - FAT'!G24</f>
        <v>0</v>
      </c>
      <c r="I21" s="154" t="n">
        <f aca="false">(ROUND(G21/Dados!$G$38*H21,2)-(G21/'Ocorrências Mensais - FAT'!$E$8*'Ocorrências Mensais - FAT'!H24))</f>
        <v>0</v>
      </c>
      <c r="J21" s="195" t="n">
        <f aca="false">'Recepcionista 220'!F40-'Recepcionista 220'!H40</f>
        <v>6933.13</v>
      </c>
      <c r="K21" s="156" t="n">
        <f aca="false">'Ocorrências Mensais - FAT'!K24</f>
        <v>0</v>
      </c>
      <c r="L21" s="157" t="n">
        <f aca="false">J21/'Ocorrências Mensais - FAT'!$E$8*K21</f>
        <v>0</v>
      </c>
      <c r="M21" s="196" t="n">
        <f aca="false">'Custo Estimativo Substituto'!P33</f>
        <v>5891.38</v>
      </c>
      <c r="N21" s="159" t="n">
        <f aca="false">'Ocorrências Mensais - FAT'!L24</f>
        <v>0</v>
      </c>
      <c r="O21" s="160" t="n">
        <f aca="false">ROUND((M21/'Ocorrências Mensais - FAT'!$E$8*N21),2)</f>
        <v>0</v>
      </c>
      <c r="P21" s="197" t="n">
        <f aca="false">'Recepcionista 220'!G39</f>
        <v>590.13</v>
      </c>
      <c r="Q21" s="198" t="n">
        <f aca="false">'Ocorrências Mensais - FAT'!M24</f>
        <v>0</v>
      </c>
      <c r="R21" s="199" t="n">
        <f aca="false">ROUND((P21/Dados!$G$38*Q21),2)</f>
        <v>0</v>
      </c>
      <c r="S21" s="164" t="n">
        <f aca="false">I21+L21+O21+R21</f>
        <v>0</v>
      </c>
      <c r="T21" s="200" t="n">
        <f aca="false">(((F21-S21)))</f>
        <v>76264.43</v>
      </c>
      <c r="U21" s="166"/>
      <c r="V21" s="99"/>
      <c r="W21" s="188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</row>
    <row r="22" s="216" customFormat="true" ht="55.5" hidden="false" customHeight="true" outlineLevel="0" collapsed="false">
      <c r="A22" s="201" t="s">
        <v>156</v>
      </c>
      <c r="B22" s="201"/>
      <c r="C22" s="201"/>
      <c r="D22" s="202" t="n">
        <f aca="false">SUM(D11:D21)</f>
        <v>168</v>
      </c>
      <c r="E22" s="203"/>
      <c r="F22" s="204" t="n">
        <f aca="false">SUM(F11:F21)</f>
        <v>1131678.4</v>
      </c>
      <c r="G22" s="205"/>
      <c r="H22" s="206" t="n">
        <f aca="false">SUM(H11:H21)</f>
        <v>0</v>
      </c>
      <c r="I22" s="207" t="n">
        <f aca="false">SUM(I11:I21)</f>
        <v>0</v>
      </c>
      <c r="J22" s="208" t="n">
        <f aca="false">SUM(J11:J21)</f>
        <v>77552.72</v>
      </c>
      <c r="K22" s="206" t="n">
        <f aca="false">SUM(K11:K21)</f>
        <v>0</v>
      </c>
      <c r="L22" s="207" t="n">
        <f aca="false">SUM(L11:L21)</f>
        <v>0</v>
      </c>
      <c r="M22" s="208" t="n">
        <f aca="false">SUM(M11:M21)</f>
        <v>65581.77</v>
      </c>
      <c r="N22" s="206" t="n">
        <f aca="false">SUM(N11:N21)</f>
        <v>0</v>
      </c>
      <c r="O22" s="209" t="n">
        <f aca="false">SUM(O11:O21)</f>
        <v>0</v>
      </c>
      <c r="P22" s="210"/>
      <c r="Q22" s="211" t="n">
        <f aca="false">SUM(Q11:Q21)</f>
        <v>0</v>
      </c>
      <c r="R22" s="212" t="n">
        <f aca="false">SUM(R11:R21)</f>
        <v>0</v>
      </c>
      <c r="S22" s="213" t="n">
        <f aca="false">SUM(S11:S21)</f>
        <v>0</v>
      </c>
      <c r="T22" s="214" t="n">
        <f aca="false">SUM(T11:T21)</f>
        <v>1131678.4</v>
      </c>
      <c r="U22" s="215"/>
      <c r="V22" s="216" t="s">
        <v>157</v>
      </c>
      <c r="W22" s="217"/>
      <c r="X22" s="218"/>
      <c r="Y22" s="218"/>
      <c r="Z22" s="219"/>
      <c r="AA22" s="218"/>
      <c r="AB22" s="218"/>
      <c r="AC22" s="218"/>
      <c r="AD22" s="218"/>
      <c r="AE22" s="220"/>
      <c r="AF22" s="221"/>
      <c r="AG22" s="221"/>
    </row>
    <row r="23" s="216" customFormat="true" ht="55.5" hidden="false" customHeight="true" outlineLevel="0" collapsed="false">
      <c r="A23" s="222" t="s">
        <v>158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3" t="n">
        <f aca="false">T22*12</f>
        <v>13580140.8</v>
      </c>
      <c r="U23" s="224"/>
      <c r="W23" s="225"/>
      <c r="X23" s="226"/>
      <c r="Y23" s="226"/>
      <c r="Z23" s="226"/>
      <c r="AA23" s="226"/>
      <c r="AB23" s="226"/>
      <c r="AC23" s="226"/>
      <c r="AD23" s="226"/>
      <c r="AE23" s="227"/>
      <c r="AF23" s="221"/>
      <c r="AG23" s="221"/>
    </row>
    <row r="24" customFormat="false" ht="18" hidden="false" customHeight="true" outlineLevel="0" collapsed="false">
      <c r="A24" s="99"/>
      <c r="B24" s="99"/>
      <c r="C24" s="99"/>
      <c r="D24" s="99"/>
      <c r="E24" s="186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225"/>
      <c r="X24" s="226"/>
      <c r="Y24" s="226"/>
      <c r="Z24" s="226"/>
      <c r="AA24" s="226"/>
      <c r="AB24" s="226"/>
      <c r="AC24" s="226"/>
      <c r="AD24" s="226"/>
      <c r="AE24" s="227"/>
      <c r="AF24" s="189"/>
      <c r="AG24" s="189"/>
    </row>
    <row r="25" customFormat="false" ht="18" hidden="false" customHeight="true" outlineLevel="0" collapsed="false"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 customFormat="false" ht="18" hidden="false" customHeight="true" outlineLevel="0" collapsed="false"/>
  </sheetData>
  <sheetProtection sheet="true" password="c494" objects="true" scenarios="true"/>
  <mergeCells count="24">
    <mergeCell ref="A4:U4"/>
    <mergeCell ref="A5:U5"/>
    <mergeCell ref="A6:H6"/>
    <mergeCell ref="S6:T6"/>
    <mergeCell ref="A7:A10"/>
    <mergeCell ref="B7:C9"/>
    <mergeCell ref="D7:S7"/>
    <mergeCell ref="T7:T10"/>
    <mergeCell ref="U7:U10"/>
    <mergeCell ref="D8:F8"/>
    <mergeCell ref="G8:I8"/>
    <mergeCell ref="J8:O8"/>
    <mergeCell ref="P8:R8"/>
    <mergeCell ref="D9:F9"/>
    <mergeCell ref="G9:G10"/>
    <mergeCell ref="H9:I9"/>
    <mergeCell ref="J9:L9"/>
    <mergeCell ref="M9:O9"/>
    <mergeCell ref="P9:R9"/>
    <mergeCell ref="S9:S10"/>
    <mergeCell ref="A11:A21"/>
    <mergeCell ref="U11:U21"/>
    <mergeCell ref="A22:C22"/>
    <mergeCell ref="A23:S23"/>
  </mergeCells>
  <printOptions headings="false" gridLines="false" gridLinesSet="true" horizontalCentered="true" verticalCentered="false"/>
  <pageMargins left="0.196527777777778" right="0.196527777777778" top="0.196527777777778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84"/>
  <sheetViews>
    <sheetView showFormulas="false" showGridLines="false" showRowColHeaders="true" showZeros="true" rightToLeft="false" tabSelected="false" showOutlineSymbols="true" defaultGridColor="true" view="pageBreakPreview" topLeftCell="A24" colorId="64" zoomScale="100" zoomScaleNormal="115" zoomScalePageLayoutView="100" workbookViewId="0">
      <selection pane="topLeft" activeCell="I56" activeCellId="0" sqref="I56"/>
    </sheetView>
  </sheetViews>
  <sheetFormatPr defaultRowHeight="15" zeroHeight="false" outlineLevelRow="0" outlineLevelCol="0"/>
  <cols>
    <col collapsed="false" customWidth="true" hidden="false" outlineLevel="0" max="1" min="1" style="99" width="10"/>
    <col collapsed="false" customWidth="true" hidden="false" outlineLevel="0" max="2" min="2" style="99" width="39.16"/>
    <col collapsed="false" customWidth="true" hidden="false" outlineLevel="0" max="3" min="3" style="99" width="10"/>
    <col collapsed="false" customWidth="true" hidden="false" outlineLevel="0" max="4" min="4" style="99" width="6.66"/>
    <col collapsed="false" customWidth="true" hidden="false" outlineLevel="0" max="7" min="5" style="99" width="14.16"/>
    <col collapsed="false" customWidth="true" hidden="false" outlineLevel="0" max="8" min="8" style="99" width="18.16"/>
    <col collapsed="false" customWidth="true" hidden="false" outlineLevel="0" max="9" min="9" style="99" width="15.99"/>
    <col collapsed="false" customWidth="true" hidden="false" outlineLevel="0" max="10" min="10" style="99" width="15.34"/>
    <col collapsed="false" customWidth="true" hidden="false" outlineLevel="0" max="11" min="11" style="99" width="14.84"/>
    <col collapsed="false" customWidth="true" hidden="false" outlineLevel="0" max="12" min="12" style="99" width="14.66"/>
    <col collapsed="false" customWidth="true" hidden="false" outlineLevel="0" max="246" min="13" style="99" width="9.33"/>
    <col collapsed="false" customWidth="true" hidden="false" outlineLevel="0" max="247" min="247" style="99" width="6.99"/>
    <col collapsed="false" customWidth="true" hidden="false" outlineLevel="0" max="248" min="248" style="99" width="45.83"/>
    <col collapsed="false" customWidth="true" hidden="false" outlineLevel="0" max="249" min="249" style="99" width="10"/>
    <col collapsed="false" customWidth="true" hidden="false" outlineLevel="0" max="253" min="250" style="99" width="14.16"/>
    <col collapsed="false" customWidth="true" hidden="false" outlineLevel="0" max="1020" min="254" style="99" width="13.83"/>
    <col collapsed="false" customWidth="true" hidden="false" outlineLevel="0" max="1025" min="1021" style="99" width="12.83"/>
  </cols>
  <sheetData>
    <row r="1" customFormat="false" ht="12.6" hidden="false" customHeight="true" outlineLevel="0" collapsed="false">
      <c r="A1" s="228"/>
      <c r="B1" s="229" t="s">
        <v>0</v>
      </c>
      <c r="C1" s="230"/>
      <c r="D1" s="97"/>
      <c r="E1" s="97"/>
      <c r="F1" s="97"/>
      <c r="G1" s="97"/>
      <c r="H1" s="97"/>
      <c r="I1" s="97"/>
    </row>
    <row r="2" customFormat="false" ht="12.75" hidden="false" customHeight="true" outlineLevel="0" collapsed="false">
      <c r="A2" s="231"/>
      <c r="B2" s="229" t="s">
        <v>1</v>
      </c>
      <c r="C2" s="232"/>
    </row>
    <row r="3" customFormat="false" ht="12.75" hidden="false" customHeight="true" outlineLevel="0" collapsed="false">
      <c r="A3" s="231"/>
      <c r="B3" s="229" t="s">
        <v>159</v>
      </c>
      <c r="C3" s="232"/>
    </row>
    <row r="4" s="235" customFormat="true" ht="18" hidden="false" customHeight="true" outlineLevel="0" collapsed="false">
      <c r="A4" s="233" t="s">
        <v>160</v>
      </c>
      <c r="B4" s="233"/>
      <c r="C4" s="233"/>
      <c r="D4" s="233"/>
      <c r="E4" s="233"/>
      <c r="F4" s="233"/>
      <c r="G4" s="233"/>
      <c r="H4" s="233"/>
      <c r="I4" s="233"/>
      <c r="J4" s="234"/>
    </row>
    <row r="5" s="235" customFormat="true" ht="40.5" hidden="false" customHeight="true" outlineLevel="0" collapsed="false">
      <c r="A5" s="236" t="str">
        <f aca="false">CONCATENATE("Sindicato utilizado - ",E22,". Vigência: ",E24,"
Sendo a data base da categoria ",E25,". Com número de registro no MTE ",E23,".")</f>
        <v>Sindicato utilizado - SINDEAC/MG. Vigência: 01/01/2023 à 31/12/2023
Sendo a data base da categoria 01º de Janeiro. Com número de registro no MTE MG000001/2023.</v>
      </c>
      <c r="B5" s="236"/>
      <c r="C5" s="236"/>
      <c r="D5" s="236"/>
      <c r="E5" s="236"/>
      <c r="F5" s="236"/>
      <c r="G5" s="236"/>
      <c r="H5" s="236"/>
      <c r="I5" s="236"/>
      <c r="J5" s="234"/>
    </row>
    <row r="6" s="235" customFormat="true" ht="24.75" hidden="false" customHeight="true" outlineLevel="0" collapsed="false">
      <c r="A6" s="237"/>
      <c r="B6" s="237"/>
      <c r="C6" s="237"/>
      <c r="D6" s="237"/>
      <c r="E6" s="238" t="s">
        <v>161</v>
      </c>
      <c r="F6" s="238"/>
      <c r="G6" s="238"/>
      <c r="H6" s="238"/>
      <c r="I6" s="238"/>
    </row>
    <row r="7" s="235" customFormat="true" ht="96" hidden="false" customHeight="true" outlineLevel="0" collapsed="false">
      <c r="A7" s="239" t="s">
        <v>162</v>
      </c>
      <c r="B7" s="240" t="s">
        <v>28</v>
      </c>
      <c r="C7" s="241" t="s">
        <v>29</v>
      </c>
      <c r="D7" s="241" t="s">
        <v>27</v>
      </c>
      <c r="E7" s="241" t="s">
        <v>163</v>
      </c>
      <c r="F7" s="241" t="s">
        <v>164</v>
      </c>
      <c r="G7" s="241" t="s">
        <v>165</v>
      </c>
      <c r="H7" s="241" t="s">
        <v>166</v>
      </c>
      <c r="I7" s="242" t="s">
        <v>167</v>
      </c>
      <c r="L7" s="243"/>
    </row>
    <row r="8" s="235" customFormat="true" ht="24.75" hidden="false" customHeight="true" outlineLevel="0" collapsed="false">
      <c r="A8" s="244" t="n">
        <v>333903701</v>
      </c>
      <c r="B8" s="245" t="s">
        <v>168</v>
      </c>
      <c r="C8" s="246" t="n">
        <v>150</v>
      </c>
      <c r="D8" s="246" t="n">
        <v>2</v>
      </c>
      <c r="E8" s="247" t="n">
        <v>2080</v>
      </c>
      <c r="F8" s="248" t="n">
        <f aca="false">ROUND(((E8/220)*C8),2)</f>
        <v>1418.18</v>
      </c>
      <c r="G8" s="37" t="n">
        <v>0</v>
      </c>
      <c r="H8" s="248" t="n">
        <f aca="false">SUM(F8:G8)</f>
        <v>1418.18</v>
      </c>
      <c r="I8" s="249" t="n">
        <f aca="false">Uniforme!F14</f>
        <v>76.24</v>
      </c>
      <c r="J8" s="250" t="s">
        <v>169</v>
      </c>
      <c r="K8" s="250"/>
      <c r="L8" s="250"/>
    </row>
    <row r="9" s="235" customFormat="true" ht="24.75" hidden="false" customHeight="true" outlineLevel="0" collapsed="false">
      <c r="A9" s="244"/>
      <c r="B9" s="245" t="s">
        <v>170</v>
      </c>
      <c r="C9" s="246" t="n">
        <v>200</v>
      </c>
      <c r="D9" s="246" t="n">
        <v>15</v>
      </c>
      <c r="E9" s="247" t="n">
        <f aca="false">E12</f>
        <v>2530</v>
      </c>
      <c r="F9" s="248" t="n">
        <f aca="false">ROUND(((E9/220)*C9),2)</f>
        <v>2300</v>
      </c>
      <c r="G9" s="37" t="n">
        <v>0</v>
      </c>
      <c r="H9" s="248" t="n">
        <f aca="false">SUM(F9:G9)</f>
        <v>2300</v>
      </c>
      <c r="I9" s="251" t="n">
        <f aca="false">Uniforme!F21</f>
        <v>72.65</v>
      </c>
      <c r="J9" s="250"/>
      <c r="K9" s="250"/>
      <c r="L9" s="250"/>
    </row>
    <row r="10" s="235" customFormat="true" ht="24.75" hidden="false" customHeight="true" outlineLevel="0" collapsed="false">
      <c r="A10" s="244"/>
      <c r="B10" s="252" t="s">
        <v>171</v>
      </c>
      <c r="C10" s="253" t="n">
        <v>200</v>
      </c>
      <c r="D10" s="253" t="n">
        <v>3</v>
      </c>
      <c r="E10" s="254" t="n">
        <v>2420</v>
      </c>
      <c r="F10" s="248" t="n">
        <f aca="false">ROUND(((E10/220)*C10),2)</f>
        <v>2200</v>
      </c>
      <c r="G10" s="37" t="n">
        <v>0</v>
      </c>
      <c r="H10" s="248" t="n">
        <f aca="false">SUM(F10:G10)</f>
        <v>2200</v>
      </c>
      <c r="I10" s="251" t="n">
        <f aca="false">Uniforme!F28</f>
        <v>40.71</v>
      </c>
      <c r="J10" s="250"/>
      <c r="K10" s="250"/>
      <c r="L10" s="250"/>
    </row>
    <row r="11" customFormat="false" ht="24" hidden="false" customHeight="true" outlineLevel="0" collapsed="false">
      <c r="A11" s="244"/>
      <c r="B11" s="255" t="s">
        <v>172</v>
      </c>
      <c r="C11" s="256" t="n">
        <v>150</v>
      </c>
      <c r="D11" s="256" t="n">
        <v>27</v>
      </c>
      <c r="E11" s="257" t="n">
        <v>2530</v>
      </c>
      <c r="F11" s="258" t="n">
        <f aca="false">ROUND(((E11/220)*C11),2)</f>
        <v>1725</v>
      </c>
      <c r="G11" s="37" t="n">
        <v>0</v>
      </c>
      <c r="H11" s="248" t="n">
        <f aca="false">SUM(F11:G11)</f>
        <v>1725</v>
      </c>
      <c r="I11" s="259" t="n">
        <f aca="false">Uniforme!F35</f>
        <v>72.65</v>
      </c>
      <c r="J11" s="250"/>
      <c r="K11" s="250"/>
      <c r="L11" s="250"/>
    </row>
    <row r="12" customFormat="false" ht="24" hidden="false" customHeight="true" outlineLevel="0" collapsed="false">
      <c r="A12" s="244"/>
      <c r="B12" s="255" t="s">
        <v>173</v>
      </c>
      <c r="C12" s="260" t="n">
        <v>200</v>
      </c>
      <c r="D12" s="260" t="n">
        <v>71</v>
      </c>
      <c r="E12" s="261" t="n">
        <v>2530</v>
      </c>
      <c r="F12" s="262" t="n">
        <f aca="false">ROUND(((E12/220)*C12),2)</f>
        <v>2300</v>
      </c>
      <c r="G12" s="37" t="n">
        <v>0</v>
      </c>
      <c r="H12" s="248" t="n">
        <f aca="false">SUM(F12:G12)</f>
        <v>2300</v>
      </c>
      <c r="I12" s="259" t="n">
        <f aca="false">Uniforme!F35</f>
        <v>72.65</v>
      </c>
      <c r="J12" s="250"/>
      <c r="K12" s="250"/>
      <c r="L12" s="250"/>
    </row>
    <row r="13" customFormat="false" ht="27.75" hidden="false" customHeight="true" outlineLevel="0" collapsed="false">
      <c r="A13" s="244"/>
      <c r="B13" s="263" t="s">
        <v>174</v>
      </c>
      <c r="C13" s="264" t="n">
        <v>150</v>
      </c>
      <c r="D13" s="264" t="n">
        <v>3</v>
      </c>
      <c r="E13" s="261" t="n">
        <v>3289</v>
      </c>
      <c r="F13" s="262" t="n">
        <f aca="false">ROUND(((E13/220)*C13),2)</f>
        <v>2242.5</v>
      </c>
      <c r="G13" s="37" t="n">
        <v>0</v>
      </c>
      <c r="H13" s="248" t="n">
        <f aca="false">SUM(F13:G13)</f>
        <v>2242.5</v>
      </c>
      <c r="I13" s="259" t="n">
        <f aca="false">Uniforme!F35</f>
        <v>72.65</v>
      </c>
      <c r="J13" s="250"/>
      <c r="K13" s="250"/>
      <c r="L13" s="250"/>
    </row>
    <row r="14" customFormat="false" ht="27.75" hidden="false" customHeight="true" outlineLevel="0" collapsed="false">
      <c r="A14" s="244"/>
      <c r="B14" s="265" t="s">
        <v>175</v>
      </c>
      <c r="C14" s="264" t="n">
        <v>200</v>
      </c>
      <c r="D14" s="264" t="n">
        <v>21</v>
      </c>
      <c r="E14" s="261" t="n">
        <v>3289</v>
      </c>
      <c r="F14" s="262" t="n">
        <f aca="false">ROUND(((E14/220)*C14),2)</f>
        <v>2990</v>
      </c>
      <c r="G14" s="37" t="n">
        <v>0</v>
      </c>
      <c r="H14" s="248" t="n">
        <f aca="false">SUM(F14:G14)</f>
        <v>2990</v>
      </c>
      <c r="I14" s="259" t="n">
        <f aca="false">Uniforme!F35</f>
        <v>72.65</v>
      </c>
      <c r="J14" s="250"/>
      <c r="K14" s="250"/>
      <c r="L14" s="250"/>
    </row>
    <row r="15" customFormat="false" ht="27.75" hidden="false" customHeight="true" outlineLevel="0" collapsed="false">
      <c r="A15" s="244"/>
      <c r="B15" s="263" t="s">
        <v>176</v>
      </c>
      <c r="C15" s="264" t="n">
        <v>200</v>
      </c>
      <c r="D15" s="264" t="n">
        <v>6</v>
      </c>
      <c r="E15" s="261" t="n">
        <v>5362.5</v>
      </c>
      <c r="F15" s="262" t="n">
        <f aca="false">ROUND(((E15/220)*C15),2)</f>
        <v>4875</v>
      </c>
      <c r="G15" s="37" t="n">
        <v>0</v>
      </c>
      <c r="H15" s="248" t="n">
        <f aca="false">SUM(F15:G15)</f>
        <v>4875</v>
      </c>
      <c r="I15" s="266" t="n">
        <f aca="false">Uniforme!F43</f>
        <v>74.23</v>
      </c>
      <c r="J15" s="250"/>
      <c r="K15" s="250"/>
      <c r="L15" s="250"/>
    </row>
    <row r="16" customFormat="false" ht="27.75" hidden="false" customHeight="true" outlineLevel="0" collapsed="false">
      <c r="A16" s="244"/>
      <c r="B16" s="263" t="s">
        <v>177</v>
      </c>
      <c r="C16" s="264" t="n">
        <v>220</v>
      </c>
      <c r="D16" s="264" t="n">
        <v>1</v>
      </c>
      <c r="E16" s="261" t="n">
        <v>2753.93</v>
      </c>
      <c r="F16" s="262" t="n">
        <f aca="false">ROUND(((E16/220)*C16),2)</f>
        <v>2753.93</v>
      </c>
      <c r="G16" s="37" t="n">
        <v>0</v>
      </c>
      <c r="H16" s="248" t="n">
        <f aca="false">SUM(F16:G16)</f>
        <v>2753.93</v>
      </c>
      <c r="I16" s="266" t="n">
        <f aca="false">Uniforme!F50</f>
        <v>72.65</v>
      </c>
      <c r="J16" s="250"/>
      <c r="K16" s="250"/>
      <c r="L16" s="250"/>
    </row>
    <row r="17" customFormat="false" ht="24" hidden="false" customHeight="true" outlineLevel="0" collapsed="false">
      <c r="A17" s="244"/>
      <c r="B17" s="267" t="s">
        <v>178</v>
      </c>
      <c r="C17" s="268" t="n">
        <v>150</v>
      </c>
      <c r="D17" s="268" t="n">
        <v>8</v>
      </c>
      <c r="E17" s="261" t="n">
        <v>4789.71</v>
      </c>
      <c r="F17" s="262" t="n">
        <f aca="false">ROUND(((E17/200)*C17),2)</f>
        <v>3592.28</v>
      </c>
      <c r="G17" s="37" t="n">
        <v>0</v>
      </c>
      <c r="H17" s="248" t="n">
        <f aca="false">SUM(F17:G17)</f>
        <v>3592.28</v>
      </c>
      <c r="I17" s="259" t="n">
        <f aca="false">Uniforme!F58</f>
        <v>53.87</v>
      </c>
      <c r="J17" s="250"/>
      <c r="K17" s="250"/>
      <c r="L17" s="250"/>
    </row>
    <row r="18" customFormat="false" ht="24" hidden="false" customHeight="true" outlineLevel="0" collapsed="false">
      <c r="A18" s="244"/>
      <c r="B18" s="269" t="s">
        <v>179</v>
      </c>
      <c r="C18" s="270" t="n">
        <v>220</v>
      </c>
      <c r="D18" s="270" t="n">
        <v>11</v>
      </c>
      <c r="E18" s="271" t="n">
        <v>2472.68</v>
      </c>
      <c r="F18" s="272" t="n">
        <f aca="false">ROUND(((E18/220)*C18),2)</f>
        <v>2472.68</v>
      </c>
      <c r="G18" s="273" t="n">
        <v>0</v>
      </c>
      <c r="H18" s="274" t="n">
        <f aca="false">SUM(F18:G18)</f>
        <v>2472.68</v>
      </c>
      <c r="I18" s="275" t="n">
        <f aca="false">Uniforme!F65</f>
        <v>72.65</v>
      </c>
      <c r="J18" s="250"/>
      <c r="K18" s="250"/>
      <c r="L18" s="250"/>
    </row>
    <row r="19" customFormat="false" ht="24" hidden="false" customHeight="true" outlineLevel="0" collapsed="false">
      <c r="E19" s="276" t="s">
        <v>180</v>
      </c>
    </row>
    <row r="20" customFormat="false" ht="15" hidden="false" customHeight="false" outlineLevel="0" collapsed="false">
      <c r="A20" s="277" t="s">
        <v>181</v>
      </c>
      <c r="B20" s="277"/>
      <c r="C20" s="277"/>
      <c r="D20" s="277"/>
      <c r="E20" s="277"/>
      <c r="F20" s="277"/>
      <c r="G20" s="277"/>
      <c r="H20" s="1"/>
      <c r="I20" s="1"/>
    </row>
    <row r="21" customFormat="false" ht="30.75" hidden="false" customHeight="true" outlineLevel="0" collapsed="false">
      <c r="A21" s="278" t="n">
        <v>1</v>
      </c>
      <c r="B21" s="279" t="s">
        <v>182</v>
      </c>
      <c r="C21" s="279"/>
      <c r="D21" s="279"/>
      <c r="E21" s="280" t="s">
        <v>183</v>
      </c>
      <c r="F21" s="280"/>
      <c r="G21" s="280"/>
      <c r="H21" s="281" t="s">
        <v>184</v>
      </c>
      <c r="I21" s="281"/>
      <c r="J21" s="281"/>
      <c r="K21" s="281"/>
      <c r="L21" s="281"/>
    </row>
    <row r="22" customFormat="false" ht="30.75" hidden="false" customHeight="true" outlineLevel="0" collapsed="false">
      <c r="A22" s="278" t="n">
        <v>2</v>
      </c>
      <c r="B22" s="279" t="s">
        <v>185</v>
      </c>
      <c r="C22" s="279"/>
      <c r="D22" s="279"/>
      <c r="E22" s="280" t="s">
        <v>186</v>
      </c>
      <c r="F22" s="280"/>
      <c r="G22" s="280"/>
      <c r="H22" s="281" t="s">
        <v>187</v>
      </c>
      <c r="I22" s="281"/>
      <c r="J22" s="281"/>
      <c r="K22" s="281"/>
      <c r="L22" s="281"/>
    </row>
    <row r="23" customFormat="false" ht="30.75" hidden="false" customHeight="true" outlineLevel="0" collapsed="false">
      <c r="A23" s="278" t="n">
        <v>3</v>
      </c>
      <c r="B23" s="279" t="s">
        <v>188</v>
      </c>
      <c r="C23" s="279"/>
      <c r="D23" s="279"/>
      <c r="E23" s="280" t="s">
        <v>189</v>
      </c>
      <c r="F23" s="280"/>
      <c r="G23" s="280"/>
      <c r="H23" s="281" t="s">
        <v>190</v>
      </c>
      <c r="I23" s="281"/>
      <c r="J23" s="281"/>
      <c r="K23" s="281"/>
      <c r="L23" s="281"/>
    </row>
    <row r="24" customFormat="false" ht="30.75" hidden="false" customHeight="true" outlineLevel="0" collapsed="false">
      <c r="A24" s="278" t="n">
        <v>4</v>
      </c>
      <c r="B24" s="279" t="s">
        <v>191</v>
      </c>
      <c r="C24" s="279"/>
      <c r="D24" s="279"/>
      <c r="E24" s="280" t="s">
        <v>192</v>
      </c>
      <c r="F24" s="280"/>
      <c r="G24" s="280"/>
      <c r="H24" s="281" t="s">
        <v>193</v>
      </c>
      <c r="I24" s="281"/>
      <c r="J24" s="281"/>
      <c r="K24" s="281"/>
      <c r="L24" s="281"/>
    </row>
    <row r="25" customFormat="false" ht="30.75" hidden="false" customHeight="true" outlineLevel="0" collapsed="false">
      <c r="A25" s="278" t="n">
        <v>5</v>
      </c>
      <c r="B25" s="279" t="s">
        <v>194</v>
      </c>
      <c r="C25" s="279"/>
      <c r="D25" s="279"/>
      <c r="E25" s="280" t="s">
        <v>195</v>
      </c>
      <c r="F25" s="280"/>
      <c r="G25" s="280"/>
      <c r="H25" s="281" t="s">
        <v>196</v>
      </c>
      <c r="I25" s="281"/>
      <c r="J25" s="281"/>
      <c r="K25" s="281"/>
      <c r="L25" s="281"/>
    </row>
    <row r="26" customFormat="false" ht="15" hidden="false" customHeight="false" outlineLevel="0" collapsed="false">
      <c r="E26" s="276"/>
    </row>
    <row r="27" customFormat="false" ht="15" hidden="false" customHeight="false" outlineLevel="0" collapsed="false">
      <c r="A27" s="282" t="s">
        <v>197</v>
      </c>
      <c r="B27" s="282"/>
      <c r="C27" s="282"/>
      <c r="D27" s="282"/>
      <c r="E27" s="282"/>
      <c r="F27" s="282"/>
      <c r="G27" s="282"/>
      <c r="H27" s="235"/>
      <c r="I27" s="235"/>
    </row>
    <row r="28" customFormat="false" ht="15" hidden="false" customHeight="false" outlineLevel="0" collapsed="false">
      <c r="A28" s="283" t="s">
        <v>198</v>
      </c>
      <c r="B28" s="284" t="s">
        <v>199</v>
      </c>
      <c r="C28" s="284"/>
      <c r="D28" s="284"/>
      <c r="E28" s="284"/>
      <c r="F28" s="284"/>
      <c r="G28" s="285" t="n">
        <f aca="false">Encargos!$C$55</f>
        <v>0.7905</v>
      </c>
    </row>
    <row r="29" customFormat="false" ht="15" hidden="false" customHeight="false" outlineLevel="0" collapsed="false">
      <c r="E29" s="276"/>
    </row>
    <row r="30" customFormat="false" ht="15" hidden="false" customHeight="false" outlineLevel="0" collapsed="false">
      <c r="A30" s="286" t="n">
        <v>1</v>
      </c>
      <c r="B30" s="279" t="s">
        <v>200</v>
      </c>
      <c r="C30" s="279"/>
      <c r="D30" s="279"/>
      <c r="E30" s="279"/>
      <c r="F30" s="279"/>
      <c r="G30" s="287" t="n">
        <f aca="false">G31*G32</f>
        <v>0.06</v>
      </c>
      <c r="H30" s="1"/>
    </row>
    <row r="31" s="235" customFormat="true" ht="15" hidden="false" customHeight="false" outlineLevel="0" collapsed="false">
      <c r="A31" s="286" t="n">
        <v>2</v>
      </c>
      <c r="B31" s="279" t="s">
        <v>201</v>
      </c>
      <c r="C31" s="279"/>
      <c r="D31" s="279"/>
      <c r="E31" s="279"/>
      <c r="F31" s="279"/>
      <c r="G31" s="288" t="n">
        <v>0.03</v>
      </c>
      <c r="H31" s="289" t="s">
        <v>202</v>
      </c>
    </row>
    <row r="32" customFormat="false" ht="15" hidden="false" customHeight="false" outlineLevel="0" collapsed="false">
      <c r="A32" s="286" t="n">
        <v>3</v>
      </c>
      <c r="B32" s="279" t="s">
        <v>203</v>
      </c>
      <c r="C32" s="279"/>
      <c r="D32" s="279"/>
      <c r="E32" s="279"/>
      <c r="F32" s="279"/>
      <c r="G32" s="290" t="n">
        <v>2</v>
      </c>
      <c r="H32" s="289" t="s">
        <v>204</v>
      </c>
      <c r="I32" s="291"/>
      <c r="L32" s="292"/>
      <c r="M32" s="292"/>
    </row>
    <row r="33" customFormat="false" ht="15" hidden="false" customHeight="false" outlineLevel="0" collapsed="false">
      <c r="L33" s="292"/>
      <c r="M33" s="292"/>
    </row>
    <row r="34" s="235" customFormat="true" ht="15" hidden="false" customHeight="false" outlineLevel="0" collapsed="false">
      <c r="A34" s="282" t="s">
        <v>205</v>
      </c>
      <c r="B34" s="282"/>
      <c r="C34" s="282"/>
      <c r="D34" s="282"/>
      <c r="E34" s="282"/>
      <c r="F34" s="282"/>
      <c r="G34" s="282"/>
      <c r="I34" s="186"/>
    </row>
    <row r="35" customFormat="false" ht="14.45" hidden="false" customHeight="true" outlineLevel="0" collapsed="false">
      <c r="A35" s="293" t="n">
        <v>1</v>
      </c>
      <c r="B35" s="294" t="s">
        <v>206</v>
      </c>
      <c r="C35" s="294"/>
      <c r="D35" s="294"/>
      <c r="E35" s="294"/>
      <c r="F35" s="294"/>
      <c r="G35" s="295" t="n">
        <v>2.2</v>
      </c>
      <c r="H35" s="289" t="s">
        <v>207</v>
      </c>
    </row>
    <row r="36" customFormat="false" ht="14.45" hidden="false" customHeight="true" outlineLevel="0" collapsed="false">
      <c r="A36" s="293" t="n">
        <v>2</v>
      </c>
      <c r="B36" s="294" t="s">
        <v>208</v>
      </c>
      <c r="C36" s="294"/>
      <c r="D36" s="294"/>
      <c r="E36" s="294"/>
      <c r="F36" s="294"/>
      <c r="G36" s="295" t="n">
        <v>80.72</v>
      </c>
      <c r="H36" s="289" t="s">
        <v>207</v>
      </c>
      <c r="K36" s="296"/>
    </row>
    <row r="37" customFormat="false" ht="14.45" hidden="false" customHeight="true" outlineLevel="0" collapsed="false">
      <c r="A37" s="297" t="n">
        <v>3</v>
      </c>
      <c r="B37" s="294" t="s">
        <v>209</v>
      </c>
      <c r="C37" s="284" t="s">
        <v>210</v>
      </c>
      <c r="D37" s="284"/>
      <c r="E37" s="284"/>
      <c r="F37" s="284"/>
      <c r="G37" s="295" t="n">
        <v>26.14</v>
      </c>
      <c r="H37" s="99" t="s">
        <v>211</v>
      </c>
    </row>
    <row r="38" customFormat="false" ht="14.45" hidden="false" customHeight="true" outlineLevel="0" collapsed="false">
      <c r="A38" s="297"/>
      <c r="B38" s="294"/>
      <c r="C38" s="294" t="s">
        <v>212</v>
      </c>
      <c r="D38" s="294"/>
      <c r="E38" s="294"/>
      <c r="F38" s="294"/>
      <c r="G38" s="298" t="n">
        <v>22</v>
      </c>
      <c r="H38" s="289" t="s">
        <v>213</v>
      </c>
    </row>
    <row r="39" customFormat="false" ht="14.45" hidden="false" customHeight="true" outlineLevel="0" collapsed="false">
      <c r="A39" s="297"/>
      <c r="B39" s="294"/>
      <c r="C39" s="294" t="s">
        <v>214</v>
      </c>
      <c r="D39" s="294"/>
      <c r="E39" s="294"/>
      <c r="F39" s="294"/>
      <c r="G39" s="299" t="n">
        <v>0.2</v>
      </c>
      <c r="H39" s="99" t="s">
        <v>215</v>
      </c>
    </row>
    <row r="40" customFormat="false" ht="14.45" hidden="false" customHeight="true" outlineLevel="0" collapsed="false">
      <c r="A40" s="297" t="n">
        <v>4</v>
      </c>
      <c r="B40" s="294" t="s">
        <v>216</v>
      </c>
      <c r="C40" s="284" t="s">
        <v>217</v>
      </c>
      <c r="D40" s="284"/>
      <c r="E40" s="284"/>
      <c r="F40" s="284"/>
      <c r="G40" s="300" t="n">
        <v>2</v>
      </c>
      <c r="H40" s="99" t="s">
        <v>218</v>
      </c>
    </row>
    <row r="41" customFormat="false" ht="15" hidden="false" customHeight="false" outlineLevel="0" collapsed="false">
      <c r="A41" s="297"/>
      <c r="B41" s="294"/>
      <c r="C41" s="284" t="s">
        <v>219</v>
      </c>
      <c r="D41" s="284"/>
      <c r="E41" s="284"/>
      <c r="F41" s="284"/>
      <c r="G41" s="295" t="n">
        <v>4.5</v>
      </c>
      <c r="H41" s="99" t="s">
        <v>220</v>
      </c>
    </row>
    <row r="42" customFormat="false" ht="15" hidden="false" customHeight="false" outlineLevel="0" collapsed="false">
      <c r="A42" s="297"/>
      <c r="B42" s="294"/>
      <c r="C42" s="284" t="s">
        <v>221</v>
      </c>
      <c r="D42" s="284"/>
      <c r="E42" s="284"/>
      <c r="F42" s="284"/>
      <c r="G42" s="300" t="n">
        <v>2</v>
      </c>
      <c r="H42" s="99" t="s">
        <v>218</v>
      </c>
    </row>
    <row r="43" customFormat="false" ht="15" hidden="false" customHeight="false" outlineLevel="0" collapsed="false">
      <c r="A43" s="297"/>
      <c r="B43" s="294"/>
      <c r="C43" s="284" t="s">
        <v>222</v>
      </c>
      <c r="D43" s="284"/>
      <c r="E43" s="284"/>
      <c r="F43" s="284"/>
      <c r="G43" s="301" t="n">
        <v>7.1</v>
      </c>
      <c r="H43" s="99" t="s">
        <v>223</v>
      </c>
    </row>
    <row r="44" customFormat="false" ht="14.45" hidden="false" customHeight="true" outlineLevel="0" collapsed="false">
      <c r="A44" s="297"/>
      <c r="B44" s="294"/>
      <c r="C44" s="294" t="s">
        <v>212</v>
      </c>
      <c r="D44" s="294"/>
      <c r="E44" s="294"/>
      <c r="F44" s="294"/>
      <c r="G44" s="298" t="n">
        <v>22</v>
      </c>
      <c r="H44" s="289" t="s">
        <v>213</v>
      </c>
    </row>
    <row r="45" customFormat="false" ht="14.45" hidden="false" customHeight="true" outlineLevel="0" collapsed="false">
      <c r="A45" s="297"/>
      <c r="B45" s="294"/>
      <c r="C45" s="294" t="s">
        <v>214</v>
      </c>
      <c r="D45" s="294"/>
      <c r="E45" s="294"/>
      <c r="F45" s="294"/>
      <c r="G45" s="299" t="n">
        <v>0.06</v>
      </c>
      <c r="H45" s="99" t="s">
        <v>215</v>
      </c>
    </row>
    <row r="46" s="305" customFormat="true" ht="28.5" hidden="false" customHeight="true" outlineLevel="0" collapsed="false">
      <c r="A46" s="302" t="n">
        <v>5</v>
      </c>
      <c r="B46" s="303" t="s">
        <v>224</v>
      </c>
      <c r="C46" s="303"/>
      <c r="D46" s="303"/>
      <c r="E46" s="303"/>
      <c r="F46" s="303"/>
      <c r="G46" s="304" t="n">
        <v>0</v>
      </c>
      <c r="H46" s="281" t="s">
        <v>225</v>
      </c>
      <c r="I46" s="281"/>
      <c r="J46" s="281"/>
      <c r="K46" s="281"/>
      <c r="L46" s="281"/>
    </row>
    <row r="47" s="305" customFormat="true" ht="28.5" hidden="false" customHeight="true" outlineLevel="0" collapsed="false">
      <c r="A47" s="302" t="n">
        <v>6</v>
      </c>
      <c r="B47" s="303" t="s">
        <v>224</v>
      </c>
      <c r="C47" s="303"/>
      <c r="D47" s="303"/>
      <c r="E47" s="303"/>
      <c r="F47" s="303"/>
      <c r="G47" s="304" t="n">
        <v>0</v>
      </c>
      <c r="H47" s="281" t="s">
        <v>225</v>
      </c>
      <c r="I47" s="281"/>
      <c r="J47" s="281"/>
      <c r="K47" s="281"/>
      <c r="L47" s="281"/>
    </row>
    <row r="48" customFormat="false" ht="18.75" hidden="false" customHeight="true" outlineLevel="0" collapsed="false">
      <c r="A48" s="306"/>
      <c r="B48" s="307"/>
      <c r="C48" s="307"/>
      <c r="D48" s="307"/>
      <c r="E48" s="307"/>
      <c r="F48" s="307"/>
    </row>
    <row r="49" s="235" customFormat="true" ht="15" hidden="false" customHeight="false" outlineLevel="0" collapsed="false">
      <c r="A49" s="282" t="s">
        <v>226</v>
      </c>
      <c r="B49" s="282"/>
      <c r="C49" s="282"/>
      <c r="D49" s="282"/>
      <c r="E49" s="282"/>
      <c r="F49" s="282"/>
      <c r="G49" s="282"/>
    </row>
    <row r="50" customFormat="false" ht="15" hidden="false" customHeight="false" outlineLevel="0" collapsed="false">
      <c r="A50" s="293" t="n">
        <v>1</v>
      </c>
      <c r="B50" s="284" t="s">
        <v>227</v>
      </c>
      <c r="C50" s="284"/>
      <c r="D50" s="284"/>
      <c r="E50" s="284"/>
      <c r="F50" s="284"/>
      <c r="G50" s="308" t="n">
        <v>0.03</v>
      </c>
      <c r="H50" s="289" t="s">
        <v>228</v>
      </c>
    </row>
    <row r="51" customFormat="false" ht="15" hidden="false" customHeight="false" outlineLevel="0" collapsed="false">
      <c r="A51" s="293" t="n">
        <v>2</v>
      </c>
      <c r="B51" s="284" t="s">
        <v>229</v>
      </c>
      <c r="C51" s="284"/>
      <c r="D51" s="284"/>
      <c r="E51" s="284"/>
      <c r="F51" s="284"/>
      <c r="G51" s="308" t="n">
        <v>0.0679</v>
      </c>
      <c r="H51" s="289" t="s">
        <v>228</v>
      </c>
    </row>
    <row r="52" customFormat="false" ht="15" hidden="false" customHeight="false" outlineLevel="0" collapsed="false">
      <c r="A52" s="235"/>
      <c r="B52" s="309"/>
      <c r="C52" s="309"/>
      <c r="D52" s="309"/>
      <c r="E52" s="309"/>
      <c r="F52" s="309"/>
      <c r="G52" s="310"/>
      <c r="H52" s="289"/>
    </row>
    <row r="53" customFormat="false" ht="15" hidden="false" customHeight="false" outlineLevel="0" collapsed="false">
      <c r="A53" s="282" t="s">
        <v>230</v>
      </c>
      <c r="B53" s="282"/>
      <c r="C53" s="282"/>
      <c r="D53" s="282"/>
      <c r="E53" s="282"/>
      <c r="F53" s="282"/>
      <c r="G53" s="282"/>
      <c r="H53" s="289"/>
    </row>
    <row r="54" customFormat="false" ht="14.45" hidden="false" customHeight="true" outlineLevel="0" collapsed="false">
      <c r="A54" s="311" t="s">
        <v>231</v>
      </c>
      <c r="B54" s="311" t="str">
        <f aca="false">IF(F57="LUCRO REAL","INFORMAR ALÍQUOTAS MÉDIAS DE RECOLHIMENTO DOS ÚLTIMOS 12 (DOZE) MESES.",IF(F57="LUCRO PRESUMIDO","ALÍQUOTAS FIXAS - PIS: 0,65%; COFINS: 3,00%.",IF(F57="SIMPLES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54" s="311"/>
      <c r="D54" s="311"/>
      <c r="E54" s="311"/>
      <c r="F54" s="311"/>
      <c r="G54" s="311"/>
      <c r="H54" s="289"/>
    </row>
    <row r="55" customFormat="false" ht="15" hidden="false" customHeight="false" outlineLevel="0" collapsed="false">
      <c r="A55" s="311"/>
      <c r="B55" s="311"/>
      <c r="C55" s="311"/>
      <c r="D55" s="311"/>
      <c r="E55" s="311"/>
      <c r="F55" s="311"/>
      <c r="G55" s="311"/>
      <c r="H55" s="289"/>
    </row>
    <row r="56" customFormat="false" ht="15" hidden="false" customHeight="false" outlineLevel="0" collapsed="false">
      <c r="A56" s="311"/>
      <c r="B56" s="311"/>
      <c r="C56" s="311"/>
      <c r="D56" s="311"/>
      <c r="E56" s="311"/>
      <c r="F56" s="311"/>
      <c r="G56" s="311"/>
      <c r="H56" s="289"/>
    </row>
    <row r="57" customFormat="false" ht="15" hidden="false" customHeight="false" outlineLevel="0" collapsed="false">
      <c r="A57" s="312" t="n">
        <v>1</v>
      </c>
      <c r="B57" s="279" t="s">
        <v>232</v>
      </c>
      <c r="C57" s="279"/>
      <c r="D57" s="279"/>
      <c r="E57" s="279"/>
      <c r="F57" s="280" t="s">
        <v>233</v>
      </c>
      <c r="G57" s="280"/>
    </row>
    <row r="58" customFormat="false" ht="15" hidden="false" customHeight="false" outlineLevel="0" collapsed="false">
      <c r="A58" s="312" t="n">
        <v>2</v>
      </c>
      <c r="B58" s="284" t="s">
        <v>234</v>
      </c>
      <c r="C58" s="284"/>
      <c r="D58" s="284"/>
      <c r="E58" s="284"/>
      <c r="F58" s="284"/>
      <c r="G58" s="308" t="n">
        <v>0.076</v>
      </c>
    </row>
    <row r="59" customFormat="false" ht="15" hidden="false" customHeight="false" outlineLevel="0" collapsed="false">
      <c r="A59" s="312" t="n">
        <v>3</v>
      </c>
      <c r="B59" s="284" t="s">
        <v>235</v>
      </c>
      <c r="C59" s="284"/>
      <c r="D59" s="284"/>
      <c r="E59" s="284"/>
      <c r="F59" s="284"/>
      <c r="G59" s="308" t="n">
        <v>0.0165</v>
      </c>
    </row>
    <row r="60" customFormat="false" ht="15" hidden="false" customHeight="false" outlineLevel="0" collapsed="false">
      <c r="A60" s="312" t="n">
        <v>4</v>
      </c>
      <c r="B60" s="284" t="s">
        <v>236</v>
      </c>
      <c r="C60" s="284"/>
      <c r="D60" s="284"/>
      <c r="E60" s="284"/>
      <c r="F60" s="284"/>
      <c r="G60" s="308" t="n">
        <v>0.05</v>
      </c>
    </row>
    <row r="61" customFormat="false" ht="15" hidden="false" customHeight="false" outlineLevel="0" collapsed="false">
      <c r="A61" s="312" t="n">
        <v>5</v>
      </c>
      <c r="B61" s="313" t="s">
        <v>224</v>
      </c>
      <c r="C61" s="313"/>
      <c r="D61" s="313"/>
      <c r="E61" s="313"/>
      <c r="F61" s="313"/>
      <c r="G61" s="308" t="n">
        <v>0</v>
      </c>
    </row>
    <row r="62" customFormat="false" ht="15" hidden="false" customHeight="false" outlineLevel="0" collapsed="false">
      <c r="A62" s="312" t="n">
        <v>6</v>
      </c>
      <c r="B62" s="284" t="s">
        <v>237</v>
      </c>
      <c r="C62" s="284"/>
      <c r="D62" s="284"/>
      <c r="E62" s="284"/>
      <c r="F62" s="284"/>
      <c r="G62" s="285" t="n">
        <f aca="false">SUM(G58:G61)</f>
        <v>0.1425</v>
      </c>
    </row>
    <row r="64" customFormat="false" ht="30" hidden="true" customHeight="true" outlineLevel="0" collapsed="false">
      <c r="A64" s="314" t="s">
        <v>238</v>
      </c>
      <c r="B64" s="314"/>
      <c r="C64" s="314"/>
      <c r="D64" s="314"/>
      <c r="E64" s="314"/>
      <c r="F64" s="314"/>
      <c r="G64" s="314"/>
      <c r="H64" s="314"/>
      <c r="I64" s="314"/>
      <c r="J64" s="314"/>
      <c r="K64" s="315" t="s">
        <v>239</v>
      </c>
      <c r="L64" s="314" t="s">
        <v>240</v>
      </c>
      <c r="M64" s="314" t="s">
        <v>241</v>
      </c>
      <c r="N64" s="314"/>
      <c r="O64" s="314" t="s">
        <v>242</v>
      </c>
      <c r="P64" s="314"/>
      <c r="Q64" s="314" t="s">
        <v>243</v>
      </c>
      <c r="R64" s="314"/>
    </row>
    <row r="65" customFormat="false" ht="15" hidden="true" customHeight="false" outlineLevel="0" collapsed="false">
      <c r="A65" s="316" t="s">
        <v>244</v>
      </c>
      <c r="B65" s="316"/>
      <c r="C65" s="317" t="s">
        <v>245</v>
      </c>
      <c r="D65" s="317"/>
      <c r="E65" s="317"/>
      <c r="F65" s="318" t="n">
        <f aca="false">IPCA!G27</f>
        <v>0</v>
      </c>
      <c r="G65" s="316" t="s">
        <v>246</v>
      </c>
      <c r="H65" s="316"/>
      <c r="I65" s="319"/>
      <c r="J65" s="319"/>
      <c r="K65" s="320" t="s">
        <v>247</v>
      </c>
      <c r="L65" s="320" t="s">
        <v>247</v>
      </c>
      <c r="M65" s="321" t="n">
        <f aca="false">ROUND((100%+F65),2)</f>
        <v>1</v>
      </c>
      <c r="N65" s="321"/>
      <c r="O65" s="322"/>
      <c r="P65" s="322"/>
      <c r="Q65" s="323"/>
      <c r="R65" s="323"/>
    </row>
    <row r="66" customFormat="false" ht="15" hidden="true" customHeight="false" outlineLevel="0" collapsed="false">
      <c r="A66" s="316" t="s">
        <v>248</v>
      </c>
      <c r="B66" s="316"/>
      <c r="C66" s="317" t="s">
        <v>245</v>
      </c>
      <c r="D66" s="317"/>
      <c r="E66" s="317"/>
      <c r="F66" s="318" t="n">
        <f aca="false">IPCA!N27</f>
        <v>0</v>
      </c>
      <c r="G66" s="316" t="s">
        <v>246</v>
      </c>
      <c r="H66" s="316"/>
      <c r="I66" s="319"/>
      <c r="J66" s="319"/>
      <c r="K66" s="320" t="s">
        <v>247</v>
      </c>
      <c r="L66" s="320" t="s">
        <v>247</v>
      </c>
      <c r="M66" s="321" t="n">
        <f aca="false">ROUND((100%+F66),2)</f>
        <v>1</v>
      </c>
      <c r="N66" s="321"/>
      <c r="O66" s="322"/>
      <c r="P66" s="322"/>
      <c r="Q66" s="323"/>
      <c r="R66" s="323"/>
    </row>
    <row r="67" customFormat="false" ht="15" hidden="true" customHeight="false" outlineLevel="0" collapsed="false">
      <c r="A67" s="316" t="s">
        <v>249</v>
      </c>
      <c r="B67" s="316"/>
      <c r="C67" s="317" t="s">
        <v>245</v>
      </c>
      <c r="D67" s="317"/>
      <c r="E67" s="317"/>
      <c r="F67" s="318" t="n">
        <f aca="false">IPCA!U27</f>
        <v>0</v>
      </c>
      <c r="G67" s="316" t="s">
        <v>246</v>
      </c>
      <c r="H67" s="316"/>
      <c r="I67" s="319"/>
      <c r="J67" s="319"/>
      <c r="K67" s="320" t="s">
        <v>247</v>
      </c>
      <c r="L67" s="320" t="s">
        <v>247</v>
      </c>
      <c r="M67" s="321" t="n">
        <f aca="false">ROUND((100%+F67),2)</f>
        <v>1</v>
      </c>
      <c r="N67" s="321"/>
      <c r="O67" s="322"/>
      <c r="P67" s="322"/>
      <c r="Q67" s="323"/>
      <c r="R67" s="323"/>
    </row>
    <row r="68" customFormat="false" ht="15" hidden="true" customHeight="false" outlineLevel="0" collapsed="false">
      <c r="A68" s="316" t="s">
        <v>250</v>
      </c>
      <c r="B68" s="316"/>
      <c r="C68" s="317" t="s">
        <v>245</v>
      </c>
      <c r="D68" s="317"/>
      <c r="E68" s="317"/>
      <c r="F68" s="318" t="n">
        <f aca="false">IPCA!AB27</f>
        <v>0</v>
      </c>
      <c r="G68" s="316" t="s">
        <v>246</v>
      </c>
      <c r="H68" s="316"/>
      <c r="I68" s="319"/>
      <c r="J68" s="319"/>
      <c r="K68" s="320" t="s">
        <v>247</v>
      </c>
      <c r="L68" s="320" t="s">
        <v>247</v>
      </c>
      <c r="M68" s="321" t="n">
        <f aca="false">ROUND((100%+F68),2)</f>
        <v>1</v>
      </c>
      <c r="N68" s="321"/>
      <c r="O68" s="322"/>
      <c r="P68" s="322"/>
      <c r="Q68" s="323"/>
      <c r="R68" s="323"/>
    </row>
    <row r="69" customFormat="false" ht="15" hidden="true" customHeight="false" outlineLevel="0" collapsed="false">
      <c r="A69" s="316" t="s">
        <v>251</v>
      </c>
      <c r="B69" s="316"/>
      <c r="C69" s="317" t="s">
        <v>245</v>
      </c>
      <c r="D69" s="317"/>
      <c r="E69" s="317"/>
      <c r="F69" s="318" t="n">
        <f aca="false">IPCA!AI27</f>
        <v>0</v>
      </c>
      <c r="G69" s="316" t="s">
        <v>246</v>
      </c>
      <c r="H69" s="316"/>
      <c r="I69" s="319"/>
      <c r="J69" s="319"/>
      <c r="K69" s="320" t="s">
        <v>247</v>
      </c>
      <c r="L69" s="320" t="s">
        <v>247</v>
      </c>
      <c r="M69" s="321" t="n">
        <f aca="false">ROUND((100%+F69),2)</f>
        <v>1</v>
      </c>
      <c r="N69" s="321"/>
      <c r="O69" s="322"/>
      <c r="P69" s="322"/>
      <c r="Q69" s="323"/>
      <c r="R69" s="323"/>
    </row>
    <row r="70" customFormat="false" ht="15" hidden="true" customHeight="false" outlineLevel="0" collapsed="false">
      <c r="A70" s="324"/>
      <c r="B70" s="325"/>
      <c r="C70" s="325"/>
      <c r="D70" s="325"/>
      <c r="E70" s="325"/>
      <c r="F70" s="324"/>
      <c r="G70" s="324"/>
      <c r="H70" s="324"/>
      <c r="I70" s="324"/>
      <c r="J70" s="326"/>
    </row>
    <row r="71" customFormat="false" ht="34.5" hidden="true" customHeight="true" outlineLevel="0" collapsed="false">
      <c r="A71" s="314" t="s">
        <v>252</v>
      </c>
      <c r="B71" s="314"/>
      <c r="C71" s="314"/>
      <c r="D71" s="327" t="s">
        <v>253</v>
      </c>
      <c r="E71" s="327"/>
      <c r="F71" s="324"/>
      <c r="G71" s="324"/>
      <c r="H71" s="324"/>
      <c r="I71" s="324"/>
      <c r="J71" s="326"/>
    </row>
    <row r="72" customFormat="false" ht="15" hidden="true" customHeight="false" outlineLevel="0" collapsed="false">
      <c r="A72" s="314"/>
      <c r="B72" s="314"/>
      <c r="C72" s="314"/>
      <c r="D72" s="320" t="s">
        <v>254</v>
      </c>
      <c r="E72" s="320"/>
      <c r="F72" s="324"/>
      <c r="G72" s="324"/>
      <c r="H72" s="324"/>
      <c r="I72" s="324"/>
      <c r="J72" s="326"/>
    </row>
    <row r="73" customFormat="false" ht="28.9" hidden="true" customHeight="true" outlineLevel="0" collapsed="false">
      <c r="A73" s="314" t="s">
        <v>255</v>
      </c>
      <c r="B73" s="314"/>
      <c r="C73" s="314"/>
      <c r="D73" s="327" t="s">
        <v>253</v>
      </c>
      <c r="E73" s="327"/>
      <c r="F73" s="328" t="s">
        <v>256</v>
      </c>
      <c r="G73" s="327" t="s">
        <v>257</v>
      </c>
      <c r="H73" s="327" t="s">
        <v>258</v>
      </c>
      <c r="I73" s="327" t="s">
        <v>259</v>
      </c>
      <c r="J73" s="327" t="s">
        <v>260</v>
      </c>
      <c r="K73" s="327" t="s">
        <v>261</v>
      </c>
      <c r="L73" s="99" t="s">
        <v>262</v>
      </c>
    </row>
    <row r="74" customFormat="false" ht="15" hidden="true" customHeight="false" outlineLevel="0" collapsed="false">
      <c r="A74" s="314"/>
      <c r="B74" s="314"/>
      <c r="C74" s="314"/>
      <c r="D74" s="320" t="s">
        <v>254</v>
      </c>
      <c r="E74" s="320"/>
      <c r="F74" s="329" t="n">
        <v>1.55</v>
      </c>
      <c r="G74" s="330" t="n">
        <f aca="false">ROUND(IF(L65="SIM",F74*M65,F74),2)</f>
        <v>1.55</v>
      </c>
      <c r="H74" s="330" t="n">
        <f aca="false">ROUND(IF(L66="SIM",G74*M66,G74),2)</f>
        <v>1.55</v>
      </c>
      <c r="I74" s="330" t="n">
        <f aca="false">ROUND(IF(L67="SIM",H74*M67,H74),2)</f>
        <v>1.55</v>
      </c>
      <c r="J74" s="330" t="n">
        <f aca="false">ROUND(IF(L68="SIM",I74*M68,I74),2)</f>
        <v>1.55</v>
      </c>
      <c r="K74" s="330" t="n">
        <f aca="false">ROUND(IF(L69="SIM",J74*M69,J74),2)</f>
        <v>1.55</v>
      </c>
      <c r="L74" s="99" t="n">
        <f aca="false">IF(D74="INICIAL",F74,IF(D74="1º IPCA",G74,IF(D74="2º IPCA",H74,IF(D74="3º IPCA",I74,IF(D74="4º IPCA",J74,IF(D74="5º IPCA",K74,))))))</f>
        <v>1.55</v>
      </c>
    </row>
    <row r="75" customFormat="false" ht="15" hidden="true" customHeight="false" outlineLevel="0" collapsed="false">
      <c r="A75" s="324"/>
      <c r="B75" s="324"/>
      <c r="C75" s="324"/>
      <c r="D75" s="324"/>
      <c r="E75" s="325"/>
      <c r="F75" s="324"/>
      <c r="G75" s="324"/>
      <c r="H75" s="324"/>
      <c r="I75" s="324"/>
      <c r="J75" s="326"/>
    </row>
    <row r="76" customFormat="false" ht="15.75" hidden="true" customHeight="true" outlineLevel="0" collapsed="false">
      <c r="A76" s="331" t="s">
        <v>263</v>
      </c>
      <c r="B76" s="331"/>
      <c r="C76" s="331"/>
      <c r="D76" s="331"/>
      <c r="E76" s="331"/>
      <c r="F76" s="331"/>
      <c r="G76" s="331"/>
      <c r="H76" s="331"/>
      <c r="I76" s="324"/>
      <c r="J76" s="326"/>
    </row>
    <row r="77" customFormat="false" ht="15" hidden="true" customHeight="false" outlineLevel="0" collapsed="false">
      <c r="A77" s="332" t="s">
        <v>264</v>
      </c>
      <c r="B77" s="332"/>
      <c r="C77" s="332"/>
      <c r="D77" s="332"/>
      <c r="E77" s="332"/>
      <c r="F77" s="333" t="s">
        <v>265</v>
      </c>
      <c r="G77" s="334"/>
      <c r="H77" s="335"/>
      <c r="I77" s="324"/>
      <c r="J77" s="326"/>
    </row>
    <row r="78" customFormat="false" ht="42.75" hidden="true" customHeight="true" outlineLevel="0" collapsed="false">
      <c r="A78" s="336" t="s">
        <v>266</v>
      </c>
      <c r="B78" s="336"/>
      <c r="C78" s="336"/>
      <c r="D78" s="336"/>
      <c r="E78" s="336"/>
      <c r="F78" s="336"/>
      <c r="G78" s="336"/>
      <c r="H78" s="336"/>
      <c r="I78" s="324"/>
      <c r="J78" s="326"/>
    </row>
    <row r="79" customFormat="false" ht="15" hidden="true" customHeight="false" outlineLevel="0" collapsed="false">
      <c r="A79" s="332" t="s">
        <v>267</v>
      </c>
      <c r="B79" s="332"/>
      <c r="C79" s="332"/>
      <c r="D79" s="332"/>
      <c r="E79" s="332"/>
      <c r="F79" s="333" t="s">
        <v>265</v>
      </c>
      <c r="G79" s="334"/>
      <c r="H79" s="335"/>
      <c r="I79" s="324"/>
      <c r="J79" s="326"/>
    </row>
    <row r="80" customFormat="false" ht="42.75" hidden="true" customHeight="true" outlineLevel="0" collapsed="false">
      <c r="A80" s="336" t="s">
        <v>268</v>
      </c>
      <c r="B80" s="336"/>
      <c r="C80" s="336"/>
      <c r="D80" s="336"/>
      <c r="E80" s="336"/>
      <c r="F80" s="336"/>
      <c r="G80" s="336"/>
      <c r="H80" s="336"/>
      <c r="I80" s="324"/>
      <c r="J80" s="326"/>
    </row>
    <row r="81" customFormat="false" ht="15" hidden="true" customHeight="false" outlineLevel="0" collapsed="false">
      <c r="A81" s="332" t="s">
        <v>269</v>
      </c>
      <c r="B81" s="332"/>
      <c r="C81" s="332"/>
      <c r="D81" s="332"/>
      <c r="E81" s="332"/>
      <c r="F81" s="333" t="s">
        <v>265</v>
      </c>
      <c r="G81" s="334"/>
      <c r="H81" s="335"/>
      <c r="I81" s="324"/>
      <c r="J81" s="326"/>
    </row>
    <row r="82" customFormat="false" ht="42.75" hidden="true" customHeight="true" outlineLevel="0" collapsed="false">
      <c r="A82" s="336" t="s">
        <v>270</v>
      </c>
      <c r="B82" s="336"/>
      <c r="C82" s="336"/>
      <c r="D82" s="336"/>
      <c r="E82" s="336"/>
      <c r="F82" s="336"/>
      <c r="G82" s="336"/>
      <c r="H82" s="336"/>
      <c r="I82" s="324"/>
      <c r="J82" s="326"/>
    </row>
    <row r="83" customFormat="false" ht="15" hidden="true" customHeight="false" outlineLevel="0" collapsed="false">
      <c r="A83" s="332" t="s">
        <v>271</v>
      </c>
      <c r="B83" s="332"/>
      <c r="C83" s="332"/>
      <c r="D83" s="332"/>
      <c r="E83" s="332"/>
      <c r="F83" s="333" t="s">
        <v>265</v>
      </c>
      <c r="G83" s="334"/>
      <c r="H83" s="337"/>
      <c r="I83" s="324"/>
      <c r="J83" s="326"/>
    </row>
    <row r="84" customFormat="false" ht="42.75" hidden="true" customHeight="true" outlineLevel="0" collapsed="false">
      <c r="A84" s="338" t="s">
        <v>272</v>
      </c>
      <c r="B84" s="339"/>
      <c r="C84" s="339"/>
      <c r="D84" s="339"/>
      <c r="E84" s="339"/>
      <c r="F84" s="339"/>
      <c r="G84" s="339"/>
      <c r="H84" s="339"/>
      <c r="I84" s="324"/>
      <c r="J84" s="326"/>
    </row>
  </sheetData>
  <sheetProtection sheet="true" objects="true" scenarios="true"/>
  <mergeCells count="99">
    <mergeCell ref="A4:I4"/>
    <mergeCell ref="A5:I5"/>
    <mergeCell ref="A6:D6"/>
    <mergeCell ref="E6:I6"/>
    <mergeCell ref="A8:A18"/>
    <mergeCell ref="J8:L18"/>
    <mergeCell ref="A20:G20"/>
    <mergeCell ref="B21:D21"/>
    <mergeCell ref="E21:G21"/>
    <mergeCell ref="H21:L21"/>
    <mergeCell ref="B22:D22"/>
    <mergeCell ref="E22:G22"/>
    <mergeCell ref="H22:L22"/>
    <mergeCell ref="B23:D23"/>
    <mergeCell ref="E23:G23"/>
    <mergeCell ref="H23:L23"/>
    <mergeCell ref="B24:D24"/>
    <mergeCell ref="E24:G24"/>
    <mergeCell ref="H24:L24"/>
    <mergeCell ref="B25:D25"/>
    <mergeCell ref="E25:G25"/>
    <mergeCell ref="H25:L25"/>
    <mergeCell ref="A27:G27"/>
    <mergeCell ref="B28:F28"/>
    <mergeCell ref="B30:F30"/>
    <mergeCell ref="B31:F31"/>
    <mergeCell ref="B32:F32"/>
    <mergeCell ref="A34:G34"/>
    <mergeCell ref="B35:F35"/>
    <mergeCell ref="B36:F36"/>
    <mergeCell ref="A37:A39"/>
    <mergeCell ref="B37:B39"/>
    <mergeCell ref="C37:F37"/>
    <mergeCell ref="C38:F38"/>
    <mergeCell ref="C39:F39"/>
    <mergeCell ref="A40:A45"/>
    <mergeCell ref="B40:B45"/>
    <mergeCell ref="C40:F40"/>
    <mergeCell ref="C41:F41"/>
    <mergeCell ref="C42:F42"/>
    <mergeCell ref="C43:F43"/>
    <mergeCell ref="C44:F44"/>
    <mergeCell ref="C45:F45"/>
    <mergeCell ref="B46:F46"/>
    <mergeCell ref="H46:L46"/>
    <mergeCell ref="B47:F47"/>
    <mergeCell ref="H47:L47"/>
    <mergeCell ref="A49:G49"/>
    <mergeCell ref="B50:F50"/>
    <mergeCell ref="B51:F51"/>
    <mergeCell ref="A53:G53"/>
    <mergeCell ref="A54:A56"/>
    <mergeCell ref="B54:G56"/>
    <mergeCell ref="B57:E57"/>
    <mergeCell ref="F57:G57"/>
    <mergeCell ref="B58:F58"/>
    <mergeCell ref="B59:F59"/>
    <mergeCell ref="B60:F60"/>
    <mergeCell ref="B61:F61"/>
    <mergeCell ref="B62:F62"/>
    <mergeCell ref="A64:J64"/>
    <mergeCell ref="M64:N64"/>
    <mergeCell ref="O64:P64"/>
    <mergeCell ref="Q64:R64"/>
    <mergeCell ref="C65:E65"/>
    <mergeCell ref="M65:N65"/>
    <mergeCell ref="O65:P65"/>
    <mergeCell ref="Q65:R65"/>
    <mergeCell ref="C66:E66"/>
    <mergeCell ref="M66:N66"/>
    <mergeCell ref="O66:P66"/>
    <mergeCell ref="Q66:R66"/>
    <mergeCell ref="C67:E67"/>
    <mergeCell ref="M67:N67"/>
    <mergeCell ref="O67:P67"/>
    <mergeCell ref="Q67:R67"/>
    <mergeCell ref="C68:E68"/>
    <mergeCell ref="M68:N68"/>
    <mergeCell ref="O68:P68"/>
    <mergeCell ref="Q68:R68"/>
    <mergeCell ref="C69:E69"/>
    <mergeCell ref="M69:N69"/>
    <mergeCell ref="O69:P69"/>
    <mergeCell ref="Q69:R69"/>
    <mergeCell ref="A71:C72"/>
    <mergeCell ref="D71:E71"/>
    <mergeCell ref="D72:E72"/>
    <mergeCell ref="A73:C74"/>
    <mergeCell ref="D73:E73"/>
    <mergeCell ref="D74:E74"/>
    <mergeCell ref="A76:H76"/>
    <mergeCell ref="A77:E77"/>
    <mergeCell ref="A78:H78"/>
    <mergeCell ref="A79:E79"/>
    <mergeCell ref="A80:H80"/>
    <mergeCell ref="A81:E81"/>
    <mergeCell ref="A82:H82"/>
    <mergeCell ref="A83:E83"/>
    <mergeCell ref="B84:H84"/>
  </mergeCells>
  <dataValidations count="3">
    <dataValidation allowBlank="true" operator="between" showDropDown="false" showErrorMessage="true" showInputMessage="true" sqref="F57" type="list">
      <formula1>"LUCRO REAL,LUCRO PRESUMIDO,SIMPLES NACIONAL,OUTRO"</formula1>
      <formula2>0</formula2>
    </dataValidation>
    <dataValidation allowBlank="true" operator="between" showDropDown="false" showErrorMessage="true" showInputMessage="true" sqref="D72 D74" type="list">
      <formula1>"INICIAL,1º IPCA,2º IPCA,3º IPCA,4º IPCA,5º IPCA"</formula1>
      <formula2>0</formula2>
    </dataValidation>
    <dataValidation allowBlank="true" operator="between" showDropDown="false" showErrorMessage="true" showInputMessage="true" sqref="K65:L69" type="list">
      <formula1>"SIM,NÃO"</formula1>
      <formula2>0</formula2>
    </dataValidation>
  </dataValidations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&amp;C&amp;12&amp;A</oddHeader>
    <oddFooter>&amp;C&amp;12Página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8"/>
  <sheetViews>
    <sheetView showFormulas="false" showGridLines="true" showRowColHeaders="true" showZeros="true" rightToLeft="false" tabSelected="false" showOutlineSymbols="true" defaultGridColor="true" view="pageBreakPreview" topLeftCell="A29" colorId="64" zoomScale="100" zoomScaleNormal="100" zoomScalePageLayoutView="100" workbookViewId="0">
      <selection pane="topLeft" activeCell="C41" activeCellId="0" sqref="C41"/>
    </sheetView>
  </sheetViews>
  <sheetFormatPr defaultRowHeight="12.75" zeroHeight="false" outlineLevelRow="0" outlineLevelCol="0"/>
  <cols>
    <col collapsed="false" customWidth="true" hidden="false" outlineLevel="0" max="1" min="1" style="101" width="18.83"/>
    <col collapsed="false" customWidth="true" hidden="false" outlineLevel="0" max="2" min="2" style="101" width="54.83"/>
    <col collapsed="false" customWidth="true" hidden="false" outlineLevel="0" max="3" min="3" style="101" width="34.83"/>
    <col collapsed="false" customWidth="true" hidden="false" outlineLevel="0" max="4" min="4" style="101" width="9.33"/>
    <col collapsed="false" customWidth="true" hidden="false" outlineLevel="0" max="5" min="5" style="101" width="48.49"/>
    <col collapsed="false" customWidth="true" hidden="false" outlineLevel="0" max="8" min="6" style="101" width="12.5"/>
    <col collapsed="false" customWidth="true" hidden="false" outlineLevel="0" max="257" min="9" style="101" width="9.33"/>
    <col collapsed="false" customWidth="true" hidden="false" outlineLevel="0" max="1025" min="258" style="0" width="9.16"/>
  </cols>
  <sheetData>
    <row r="1" customFormat="false" ht="16.5" hidden="false" customHeight="true" outlineLevel="0" collapsed="false">
      <c r="A1" s="340"/>
      <c r="B1" s="341" t="s">
        <v>0</v>
      </c>
      <c r="C1" s="342"/>
    </row>
    <row r="2" customFormat="false" ht="16.5" hidden="false" customHeight="true" outlineLevel="0" collapsed="false">
      <c r="A2" s="343"/>
      <c r="B2" s="344" t="s">
        <v>1</v>
      </c>
      <c r="C2" s="345"/>
    </row>
    <row r="3" customFormat="false" ht="16.5" hidden="false" customHeight="true" outlineLevel="0" collapsed="false">
      <c r="A3" s="343"/>
      <c r="B3" s="344" t="s">
        <v>2</v>
      </c>
      <c r="C3" s="345"/>
    </row>
    <row r="4" customFormat="false" ht="30" hidden="false" customHeight="true" outlineLevel="0" collapsed="false">
      <c r="A4" s="346"/>
      <c r="B4" s="346"/>
      <c r="C4" s="346"/>
    </row>
    <row r="5" customFormat="false" ht="16.5" hidden="false" customHeight="true" outlineLevel="0" collapsed="false">
      <c r="A5" s="347" t="s">
        <v>273</v>
      </c>
      <c r="B5" s="347"/>
      <c r="C5" s="347"/>
    </row>
    <row r="6" customFormat="false" ht="16.5" hidden="false" customHeight="true" outlineLevel="0" collapsed="false">
      <c r="A6" s="348" t="s">
        <v>274</v>
      </c>
      <c r="B6" s="349" t="s">
        <v>275</v>
      </c>
      <c r="C6" s="350" t="s">
        <v>276</v>
      </c>
    </row>
    <row r="7" customFormat="false" ht="16.5" hidden="false" customHeight="true" outlineLevel="0" collapsed="false">
      <c r="A7" s="351" t="s">
        <v>277</v>
      </c>
      <c r="B7" s="352" t="s">
        <v>278</v>
      </c>
      <c r="C7" s="352"/>
    </row>
    <row r="8" customFormat="false" ht="16.5" hidden="false" customHeight="true" outlineLevel="0" collapsed="false">
      <c r="A8" s="353" t="n">
        <v>1</v>
      </c>
      <c r="B8" s="354" t="s">
        <v>279</v>
      </c>
      <c r="C8" s="355" t="n">
        <v>0.2</v>
      </c>
    </row>
    <row r="9" customFormat="false" ht="16.5" hidden="false" customHeight="true" outlineLevel="0" collapsed="false">
      <c r="A9" s="353" t="n">
        <v>2</v>
      </c>
      <c r="B9" s="354" t="s">
        <v>280</v>
      </c>
      <c r="C9" s="355" t="n">
        <v>0.015</v>
      </c>
    </row>
    <row r="10" customFormat="false" ht="16.5" hidden="false" customHeight="true" outlineLevel="0" collapsed="false">
      <c r="A10" s="353" t="n">
        <v>3</v>
      </c>
      <c r="B10" s="354" t="s">
        <v>281</v>
      </c>
      <c r="C10" s="355" t="n">
        <v>0.01</v>
      </c>
    </row>
    <row r="11" customFormat="false" ht="16.5" hidden="false" customHeight="true" outlineLevel="0" collapsed="false">
      <c r="A11" s="353" t="n">
        <v>4</v>
      </c>
      <c r="B11" s="354" t="s">
        <v>282</v>
      </c>
      <c r="C11" s="355" t="n">
        <v>0.002</v>
      </c>
    </row>
    <row r="12" customFormat="false" ht="16.5" hidden="false" customHeight="true" outlineLevel="0" collapsed="false">
      <c r="A12" s="353" t="n">
        <v>5</v>
      </c>
      <c r="B12" s="354" t="s">
        <v>283</v>
      </c>
      <c r="C12" s="355" t="n">
        <v>0.025</v>
      </c>
    </row>
    <row r="13" customFormat="false" ht="16.5" hidden="false" customHeight="true" outlineLevel="0" collapsed="false">
      <c r="A13" s="353" t="n">
        <v>6</v>
      </c>
      <c r="B13" s="354" t="s">
        <v>284</v>
      </c>
      <c r="C13" s="355" t="n">
        <v>0.08</v>
      </c>
    </row>
    <row r="14" customFormat="false" ht="16.5" hidden="false" customHeight="true" outlineLevel="0" collapsed="false">
      <c r="A14" s="353" t="n">
        <v>7</v>
      </c>
      <c r="B14" s="354" t="s">
        <v>285</v>
      </c>
      <c r="C14" s="356" t="n">
        <f aca="false">Dados!$G$30</f>
        <v>0.06</v>
      </c>
      <c r="D14" s="357"/>
      <c r="E14" s="358"/>
      <c r="F14" s="358"/>
    </row>
    <row r="15" customFormat="false" ht="16.5" hidden="false" customHeight="true" outlineLevel="0" collapsed="false">
      <c r="A15" s="353" t="n">
        <v>8</v>
      </c>
      <c r="B15" s="354" t="s">
        <v>286</v>
      </c>
      <c r="C15" s="355" t="n">
        <v>0.006</v>
      </c>
    </row>
    <row r="16" customFormat="false" ht="16.5" hidden="false" customHeight="true" outlineLevel="0" collapsed="false">
      <c r="A16" s="359" t="s">
        <v>287</v>
      </c>
      <c r="B16" s="359"/>
      <c r="C16" s="360" t="n">
        <f aca="false">SUM(C8:C15)</f>
        <v>0.398</v>
      </c>
    </row>
    <row r="17" customFormat="false" ht="16.5" hidden="false" customHeight="true" outlineLevel="0" collapsed="false">
      <c r="A17" s="361" t="s">
        <v>288</v>
      </c>
      <c r="B17" s="361"/>
      <c r="C17" s="361"/>
    </row>
    <row r="18" customFormat="false" ht="16.5" hidden="false" customHeight="true" outlineLevel="0" collapsed="false">
      <c r="A18" s="351" t="s">
        <v>289</v>
      </c>
      <c r="B18" s="362" t="s">
        <v>290</v>
      </c>
      <c r="C18" s="363"/>
    </row>
    <row r="19" customFormat="false" ht="16.5" hidden="false" customHeight="true" outlineLevel="0" collapsed="false">
      <c r="A19" s="364" t="n">
        <v>9</v>
      </c>
      <c r="B19" s="354" t="s">
        <v>291</v>
      </c>
      <c r="C19" s="365" t="n">
        <f aca="false">ROUND((100%/11),4)</f>
        <v>0.0909</v>
      </c>
    </row>
    <row r="20" customFormat="false" ht="16.5" hidden="false" customHeight="true" outlineLevel="0" collapsed="false">
      <c r="A20" s="364" t="n">
        <v>10</v>
      </c>
      <c r="B20" s="354" t="s">
        <v>292</v>
      </c>
      <c r="C20" s="365" t="n">
        <f aca="false">ROUND((C19/3),4)</f>
        <v>0.0303</v>
      </c>
    </row>
    <row r="21" customFormat="false" ht="16.5" hidden="false" customHeight="true" outlineLevel="0" collapsed="false">
      <c r="A21" s="366" t="s">
        <v>293</v>
      </c>
      <c r="B21" s="366"/>
      <c r="C21" s="367" t="n">
        <f aca="false">SUM(C19:C20)</f>
        <v>0.1212</v>
      </c>
    </row>
    <row r="22" customFormat="false" ht="16.5" hidden="false" customHeight="true" outlineLevel="0" collapsed="false">
      <c r="A22" s="368" t="s">
        <v>294</v>
      </c>
      <c r="B22" s="368"/>
      <c r="C22" s="365" t="n">
        <f aca="false">(C16*C21)</f>
        <v>0.0482376</v>
      </c>
    </row>
    <row r="23" customFormat="false" ht="16.5" hidden="false" customHeight="true" outlineLevel="0" collapsed="false">
      <c r="A23" s="366" t="s">
        <v>295</v>
      </c>
      <c r="B23" s="366"/>
      <c r="C23" s="369" t="n">
        <f aca="false">SUM(C21:C22)</f>
        <v>0.1694376</v>
      </c>
    </row>
    <row r="24" customFormat="false" ht="16.5" hidden="false" customHeight="true" outlineLevel="0" collapsed="false">
      <c r="A24" s="351" t="s">
        <v>296</v>
      </c>
      <c r="B24" s="352" t="s">
        <v>297</v>
      </c>
      <c r="C24" s="352"/>
    </row>
    <row r="25" customFormat="false" ht="16.5" hidden="false" customHeight="true" outlineLevel="0" collapsed="false">
      <c r="A25" s="364" t="n">
        <v>11</v>
      </c>
      <c r="B25" s="370" t="s">
        <v>298</v>
      </c>
      <c r="C25" s="355" t="n">
        <f aca="false">ROUND((0.0144*0.1*0.4509*6/12),4)</f>
        <v>0.0003</v>
      </c>
    </row>
    <row r="26" customFormat="false" ht="16.5" hidden="false" customHeight="true" outlineLevel="0" collapsed="false">
      <c r="A26" s="368" t="s">
        <v>299</v>
      </c>
      <c r="B26" s="368"/>
      <c r="C26" s="371" t="n">
        <f aca="false">C16*C25</f>
        <v>0.0001194</v>
      </c>
    </row>
    <row r="27" customFormat="false" ht="16.5" hidden="false" customHeight="true" outlineLevel="0" collapsed="false">
      <c r="A27" s="366" t="s">
        <v>300</v>
      </c>
      <c r="B27" s="366"/>
      <c r="C27" s="372" t="n">
        <f aca="false">SUM(C25:C26)</f>
        <v>0.0004194</v>
      </c>
    </row>
    <row r="28" customFormat="false" ht="16.5" hidden="false" customHeight="true" outlineLevel="0" collapsed="false">
      <c r="A28" s="351" t="s">
        <v>301</v>
      </c>
      <c r="B28" s="352" t="s">
        <v>302</v>
      </c>
      <c r="C28" s="352"/>
    </row>
    <row r="29" customFormat="false" ht="16.5" hidden="false" customHeight="true" outlineLevel="0" collapsed="false">
      <c r="A29" s="364" t="n">
        <v>12</v>
      </c>
      <c r="B29" s="370" t="s">
        <v>303</v>
      </c>
      <c r="C29" s="355" t="n">
        <f aca="false">ROUND((100%/12)*5%,4)</f>
        <v>0.0042</v>
      </c>
    </row>
    <row r="30" customFormat="false" ht="16.5" hidden="false" customHeight="true" outlineLevel="0" collapsed="false">
      <c r="A30" s="373" t="s">
        <v>304</v>
      </c>
      <c r="B30" s="373"/>
      <c r="C30" s="365" t="n">
        <f aca="false">C13*C29</f>
        <v>0.000336</v>
      </c>
    </row>
    <row r="31" customFormat="false" ht="16.5" hidden="false" customHeight="true" outlineLevel="0" collapsed="false">
      <c r="A31" s="364" t="n">
        <v>13</v>
      </c>
      <c r="B31" s="354" t="s">
        <v>305</v>
      </c>
      <c r="C31" s="374" t="n">
        <f aca="false">ROUND((0.08*0.4*0.9*(1+1/11+1/11+(1/3*1/11))),5)</f>
        <v>0.03491</v>
      </c>
    </row>
    <row r="32" customFormat="false" ht="16.5" hidden="false" customHeight="true" outlineLevel="0" collapsed="false">
      <c r="A32" s="364" t="n">
        <v>14</v>
      </c>
      <c r="B32" s="370" t="s">
        <v>306</v>
      </c>
      <c r="C32" s="355" t="n">
        <f aca="false">ROUND((100%/30)*7/12,4)</f>
        <v>0.0194</v>
      </c>
      <c r="E32" s="375"/>
    </row>
    <row r="33" customFormat="false" ht="16.5" hidden="false" customHeight="true" outlineLevel="0" collapsed="false">
      <c r="A33" s="373" t="s">
        <v>307</v>
      </c>
      <c r="B33" s="373"/>
      <c r="C33" s="365" t="n">
        <f aca="false">ROUND((C32*C16),4)</f>
        <v>0.0077</v>
      </c>
    </row>
    <row r="34" customFormat="false" ht="16.5" hidden="false" customHeight="true" outlineLevel="0" collapsed="false">
      <c r="A34" s="364" t="n">
        <v>15</v>
      </c>
      <c r="B34" s="370" t="s">
        <v>308</v>
      </c>
      <c r="C34" s="365" t="n">
        <f aca="false">(0.4*C13/100)</f>
        <v>0.00032</v>
      </c>
    </row>
    <row r="35" customFormat="false" ht="16.5" hidden="false" customHeight="true" outlineLevel="0" collapsed="false">
      <c r="A35" s="376" t="s">
        <v>309</v>
      </c>
      <c r="B35" s="376"/>
      <c r="C35" s="367" t="n">
        <f aca="false">SUM(C29:C34)</f>
        <v>0.066866</v>
      </c>
    </row>
    <row r="36" customFormat="false" ht="16.5" hidden="false" customHeight="true" outlineLevel="0" collapsed="false">
      <c r="A36" s="351" t="s">
        <v>310</v>
      </c>
      <c r="B36" s="352" t="s">
        <v>311</v>
      </c>
      <c r="C36" s="352"/>
    </row>
    <row r="37" customFormat="false" ht="16.5" hidden="false" customHeight="true" outlineLevel="0" collapsed="false">
      <c r="A37" s="364" t="n">
        <v>16</v>
      </c>
      <c r="B37" s="370" t="s">
        <v>312</v>
      </c>
      <c r="C37" s="365" t="n">
        <f aca="false">ROUND((100%/11),4)</f>
        <v>0.0909</v>
      </c>
    </row>
    <row r="38" customFormat="false" ht="16.5" hidden="false" customHeight="true" outlineLevel="0" collapsed="false">
      <c r="A38" s="364" t="n">
        <v>17</v>
      </c>
      <c r="B38" s="370" t="s">
        <v>313</v>
      </c>
      <c r="C38" s="355" t="n">
        <f aca="false">ROUND((5.96/30/12),4)</f>
        <v>0.0166</v>
      </c>
    </row>
    <row r="39" customFormat="false" ht="16.5" hidden="false" customHeight="true" outlineLevel="0" collapsed="false">
      <c r="A39" s="364" t="n">
        <v>18</v>
      </c>
      <c r="B39" s="370" t="s">
        <v>314</v>
      </c>
      <c r="C39" s="355" t="n">
        <f aca="false">ROUND((5/30/12)*0.022,4)</f>
        <v>0.0003</v>
      </c>
    </row>
    <row r="40" customFormat="false" ht="16.5" hidden="false" customHeight="true" outlineLevel="0" collapsed="false">
      <c r="A40" s="364" t="n">
        <v>19</v>
      </c>
      <c r="B40" s="370" t="s">
        <v>315</v>
      </c>
      <c r="C40" s="355" t="n">
        <f aca="false">ROUND((1/30/12),4)</f>
        <v>0.0028</v>
      </c>
      <c r="D40" s="377"/>
    </row>
    <row r="41" customFormat="false" ht="16.5" hidden="false" customHeight="true" outlineLevel="0" collapsed="false">
      <c r="A41" s="364" t="n">
        <v>20</v>
      </c>
      <c r="B41" s="370" t="s">
        <v>316</v>
      </c>
      <c r="C41" s="355" t="n">
        <f aca="false">ROUND((15/30/12*0.0078),4)</f>
        <v>0.0003</v>
      </c>
    </row>
    <row r="42" customFormat="false" ht="16.5" hidden="false" customHeight="true" outlineLevel="0" collapsed="false">
      <c r="A42" s="376" t="s">
        <v>293</v>
      </c>
      <c r="B42" s="376"/>
      <c r="C42" s="369" t="n">
        <f aca="false">SUM(C37:C41)</f>
        <v>0.1109</v>
      </c>
    </row>
    <row r="43" customFormat="false" ht="16.5" hidden="false" customHeight="true" outlineLevel="0" collapsed="false">
      <c r="A43" s="373" t="s">
        <v>317</v>
      </c>
      <c r="B43" s="373"/>
      <c r="C43" s="365" t="n">
        <f aca="false">C16*C42</f>
        <v>0.0441382</v>
      </c>
      <c r="E43" s="378" t="s">
        <v>318</v>
      </c>
      <c r="F43" s="378"/>
      <c r="G43" s="378"/>
      <c r="H43" s="378"/>
    </row>
    <row r="44" customFormat="false" ht="16.5" hidden="false" customHeight="true" outlineLevel="0" collapsed="false">
      <c r="A44" s="376" t="s">
        <v>319</v>
      </c>
      <c r="B44" s="376"/>
      <c r="C44" s="369" t="n">
        <f aca="false">SUM(C42:C43)</f>
        <v>0.1550382</v>
      </c>
      <c r="E44" s="378"/>
      <c r="F44" s="378"/>
      <c r="G44" s="378"/>
      <c r="H44" s="378"/>
    </row>
    <row r="45" customFormat="false" ht="16.5" hidden="false" customHeight="true" outlineLevel="0" collapsed="false">
      <c r="A45" s="379" t="s">
        <v>320</v>
      </c>
      <c r="B45" s="380" t="s">
        <v>321</v>
      </c>
      <c r="C45" s="369"/>
      <c r="E45" s="381" t="s">
        <v>322</v>
      </c>
      <c r="F45" s="381" t="s">
        <v>323</v>
      </c>
      <c r="G45" s="381"/>
      <c r="H45" s="381"/>
    </row>
    <row r="46" customFormat="false" ht="16.5" hidden="false" customHeight="true" outlineLevel="0" collapsed="false">
      <c r="A46" s="364" t="n">
        <v>21</v>
      </c>
      <c r="B46" s="370" t="s">
        <v>324</v>
      </c>
      <c r="C46" s="355" t="n">
        <v>0.0008</v>
      </c>
      <c r="E46" s="381"/>
      <c r="F46" s="381" t="s">
        <v>325</v>
      </c>
      <c r="G46" s="381"/>
      <c r="H46" s="381"/>
    </row>
    <row r="47" customFormat="false" ht="16.5" hidden="false" customHeight="true" outlineLevel="0" collapsed="false">
      <c r="A47" s="376" t="s">
        <v>326</v>
      </c>
      <c r="B47" s="376"/>
      <c r="C47" s="369" t="n">
        <f aca="false">SUM(C46)</f>
        <v>0.0008</v>
      </c>
      <c r="E47" s="382" t="s">
        <v>327</v>
      </c>
      <c r="F47" s="378" t="s">
        <v>328</v>
      </c>
      <c r="G47" s="378" t="s">
        <v>329</v>
      </c>
      <c r="H47" s="383" t="s">
        <v>330</v>
      </c>
    </row>
    <row r="48" customFormat="false" ht="16.5" hidden="false" customHeight="true" outlineLevel="0" collapsed="false">
      <c r="A48" s="361" t="s">
        <v>331</v>
      </c>
      <c r="B48" s="361"/>
      <c r="C48" s="361"/>
      <c r="E48" s="382" t="s">
        <v>332</v>
      </c>
      <c r="F48" s="384" t="n">
        <v>0.343</v>
      </c>
      <c r="G48" s="384" t="n">
        <v>0.398</v>
      </c>
      <c r="H48" s="385" t="n">
        <f aca="false">C16</f>
        <v>0.398</v>
      </c>
    </row>
    <row r="49" customFormat="false" ht="16.5" hidden="false" customHeight="true" outlineLevel="0" collapsed="false">
      <c r="A49" s="373" t="s">
        <v>278</v>
      </c>
      <c r="B49" s="373"/>
      <c r="C49" s="386" t="n">
        <f aca="false">ROUND(C16,4)</f>
        <v>0.398</v>
      </c>
      <c r="E49" s="382" t="s">
        <v>333</v>
      </c>
      <c r="F49" s="384" t="n">
        <v>0.005</v>
      </c>
      <c r="G49" s="384" t="n">
        <v>0.06</v>
      </c>
      <c r="H49" s="385" t="n">
        <f aca="false">C15</f>
        <v>0.006</v>
      </c>
    </row>
    <row r="50" customFormat="false" ht="16.5" hidden="false" customHeight="true" outlineLevel="0" collapsed="false">
      <c r="A50" s="373" t="s">
        <v>334</v>
      </c>
      <c r="B50" s="373"/>
      <c r="C50" s="386" t="n">
        <f aca="false">ROUND(C23,4)</f>
        <v>0.1694</v>
      </c>
      <c r="E50" s="387" t="s">
        <v>335</v>
      </c>
      <c r="F50" s="388" t="n">
        <f aca="false">C19</f>
        <v>0.0909</v>
      </c>
      <c r="G50" s="388" t="n">
        <f aca="false">F50</f>
        <v>0.0909</v>
      </c>
      <c r="H50" s="388" t="n">
        <f aca="false">G50</f>
        <v>0.0909</v>
      </c>
    </row>
    <row r="51" customFormat="false" ht="16.5" hidden="false" customHeight="true" outlineLevel="0" collapsed="false">
      <c r="A51" s="373" t="s">
        <v>297</v>
      </c>
      <c r="B51" s="373"/>
      <c r="C51" s="386" t="n">
        <f aca="false">ROUND(C27,4)</f>
        <v>0.0004</v>
      </c>
      <c r="E51" s="387" t="s">
        <v>336</v>
      </c>
      <c r="F51" s="388" t="n">
        <f aca="false">C37</f>
        <v>0.0909</v>
      </c>
      <c r="G51" s="388" t="n">
        <f aca="false">F51</f>
        <v>0.0909</v>
      </c>
      <c r="H51" s="388" t="n">
        <f aca="false">G51</f>
        <v>0.0909</v>
      </c>
    </row>
    <row r="52" customFormat="false" ht="16.5" hidden="false" customHeight="true" outlineLevel="0" collapsed="false">
      <c r="A52" s="373" t="s">
        <v>337</v>
      </c>
      <c r="B52" s="373"/>
      <c r="C52" s="386" t="n">
        <f aca="false">ROUND(C35,4)</f>
        <v>0.0669</v>
      </c>
      <c r="E52" s="387" t="s">
        <v>338</v>
      </c>
      <c r="F52" s="388" t="n">
        <f aca="false">C20</f>
        <v>0.0303</v>
      </c>
      <c r="G52" s="388" t="n">
        <f aca="false">F52</f>
        <v>0.0303</v>
      </c>
      <c r="H52" s="388" t="n">
        <f aca="false">G52</f>
        <v>0.0303</v>
      </c>
    </row>
    <row r="53" customFormat="false" ht="16.5" hidden="false" customHeight="true" outlineLevel="0" collapsed="false">
      <c r="A53" s="373" t="s">
        <v>339</v>
      </c>
      <c r="B53" s="373"/>
      <c r="C53" s="386" t="n">
        <f aca="false">ROUND(C44,4)</f>
        <v>0.155</v>
      </c>
      <c r="E53" s="389" t="s">
        <v>293</v>
      </c>
      <c r="F53" s="390" t="n">
        <f aca="false">SUM(F50:F52)</f>
        <v>0.2121</v>
      </c>
      <c r="G53" s="390" t="n">
        <f aca="false">SUM(G50:G52)</f>
        <v>0.2121</v>
      </c>
      <c r="H53" s="390" t="n">
        <f aca="false">SUM(H50:H52)</f>
        <v>0.2121</v>
      </c>
    </row>
    <row r="54" customFormat="false" ht="16.5" hidden="false" customHeight="true" outlineLevel="0" collapsed="false">
      <c r="A54" s="373" t="s">
        <v>324</v>
      </c>
      <c r="B54" s="373"/>
      <c r="C54" s="386" t="n">
        <f aca="false">ROUND(C47,4)</f>
        <v>0.0008</v>
      </c>
      <c r="E54" s="387" t="s">
        <v>340</v>
      </c>
      <c r="F54" s="388" t="n">
        <f aca="false">F48*F53</f>
        <v>0.0727503</v>
      </c>
      <c r="G54" s="388" t="n">
        <f aca="false">G48*G53</f>
        <v>0.0844158</v>
      </c>
      <c r="H54" s="388" t="n">
        <f aca="false">H48*H53</f>
        <v>0.0844158</v>
      </c>
    </row>
    <row r="55" customFormat="false" ht="33" hidden="false" customHeight="true" outlineLevel="0" collapsed="false">
      <c r="A55" s="391" t="s">
        <v>341</v>
      </c>
      <c r="B55" s="391"/>
      <c r="C55" s="392" t="n">
        <f aca="false">SUM(C49:C54)</f>
        <v>0.7905</v>
      </c>
      <c r="E55" s="387" t="s">
        <v>342</v>
      </c>
      <c r="F55" s="388" t="n">
        <f aca="false">C31</f>
        <v>0.03491</v>
      </c>
      <c r="G55" s="388" t="n">
        <f aca="false">F55</f>
        <v>0.03491</v>
      </c>
      <c r="H55" s="388" t="n">
        <f aca="false">G55</f>
        <v>0.03491</v>
      </c>
    </row>
    <row r="56" customFormat="false" ht="12.75" hidden="false" customHeight="false" outlineLevel="0" collapsed="false">
      <c r="A56" s="393" t="s">
        <v>343</v>
      </c>
      <c r="B56" s="394"/>
      <c r="C56" s="395"/>
      <c r="E56" s="396" t="s">
        <v>344</v>
      </c>
      <c r="F56" s="397" t="n">
        <f aca="false">SUM(F53:F55)</f>
        <v>0.3197603</v>
      </c>
      <c r="G56" s="397" t="n">
        <f aca="false">SUM(G53:G55)</f>
        <v>0.3314258</v>
      </c>
      <c r="H56" s="398" t="n">
        <f aca="false">SUM(H53:H55)</f>
        <v>0.3314258</v>
      </c>
    </row>
    <row r="57" customFormat="false" ht="13.9" hidden="false" customHeight="true" outlineLevel="0" collapsed="false">
      <c r="A57" s="399" t="s">
        <v>345</v>
      </c>
      <c r="B57" s="399"/>
      <c r="C57" s="399"/>
      <c r="E57" s="387" t="s">
        <v>346</v>
      </c>
      <c r="F57" s="388" t="s">
        <v>347</v>
      </c>
      <c r="G57" s="388" t="s">
        <v>347</v>
      </c>
      <c r="H57" s="388" t="s">
        <v>347</v>
      </c>
    </row>
    <row r="58" customFormat="false" ht="12.75" hidden="false" customHeight="false" outlineLevel="0" collapsed="false">
      <c r="A58" s="399"/>
      <c r="B58" s="399"/>
      <c r="C58" s="399"/>
      <c r="E58" s="389" t="s">
        <v>348</v>
      </c>
      <c r="F58" s="390" t="n">
        <f aca="false">F56</f>
        <v>0.3197603</v>
      </c>
      <c r="G58" s="390" t="n">
        <f aca="false">G56</f>
        <v>0.3314258</v>
      </c>
      <c r="H58" s="400" t="n">
        <f aca="false">H56</f>
        <v>0.3314258</v>
      </c>
    </row>
  </sheetData>
  <sheetProtection sheet="true" objects="true" scenarios="true"/>
  <mergeCells count="33">
    <mergeCell ref="A4:C4"/>
    <mergeCell ref="A5:C5"/>
    <mergeCell ref="B7:C7"/>
    <mergeCell ref="A16:B16"/>
    <mergeCell ref="A17:C17"/>
    <mergeCell ref="A21:B21"/>
    <mergeCell ref="A22:B22"/>
    <mergeCell ref="A23:B23"/>
    <mergeCell ref="B24:C24"/>
    <mergeCell ref="A26:B26"/>
    <mergeCell ref="A27:B27"/>
    <mergeCell ref="B28:C28"/>
    <mergeCell ref="A30:B30"/>
    <mergeCell ref="A33:B33"/>
    <mergeCell ref="A35:B35"/>
    <mergeCell ref="B36:C36"/>
    <mergeCell ref="A42:B42"/>
    <mergeCell ref="A43:B43"/>
    <mergeCell ref="E43:H44"/>
    <mergeCell ref="A44:B44"/>
    <mergeCell ref="E45:E46"/>
    <mergeCell ref="F45:H45"/>
    <mergeCell ref="F46:H46"/>
    <mergeCell ref="A47:B47"/>
    <mergeCell ref="A48:C48"/>
    <mergeCell ref="A49:B49"/>
    <mergeCell ref="A50:B50"/>
    <mergeCell ref="A51:B51"/>
    <mergeCell ref="A52:B52"/>
    <mergeCell ref="A53:B53"/>
    <mergeCell ref="A54:B54"/>
    <mergeCell ref="A55:B55"/>
    <mergeCell ref="A57:C58"/>
  </mergeCells>
  <printOptions headings="false" gridLines="false" gridLinesSet="true" horizontalCentered="false" verticalCentered="false"/>
  <pageMargins left="0.511805555555555" right="0.511805555555555" top="0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66"/>
  <sheetViews>
    <sheetView showFormulas="false" showGridLines="true" showRowColHeaders="true" showZeros="true" rightToLeft="false" tabSelected="false" showOutlineSymbols="true" defaultGridColor="true" view="pageBreakPreview" topLeftCell="A27" colorId="64" zoomScale="85" zoomScaleNormal="70" zoomScalePageLayoutView="85" workbookViewId="0">
      <selection pane="topLeft" activeCell="U35" activeCellId="0" sqref="U35"/>
    </sheetView>
  </sheetViews>
  <sheetFormatPr defaultRowHeight="15" zeroHeight="false" outlineLevelRow="0" outlineLevelCol="0"/>
  <cols>
    <col collapsed="false" customWidth="true" hidden="false" outlineLevel="0" max="1" min="1" style="401" width="23.66"/>
    <col collapsed="false" customWidth="true" hidden="false" outlineLevel="0" max="2" min="2" style="402" width="15.66"/>
    <col collapsed="false" customWidth="true" hidden="false" outlineLevel="0" max="3" min="3" style="402" width="11.82"/>
    <col collapsed="false" customWidth="true" hidden="false" outlineLevel="0" max="4" min="4" style="402" width="19.34"/>
    <col collapsed="false" customWidth="true" hidden="false" outlineLevel="0" max="5" min="5" style="403" width="14.33"/>
    <col collapsed="false" customWidth="true" hidden="false" outlineLevel="0" max="6" min="6" style="403" width="17.83"/>
    <col collapsed="false" customWidth="true" hidden="false" outlineLevel="0" max="9" min="7" style="0" width="10.34"/>
    <col collapsed="false" customWidth="true" hidden="true" outlineLevel="0" max="10" min="10" style="0" width="17.17"/>
    <col collapsed="false" customWidth="true" hidden="true" outlineLevel="0" max="15" min="11" style="0" width="12.5"/>
    <col collapsed="false" customWidth="true" hidden="true" outlineLevel="0" max="16" min="16" style="0" width="13.17"/>
    <col collapsed="false" customWidth="true" hidden="false" outlineLevel="0" max="1025" min="17" style="0" width="10.34"/>
  </cols>
  <sheetData>
    <row r="1" s="401" customFormat="true" ht="12.75" hidden="false" customHeight="true" outlineLevel="0" collapsed="false">
      <c r="A1" s="404"/>
      <c r="B1" s="405" t="s">
        <v>0</v>
      </c>
      <c r="C1" s="406"/>
      <c r="D1" s="406"/>
      <c r="E1" s="407"/>
      <c r="F1" s="408"/>
      <c r="J1" s="409" t="s">
        <v>349</v>
      </c>
      <c r="K1" s="409"/>
      <c r="L1" s="409"/>
      <c r="M1" s="409"/>
      <c r="N1" s="409"/>
      <c r="O1" s="409"/>
    </row>
    <row r="2" s="401" customFormat="true" ht="12.75" hidden="false" customHeight="true" outlineLevel="0" collapsed="false">
      <c r="A2" s="410"/>
      <c r="B2" s="411" t="s">
        <v>1</v>
      </c>
      <c r="C2" s="412"/>
      <c r="D2" s="412"/>
      <c r="E2" s="413"/>
      <c r="F2" s="414"/>
      <c r="J2" s="409"/>
      <c r="K2" s="409"/>
      <c r="L2" s="409"/>
      <c r="M2" s="409"/>
      <c r="N2" s="409"/>
      <c r="O2" s="409"/>
      <c r="P2" s="415"/>
    </row>
    <row r="3" s="401" customFormat="true" ht="17.25" hidden="false" customHeight="true" outlineLevel="0" collapsed="false">
      <c r="A3" s="410"/>
      <c r="B3" s="416" t="s">
        <v>2</v>
      </c>
      <c r="C3" s="412"/>
      <c r="D3" s="412"/>
      <c r="E3" s="413"/>
      <c r="F3" s="414"/>
      <c r="J3" s="409"/>
      <c r="K3" s="409"/>
      <c r="L3" s="409"/>
      <c r="M3" s="409"/>
      <c r="N3" s="409"/>
      <c r="O3" s="409"/>
      <c r="P3" s="415"/>
    </row>
    <row r="4" s="401" customFormat="true" ht="49.5" hidden="false" customHeight="true" outlineLevel="0" collapsed="false">
      <c r="A4" s="417" t="s">
        <v>350</v>
      </c>
      <c r="B4" s="417"/>
      <c r="C4" s="417"/>
      <c r="D4" s="417"/>
      <c r="E4" s="417"/>
      <c r="F4" s="417"/>
      <c r="J4" s="409"/>
      <c r="K4" s="409"/>
      <c r="L4" s="409"/>
      <c r="M4" s="409"/>
      <c r="N4" s="409"/>
      <c r="O4" s="409"/>
      <c r="P4" s="415"/>
    </row>
    <row r="5" s="401" customFormat="true" ht="54.75" hidden="false" customHeight="true" outlineLevel="0" collapsed="false">
      <c r="A5" s="418" t="s">
        <v>351</v>
      </c>
      <c r="B5" s="418"/>
      <c r="C5" s="418"/>
      <c r="D5" s="418"/>
      <c r="E5" s="418"/>
      <c r="F5" s="418"/>
      <c r="J5" s="419" t="s">
        <v>352</v>
      </c>
      <c r="K5" s="26" t="s">
        <v>257</v>
      </c>
      <c r="L5" s="26" t="s">
        <v>258</v>
      </c>
      <c r="M5" s="26" t="s">
        <v>259</v>
      </c>
      <c r="N5" s="26" t="s">
        <v>260</v>
      </c>
      <c r="O5" s="26" t="s">
        <v>261</v>
      </c>
      <c r="P5" s="325" t="s">
        <v>353</v>
      </c>
    </row>
    <row r="6" s="401" customFormat="true" ht="33.75" hidden="false" customHeight="true" outlineLevel="0" collapsed="false">
      <c r="A6" s="420" t="s">
        <v>354</v>
      </c>
      <c r="B6" s="421" t="s">
        <v>239</v>
      </c>
      <c r="C6" s="421" t="s">
        <v>355</v>
      </c>
      <c r="D6" s="422" t="s">
        <v>356</v>
      </c>
      <c r="E6" s="423" t="s">
        <v>357</v>
      </c>
      <c r="F6" s="424" t="s">
        <v>358</v>
      </c>
      <c r="J6" s="419"/>
      <c r="K6" s="26"/>
      <c r="L6" s="26"/>
      <c r="M6" s="26"/>
      <c r="N6" s="26"/>
      <c r="O6" s="26"/>
      <c r="P6" s="415"/>
    </row>
    <row r="7" s="401" customFormat="true" ht="28.5" hidden="false" customHeight="true" outlineLevel="0" collapsed="false">
      <c r="A7" s="425" t="s">
        <v>168</v>
      </c>
      <c r="B7" s="426" t="s">
        <v>359</v>
      </c>
      <c r="C7" s="427" t="n">
        <v>3</v>
      </c>
      <c r="D7" s="428" t="n">
        <f aca="false">C7*$A$10</f>
        <v>6</v>
      </c>
      <c r="E7" s="429" t="n">
        <v>80</v>
      </c>
      <c r="F7" s="430" t="n">
        <f aca="false">ROUND(E7*D7,2)</f>
        <v>480</v>
      </c>
      <c r="J7" s="431" t="n">
        <v>80</v>
      </c>
      <c r="K7" s="432" t="n">
        <f aca="false">ROUND(IF(Dados!$L$65="SIM",J7*Dados!$M$65,J7),2)</f>
        <v>80</v>
      </c>
      <c r="L7" s="432" t="n">
        <f aca="false">ROUND(IF(Dados!$L$66="SIM",K7*Dados!$M$66,K7),2)</f>
        <v>80</v>
      </c>
      <c r="M7" s="432" t="n">
        <f aca="false">ROUND(IF(Dados!$L$67="SIM",L7*Dados!$M$67,L7),2)</f>
        <v>80</v>
      </c>
      <c r="N7" s="432" t="n">
        <f aca="false">ROUND(IF(Dados!$L$68="SIM",M7*Dados!$M$68,M7),2)</f>
        <v>80</v>
      </c>
      <c r="O7" s="432" t="n">
        <f aca="false">ROUND(IF(Dados!$L$68="SIM",N7*Dados!$M$68,N7),2)</f>
        <v>80</v>
      </c>
      <c r="P7" s="433" t="n">
        <f aca="false">IF(Dados!$D$72="INICIAL",J7,IF(Dados!$D$72="1º IPCA",K7,IF(Dados!$D$72="2º IPCA",L7,IF(Dados!$D$72="3º IPCA",M7,IF(Dados!$D$72="4º IPCA",N7,IF(Dados!$D$72="5º IPCA",O7,))))))</f>
        <v>80</v>
      </c>
    </row>
    <row r="8" s="401" customFormat="true" ht="29.25" hidden="false" customHeight="true" outlineLevel="0" collapsed="false">
      <c r="A8" s="425"/>
      <c r="B8" s="426" t="s">
        <v>360</v>
      </c>
      <c r="C8" s="427" t="n">
        <v>1</v>
      </c>
      <c r="D8" s="428" t="n">
        <f aca="false">C8*$A$10</f>
        <v>2</v>
      </c>
      <c r="E8" s="429" t="n">
        <v>157</v>
      </c>
      <c r="F8" s="430" t="n">
        <f aca="false">ROUND(E8*D8,2)</f>
        <v>314</v>
      </c>
      <c r="J8" s="431" t="n">
        <v>157</v>
      </c>
      <c r="K8" s="432" t="n">
        <f aca="false">ROUND(IF(Dados!$L$65="SIM",J8*Dados!$M$65,J8),2)</f>
        <v>157</v>
      </c>
      <c r="L8" s="432" t="n">
        <f aca="false">ROUND(IF(Dados!$L$66="SIM",K8*Dados!$M$66,K8),2)</f>
        <v>157</v>
      </c>
      <c r="M8" s="432" t="n">
        <f aca="false">ROUND(IF(Dados!$L$67="SIM",L8*Dados!$M$67,L8),2)</f>
        <v>157</v>
      </c>
      <c r="N8" s="432" t="n">
        <f aca="false">ROUND(IF(Dados!$L$68="SIM",M8*Dados!$M$68,M8),2)</f>
        <v>157</v>
      </c>
      <c r="O8" s="432" t="n">
        <f aca="false">ROUND(IF(Dados!$L$68="SIM",N8*Dados!$M$68,N8),2)</f>
        <v>157</v>
      </c>
      <c r="P8" s="433" t="n">
        <f aca="false">IF(Dados!$D$72="INICIAL",J8,IF(Dados!$D$72="1º IPCA",K8,IF(Dados!$D$72="2º IPCA",L8,IF(Dados!$D$72="3º IPCA",M8,IF(Dados!$D$72="4º IPCA",N8,IF(Dados!$D$72="5º IPCA",O8,))))))</f>
        <v>157</v>
      </c>
    </row>
    <row r="9" s="401" customFormat="true" ht="30" hidden="false" customHeight="true" outlineLevel="0" collapsed="false">
      <c r="A9" s="434"/>
      <c r="B9" s="426" t="s">
        <v>361</v>
      </c>
      <c r="C9" s="427" t="n">
        <v>4</v>
      </c>
      <c r="D9" s="428" t="n">
        <f aca="false">C9*$A$10</f>
        <v>8</v>
      </c>
      <c r="E9" s="429" t="n">
        <v>78.7</v>
      </c>
      <c r="F9" s="430" t="n">
        <f aca="false">ROUND(E9*D9,2)</f>
        <v>629.6</v>
      </c>
      <c r="J9" s="431" t="n">
        <v>78.7</v>
      </c>
      <c r="K9" s="432" t="n">
        <f aca="false">ROUND(IF(Dados!$L$65="SIM",J9*Dados!$M$65,J9),2)</f>
        <v>78.7</v>
      </c>
      <c r="L9" s="432" t="n">
        <f aca="false">ROUND(IF(Dados!$L$66="SIM",K9*Dados!$M$66,K9),2)</f>
        <v>78.7</v>
      </c>
      <c r="M9" s="432" t="n">
        <f aca="false">ROUND(IF(Dados!$L$67="SIM",L9*Dados!$M$67,L9),2)</f>
        <v>78.7</v>
      </c>
      <c r="N9" s="432" t="n">
        <f aca="false">ROUND(IF(Dados!$L$68="SIM",M9*Dados!$M$68,M9),2)</f>
        <v>78.7</v>
      </c>
      <c r="O9" s="432" t="n">
        <f aca="false">ROUND(IF(Dados!$L$68="SIM",N9*Dados!$M$68,N9),2)</f>
        <v>78.7</v>
      </c>
      <c r="P9" s="433" t="n">
        <f aca="false">IF(Dados!$D$72="INICIAL",J9,IF(Dados!$D$72="1º IPCA",K9,IF(Dados!$D$72="2º IPCA",L9,IF(Dados!$D$72="3º IPCA",M9,IF(Dados!$D$72="4º IPCA",N9,IF(Dados!$D$72="5º IPCA",O9,))))))</f>
        <v>78.7</v>
      </c>
    </row>
    <row r="10" s="401" customFormat="true" ht="30.75" hidden="false" customHeight="true" outlineLevel="0" collapsed="false">
      <c r="A10" s="435" t="n">
        <f aca="false">Resumo!D11</f>
        <v>2</v>
      </c>
      <c r="B10" s="426" t="s">
        <v>362</v>
      </c>
      <c r="C10" s="427" t="n">
        <v>2</v>
      </c>
      <c r="D10" s="428" t="n">
        <f aca="false">C10*$A$10</f>
        <v>4</v>
      </c>
      <c r="E10" s="429" t="n">
        <v>80</v>
      </c>
      <c r="F10" s="430" t="n">
        <f aca="false">ROUND(E10*D10,2)</f>
        <v>320</v>
      </c>
      <c r="J10" s="431" t="n">
        <v>80</v>
      </c>
      <c r="K10" s="432" t="n">
        <f aca="false">ROUND(IF(Dados!$L$65="SIM",J10*Dados!$M$65,J10),2)</f>
        <v>80</v>
      </c>
      <c r="L10" s="432" t="n">
        <f aca="false">ROUND(IF(Dados!$L$66="SIM",K10*Dados!$M$66,K10),2)</f>
        <v>80</v>
      </c>
      <c r="M10" s="432" t="n">
        <f aca="false">ROUND(IF(Dados!$L$67="SIM",L10*Dados!$M$67,L10),2)</f>
        <v>80</v>
      </c>
      <c r="N10" s="432" t="n">
        <f aca="false">ROUND(IF(Dados!$L$68="SIM",M10*Dados!$M$68,M10),2)</f>
        <v>80</v>
      </c>
      <c r="O10" s="432" t="n">
        <f aca="false">ROUND(IF(Dados!$L$68="SIM",N10*Dados!$M$68,N10),2)</f>
        <v>80</v>
      </c>
      <c r="P10" s="433" t="n">
        <f aca="false">IF(Dados!$D$72="INICIAL",J10,IF(Dados!$D$72="1º IPCA",K10,IF(Dados!$D$72="2º IPCA",L10,IF(Dados!$D$72="3º IPCA",M10,IF(Dados!$D$72="4º IPCA",N10,IF(Dados!$D$72="5º IPCA",O10,))))))</f>
        <v>80</v>
      </c>
    </row>
    <row r="11" s="401" customFormat="true" ht="30.75" hidden="false" customHeight="true" outlineLevel="0" collapsed="false">
      <c r="A11" s="435"/>
      <c r="B11" s="426" t="s">
        <v>363</v>
      </c>
      <c r="C11" s="427" t="n">
        <v>1</v>
      </c>
      <c r="D11" s="428" t="n">
        <f aca="false">C11*$A$10</f>
        <v>2</v>
      </c>
      <c r="E11" s="429" t="n">
        <v>19</v>
      </c>
      <c r="F11" s="430" t="n">
        <f aca="false">ROUND(E11*D11,2)</f>
        <v>38</v>
      </c>
      <c r="J11" s="431" t="n">
        <v>19</v>
      </c>
      <c r="K11" s="432" t="n">
        <f aca="false">ROUND(IF(Dados!$L$65="SIM",J11*Dados!$M$65,J11),2)</f>
        <v>19</v>
      </c>
      <c r="L11" s="432" t="n">
        <f aca="false">ROUND(IF(Dados!$L$66="SIM",K11*Dados!$M$66,K11),2)</f>
        <v>19</v>
      </c>
      <c r="M11" s="432" t="n">
        <f aca="false">ROUND(IF(Dados!$L$67="SIM",L11*Dados!$M$67,L11),2)</f>
        <v>19</v>
      </c>
      <c r="N11" s="432" t="n">
        <f aca="false">ROUND(IF(Dados!$L$68="SIM",M11*Dados!$M$68,M11),2)</f>
        <v>19</v>
      </c>
      <c r="O11" s="432" t="n">
        <f aca="false">ROUND(IF(Dados!$L$68="SIM",N11*Dados!$M$68,N11),2)</f>
        <v>19</v>
      </c>
      <c r="P11" s="433" t="n">
        <f aca="false">IF(Dados!$D$72="INICIAL",J11,IF(Dados!$D$72="1º IPCA",K11,IF(Dados!$D$72="2º IPCA",L11,IF(Dados!$D$72="3º IPCA",M11,IF(Dados!$D$72="4º IPCA",N11,IF(Dados!$D$72="5º IPCA",O11,))))))</f>
        <v>19</v>
      </c>
    </row>
    <row r="12" s="401" customFormat="true" ht="30.75" hidden="false" customHeight="true" outlineLevel="0" collapsed="false">
      <c r="A12" s="435"/>
      <c r="B12" s="426" t="s">
        <v>364</v>
      </c>
      <c r="C12" s="427" t="n">
        <v>1</v>
      </c>
      <c r="D12" s="428" t="n">
        <f aca="false">C12*$A$10</f>
        <v>2</v>
      </c>
      <c r="E12" s="429" t="n">
        <v>24.03</v>
      </c>
      <c r="F12" s="430" t="n">
        <f aca="false">ROUND(E12*D12,2)</f>
        <v>48.06</v>
      </c>
      <c r="J12" s="431" t="n">
        <v>24.03</v>
      </c>
      <c r="K12" s="432" t="n">
        <f aca="false">ROUND(IF(Dados!$L$65="SIM",J12*Dados!$M$65,J12),2)</f>
        <v>24.03</v>
      </c>
      <c r="L12" s="432" t="n">
        <f aca="false">ROUND(IF(Dados!$L$66="SIM",K12*Dados!$M$66,K12),2)</f>
        <v>24.03</v>
      </c>
      <c r="M12" s="432" t="n">
        <f aca="false">ROUND(IF(Dados!$L$67="SIM",L12*Dados!$M$67,L12),2)</f>
        <v>24.03</v>
      </c>
      <c r="N12" s="432" t="n">
        <f aca="false">ROUND(IF(Dados!$L$68="SIM",M12*Dados!$M$68,M12),2)</f>
        <v>24.03</v>
      </c>
      <c r="O12" s="432" t="n">
        <f aca="false">ROUND(IF(Dados!$L$68="SIM",N12*Dados!$M$68,N12),2)</f>
        <v>24.03</v>
      </c>
      <c r="P12" s="433" t="n">
        <f aca="false">IF(Dados!$D$72="INICIAL",J12,IF(Dados!$D$72="1º IPCA",K12,IF(Dados!$D$72="2º IPCA",L12,IF(Dados!$D$72="3º IPCA",M12,IF(Dados!$D$72="4º IPCA",N12,IF(Dados!$D$72="5º IPCA",O12,))))))</f>
        <v>24.03</v>
      </c>
    </row>
    <row r="13" s="401" customFormat="true" ht="33.75" hidden="false" customHeight="true" outlineLevel="0" collapsed="false">
      <c r="A13" s="436"/>
      <c r="B13" s="437" t="s">
        <v>365</v>
      </c>
      <c r="C13" s="437"/>
      <c r="D13" s="437"/>
      <c r="E13" s="438"/>
      <c r="F13" s="439" t="n">
        <f aca="false">SUM(F7:F12)</f>
        <v>1829.66</v>
      </c>
    </row>
    <row r="14" s="401" customFormat="true" ht="33.75" hidden="false" customHeight="true" outlineLevel="0" collapsed="false">
      <c r="A14" s="440" t="s">
        <v>366</v>
      </c>
      <c r="B14" s="440"/>
      <c r="C14" s="440"/>
      <c r="D14" s="440"/>
      <c r="E14" s="440"/>
      <c r="F14" s="441" t="n">
        <f aca="false">ROUND((F13/$A$10/12),2)</f>
        <v>76.24</v>
      </c>
      <c r="J14" s="419" t="s">
        <v>352</v>
      </c>
      <c r="K14" s="26" t="s">
        <v>257</v>
      </c>
      <c r="L14" s="26" t="s">
        <v>258</v>
      </c>
      <c r="M14" s="26" t="s">
        <v>259</v>
      </c>
      <c r="N14" s="26" t="s">
        <v>260</v>
      </c>
      <c r="O14" s="26" t="s">
        <v>261</v>
      </c>
    </row>
    <row r="15" s="401" customFormat="true" ht="33.75" hidden="false" customHeight="true" outlineLevel="0" collapsed="false">
      <c r="A15" s="442"/>
      <c r="B15" s="442"/>
      <c r="C15" s="442"/>
      <c r="D15" s="442"/>
      <c r="E15" s="442"/>
      <c r="F15" s="442"/>
      <c r="J15" s="419"/>
      <c r="K15" s="26"/>
      <c r="L15" s="26"/>
      <c r="M15" s="26"/>
      <c r="N15" s="26"/>
      <c r="O15" s="26"/>
    </row>
    <row r="16" s="401" customFormat="true" ht="33.75" hidden="false" customHeight="true" outlineLevel="0" collapsed="false">
      <c r="A16" s="425" t="s">
        <v>170</v>
      </c>
      <c r="B16" s="426" t="s">
        <v>359</v>
      </c>
      <c r="C16" s="427" t="n">
        <v>3</v>
      </c>
      <c r="D16" s="428" t="n">
        <f aca="false">C16*$A$19</f>
        <v>45</v>
      </c>
      <c r="E16" s="429" t="n">
        <v>80</v>
      </c>
      <c r="F16" s="430" t="n">
        <f aca="false">ROUND(E16*D16,2)</f>
        <v>3600</v>
      </c>
      <c r="J16" s="431" t="n">
        <v>80</v>
      </c>
      <c r="K16" s="432" t="n">
        <f aca="false">ROUND(IF(Dados!$L$65="SIM",J16*Dados!$M$65,J16),2)</f>
        <v>80</v>
      </c>
      <c r="L16" s="432" t="n">
        <f aca="false">ROUND(IF(Dados!$L$66="SIM",K16*Dados!$M$66,K16),2)</f>
        <v>80</v>
      </c>
      <c r="M16" s="432" t="n">
        <f aca="false">ROUND(IF(Dados!$L$67="SIM",L16*Dados!$M$67,L16),2)</f>
        <v>80</v>
      </c>
      <c r="N16" s="432" t="n">
        <f aca="false">ROUND(IF(Dados!$L$68="SIM",M16*Dados!$M$68,M16),2)</f>
        <v>80</v>
      </c>
      <c r="O16" s="432" t="n">
        <f aca="false">ROUND(IF(Dados!$L$68="SIM",N16*Dados!$M$68,N16),2)</f>
        <v>80</v>
      </c>
      <c r="P16" s="433" t="n">
        <f aca="false">IF(Dados!$D$72="INICIAL",J16,IF(Dados!$D$72="1º IPCA",K16,IF(Dados!$D$72="2º IPCA",L16,IF(Dados!$D$72="3º IPCA",M16,IF(Dados!$D$72="4º IPCA",N16,IF(Dados!$D$72="5º IPCA",O16,))))))</f>
        <v>80</v>
      </c>
    </row>
    <row r="17" s="401" customFormat="true" ht="33.75" hidden="false" customHeight="true" outlineLevel="0" collapsed="false">
      <c r="A17" s="425"/>
      <c r="B17" s="426" t="s">
        <v>360</v>
      </c>
      <c r="C17" s="427" t="n">
        <v>1</v>
      </c>
      <c r="D17" s="428" t="n">
        <f aca="false">C17*$A$19</f>
        <v>15</v>
      </c>
      <c r="E17" s="429" t="n">
        <v>157</v>
      </c>
      <c r="F17" s="430" t="n">
        <f aca="false">ROUND(E17*D17,2)</f>
        <v>2355</v>
      </c>
      <c r="J17" s="431" t="n">
        <v>157</v>
      </c>
      <c r="K17" s="432" t="n">
        <f aca="false">ROUND(IF(Dados!$L$65="SIM",J17*Dados!$M$65,J17),2)</f>
        <v>157</v>
      </c>
      <c r="L17" s="432" t="n">
        <f aca="false">ROUND(IF(Dados!$L$66="SIM",K17*Dados!$M$66,K17),2)</f>
        <v>157</v>
      </c>
      <c r="M17" s="432" t="n">
        <f aca="false">ROUND(IF(Dados!$L$67="SIM",L17*Dados!$M$67,L17),2)</f>
        <v>157</v>
      </c>
      <c r="N17" s="432" t="n">
        <f aca="false">ROUND(IF(Dados!$L$68="SIM",M17*Dados!$M$68,M17),2)</f>
        <v>157</v>
      </c>
      <c r="O17" s="432" t="n">
        <f aca="false">ROUND(IF(Dados!$L$68="SIM",N17*Dados!$M$68,N17),2)</f>
        <v>157</v>
      </c>
      <c r="P17" s="433" t="n">
        <f aca="false">IF(Dados!$D$72="INICIAL",J17,IF(Dados!$D$72="1º IPCA",K17,IF(Dados!$D$72="2º IPCA",L17,IF(Dados!$D$72="3º IPCA",M17,IF(Dados!$D$72="4º IPCA",N17,IF(Dados!$D$72="5º IPCA",O17,))))))</f>
        <v>157</v>
      </c>
    </row>
    <row r="18" s="401" customFormat="true" ht="33.75" hidden="false" customHeight="true" outlineLevel="0" collapsed="false">
      <c r="A18" s="443"/>
      <c r="B18" s="426" t="s">
        <v>361</v>
      </c>
      <c r="C18" s="427" t="n">
        <v>4</v>
      </c>
      <c r="D18" s="428" t="n">
        <f aca="false">C18*$A$19</f>
        <v>60</v>
      </c>
      <c r="E18" s="429" t="n">
        <v>78.7</v>
      </c>
      <c r="F18" s="430" t="n">
        <f aca="false">ROUND(E18*D18,2)</f>
        <v>4722</v>
      </c>
      <c r="J18" s="431" t="n">
        <v>78.7</v>
      </c>
      <c r="K18" s="432" t="n">
        <f aca="false">ROUND(IF(Dados!$L$65="SIM",J18*Dados!$M$65,J18),2)</f>
        <v>78.7</v>
      </c>
      <c r="L18" s="432" t="n">
        <f aca="false">ROUND(IF(Dados!$L$66="SIM",K18*Dados!$M$66,K18),2)</f>
        <v>78.7</v>
      </c>
      <c r="M18" s="432" t="n">
        <f aca="false">ROUND(IF(Dados!$L$67="SIM",L18*Dados!$M$67,L18),2)</f>
        <v>78.7</v>
      </c>
      <c r="N18" s="432" t="n">
        <f aca="false">ROUND(IF(Dados!$L$68="SIM",M18*Dados!$M$68,M18),2)</f>
        <v>78.7</v>
      </c>
      <c r="O18" s="432" t="n">
        <f aca="false">ROUND(IF(Dados!$L$68="SIM",N18*Dados!$M$68,N18),2)</f>
        <v>78.7</v>
      </c>
      <c r="P18" s="433" t="n">
        <f aca="false">IF(Dados!$D$72="INICIAL",J18,IF(Dados!$D$72="1º IPCA",K18,IF(Dados!$D$72="2º IPCA",L18,IF(Dados!$D$72="3º IPCA",M18,IF(Dados!$D$72="4º IPCA",N18,IF(Dados!$D$72="5º IPCA",O18,))))))</f>
        <v>78.7</v>
      </c>
    </row>
    <row r="19" s="401" customFormat="true" ht="33.75" hidden="false" customHeight="true" outlineLevel="0" collapsed="false">
      <c r="A19" s="444" t="n">
        <f aca="false">Resumo!D12</f>
        <v>15</v>
      </c>
      <c r="B19" s="284" t="s">
        <v>362</v>
      </c>
      <c r="C19" s="445" t="n">
        <v>2</v>
      </c>
      <c r="D19" s="428" t="n">
        <f aca="false">C19*$A$19</f>
        <v>30</v>
      </c>
      <c r="E19" s="429" t="n">
        <v>80</v>
      </c>
      <c r="F19" s="430" t="n">
        <f aca="false">ROUND(E19*D19,2)</f>
        <v>2400</v>
      </c>
      <c r="J19" s="431" t="n">
        <v>80</v>
      </c>
      <c r="K19" s="432" t="n">
        <f aca="false">ROUND(IF(Dados!$L$65="SIM",J19*Dados!$M$65,J19),2)</f>
        <v>80</v>
      </c>
      <c r="L19" s="432" t="n">
        <f aca="false">ROUND(IF(Dados!$L$66="SIM",K19*Dados!$M$66,K19),2)</f>
        <v>80</v>
      </c>
      <c r="M19" s="432" t="n">
        <f aca="false">ROUND(IF(Dados!$L$67="SIM",L19*Dados!$M$67,L19),2)</f>
        <v>80</v>
      </c>
      <c r="N19" s="432" t="n">
        <f aca="false">ROUND(IF(Dados!$L$68="SIM",M19*Dados!$M$68,M19),2)</f>
        <v>80</v>
      </c>
      <c r="O19" s="432" t="n">
        <f aca="false">ROUND(IF(Dados!$L$68="SIM",N19*Dados!$M$68,N19),2)</f>
        <v>80</v>
      </c>
      <c r="P19" s="433" t="n">
        <f aca="false">IF(Dados!$D$72="INICIAL",J19,IF(Dados!$D$72="1º IPCA",K19,IF(Dados!$D$72="2º IPCA",L19,IF(Dados!$D$72="3º IPCA",M19,IF(Dados!$D$72="4º IPCA",N19,IF(Dados!$D$72="5º IPCA",O19,))))))</f>
        <v>80</v>
      </c>
    </row>
    <row r="20" s="401" customFormat="true" ht="33.75" hidden="false" customHeight="true" outlineLevel="0" collapsed="false">
      <c r="A20" s="446"/>
      <c r="B20" s="447" t="s">
        <v>365</v>
      </c>
      <c r="C20" s="447"/>
      <c r="D20" s="447"/>
      <c r="E20" s="448"/>
      <c r="F20" s="430" t="n">
        <f aca="false">SUM(F16:F19)</f>
        <v>13077</v>
      </c>
    </row>
    <row r="21" s="401" customFormat="true" ht="33.75" hidden="false" customHeight="true" outlineLevel="0" collapsed="false">
      <c r="A21" s="449" t="s">
        <v>367</v>
      </c>
      <c r="B21" s="449"/>
      <c r="C21" s="449"/>
      <c r="D21" s="449"/>
      <c r="E21" s="449"/>
      <c r="F21" s="450" t="n">
        <f aca="false">ROUND((F20/$A$19/12),2)</f>
        <v>72.65</v>
      </c>
      <c r="J21" s="419" t="s">
        <v>352</v>
      </c>
      <c r="K21" s="26" t="s">
        <v>257</v>
      </c>
      <c r="L21" s="26" t="s">
        <v>258</v>
      </c>
      <c r="M21" s="26" t="s">
        <v>259</v>
      </c>
      <c r="N21" s="26" t="s">
        <v>260</v>
      </c>
      <c r="O21" s="26" t="s">
        <v>261</v>
      </c>
    </row>
    <row r="22" s="401" customFormat="true" ht="33.75" hidden="false" customHeight="true" outlineLevel="0" collapsed="false">
      <c r="A22" s="451"/>
      <c r="B22" s="451"/>
      <c r="C22" s="451"/>
      <c r="D22" s="451"/>
      <c r="E22" s="451"/>
      <c r="F22" s="451"/>
      <c r="J22" s="419"/>
      <c r="K22" s="26"/>
      <c r="L22" s="26"/>
      <c r="M22" s="26"/>
      <c r="N22" s="26"/>
      <c r="O22" s="26"/>
    </row>
    <row r="23" s="401" customFormat="true" ht="30.75" hidden="false" customHeight="true" outlineLevel="0" collapsed="false">
      <c r="A23" s="452" t="s">
        <v>171</v>
      </c>
      <c r="B23" s="426" t="s">
        <v>359</v>
      </c>
      <c r="C23" s="428" t="n">
        <v>3</v>
      </c>
      <c r="D23" s="428" t="n">
        <f aca="false">C23*$A$26</f>
        <v>9</v>
      </c>
      <c r="E23" s="429" t="n">
        <v>50</v>
      </c>
      <c r="F23" s="430" t="n">
        <f aca="false">ROUND(E23*D23,2)</f>
        <v>450</v>
      </c>
      <c r="J23" s="431" t="n">
        <v>50</v>
      </c>
      <c r="K23" s="432" t="n">
        <f aca="false">ROUND(IF(Dados!$L$65="SIM",J23*Dados!$M$65,J23),2)</f>
        <v>50</v>
      </c>
      <c r="L23" s="432" t="n">
        <f aca="false">ROUND(IF(Dados!$L$66="SIM",K23*Dados!$M$66,K23),2)</f>
        <v>50</v>
      </c>
      <c r="M23" s="432" t="n">
        <f aca="false">ROUND(IF(Dados!$L$67="SIM",L23*Dados!$M$67,L23),2)</f>
        <v>50</v>
      </c>
      <c r="N23" s="432" t="n">
        <f aca="false">ROUND(IF(Dados!$L$68="SIM",M23*Dados!$M$68,M23),2)</f>
        <v>50</v>
      </c>
      <c r="O23" s="432" t="n">
        <f aca="false">ROUND(IF(Dados!$L$68="SIM",N23*Dados!$M$68,N23),2)</f>
        <v>50</v>
      </c>
      <c r="P23" s="433" t="n">
        <f aca="false">IF(Dados!$D$72="INICIAL",J23,IF(Dados!$D$72="1º IPCA",K23,IF(Dados!$D$72="2º IPCA",L23,IF(Dados!$D$72="3º IPCA",M23,IF(Dados!$D$72="4º IPCA",N23,IF(Dados!$D$72="5º IPCA",O23,))))))</f>
        <v>50</v>
      </c>
    </row>
    <row r="24" s="401" customFormat="true" ht="35.25" hidden="false" customHeight="true" outlineLevel="0" collapsed="false">
      <c r="A24" s="452"/>
      <c r="B24" s="426" t="s">
        <v>361</v>
      </c>
      <c r="C24" s="453" t="n">
        <v>4</v>
      </c>
      <c r="D24" s="428" t="n">
        <f aca="false">C24*$A$26</f>
        <v>12</v>
      </c>
      <c r="E24" s="429" t="n">
        <v>35</v>
      </c>
      <c r="F24" s="430" t="n">
        <f aca="false">ROUND(E24*D24,2)</f>
        <v>420</v>
      </c>
      <c r="J24" s="431" t="n">
        <v>35</v>
      </c>
      <c r="K24" s="432" t="n">
        <f aca="false">ROUND(IF(Dados!$L$65="SIM",J24*Dados!$M$65,J24),2)</f>
        <v>35</v>
      </c>
      <c r="L24" s="432" t="n">
        <f aca="false">ROUND(IF(Dados!$L$66="SIM",K24*Dados!$M$66,K24),2)</f>
        <v>35</v>
      </c>
      <c r="M24" s="432" t="n">
        <f aca="false">ROUND(IF(Dados!$L$67="SIM",L24*Dados!$M$67,L24),2)</f>
        <v>35</v>
      </c>
      <c r="N24" s="432" t="n">
        <f aca="false">ROUND(IF(Dados!$L$68="SIM",M24*Dados!$M$68,M24),2)</f>
        <v>35</v>
      </c>
      <c r="O24" s="432" t="n">
        <f aca="false">ROUND(IF(Dados!$L$68="SIM",N24*Dados!$M$68,N24),2)</f>
        <v>35</v>
      </c>
      <c r="P24" s="433" t="n">
        <f aca="false">IF(Dados!$D$72="INICIAL",J24,IF(Dados!$D$72="1º IPCA",K24,IF(Dados!$D$72="2º IPCA",L24,IF(Dados!$D$72="3º IPCA",M24,IF(Dados!$D$72="4º IPCA",N24,IF(Dados!$D$72="5º IPCA",O24,))))))</f>
        <v>35</v>
      </c>
    </row>
    <row r="25" s="401" customFormat="true" ht="35.25" hidden="false" customHeight="true" outlineLevel="0" collapsed="false">
      <c r="A25" s="443"/>
      <c r="B25" s="426" t="s">
        <v>368</v>
      </c>
      <c r="C25" s="453" t="n">
        <v>1</v>
      </c>
      <c r="D25" s="428" t="n">
        <f aca="false">C25*$A$26</f>
        <v>3</v>
      </c>
      <c r="E25" s="429" t="n">
        <v>98.54</v>
      </c>
      <c r="F25" s="430" t="n">
        <f aca="false">ROUND(E25*D25,2)</f>
        <v>295.62</v>
      </c>
      <c r="J25" s="431"/>
      <c r="K25" s="432"/>
      <c r="L25" s="432"/>
      <c r="M25" s="432"/>
      <c r="N25" s="432"/>
      <c r="O25" s="432"/>
      <c r="P25" s="433"/>
    </row>
    <row r="26" s="401" customFormat="true" ht="33.75" hidden="false" customHeight="true" outlineLevel="0" collapsed="false">
      <c r="A26" s="454" t="n">
        <f aca="false">Resumo!D13</f>
        <v>3</v>
      </c>
      <c r="B26" s="426" t="s">
        <v>362</v>
      </c>
      <c r="C26" s="428" t="n">
        <v>2</v>
      </c>
      <c r="D26" s="428" t="n">
        <f aca="false">C26*$A$26</f>
        <v>6</v>
      </c>
      <c r="E26" s="429" t="n">
        <v>50</v>
      </c>
      <c r="F26" s="430" t="n">
        <f aca="false">ROUND(E26*D26,2)</f>
        <v>300</v>
      </c>
      <c r="J26" s="431" t="n">
        <v>50</v>
      </c>
      <c r="K26" s="432" t="n">
        <f aca="false">ROUND(IF(Dados!$L$65="SIM",J26*Dados!$M$65,J26),2)</f>
        <v>50</v>
      </c>
      <c r="L26" s="432" t="n">
        <f aca="false">ROUND(IF(Dados!$L$66="SIM",K26*Dados!$M$66,K26),2)</f>
        <v>50</v>
      </c>
      <c r="M26" s="432" t="n">
        <f aca="false">ROUND(IF(Dados!$L$67="SIM",L26*Dados!$M$67,L26),2)</f>
        <v>50</v>
      </c>
      <c r="N26" s="432" t="n">
        <f aca="false">ROUND(IF(Dados!$L$68="SIM",M26*Dados!$M$68,M26),2)</f>
        <v>50</v>
      </c>
      <c r="O26" s="432" t="n">
        <f aca="false">ROUND(IF(Dados!$L$68="SIM",N26*Dados!$M$68,N26),2)</f>
        <v>50</v>
      </c>
      <c r="P26" s="433" t="n">
        <f aca="false">IF(Dados!$D$72="INICIAL",J26,IF(Dados!$D$72="1º IPCA",K26,IF(Dados!$D$72="2º IPCA",L26,IF(Dados!$D$72="3º IPCA",M26,IF(Dados!$D$72="4º IPCA",N26,IF(Dados!$D$72="5º IPCA",O26,))))))</f>
        <v>50</v>
      </c>
    </row>
    <row r="27" s="401" customFormat="true" ht="33.75" hidden="false" customHeight="true" outlineLevel="0" collapsed="false">
      <c r="A27" s="455"/>
      <c r="B27" s="456" t="s">
        <v>365</v>
      </c>
      <c r="C27" s="456"/>
      <c r="D27" s="456"/>
      <c r="E27" s="456"/>
      <c r="F27" s="457" t="n">
        <f aca="false">SUM(F23:F26)</f>
        <v>1465.62</v>
      </c>
    </row>
    <row r="28" s="401" customFormat="true" ht="36" hidden="false" customHeight="true" outlineLevel="0" collapsed="false">
      <c r="A28" s="458" t="s">
        <v>369</v>
      </c>
      <c r="B28" s="458"/>
      <c r="C28" s="458"/>
      <c r="D28" s="458"/>
      <c r="E28" s="458"/>
      <c r="F28" s="450" t="n">
        <f aca="false">ROUND((F27/$A$26/12),2)</f>
        <v>40.71</v>
      </c>
      <c r="J28" s="419" t="s">
        <v>352</v>
      </c>
      <c r="K28" s="26" t="s">
        <v>257</v>
      </c>
      <c r="L28" s="26" t="s">
        <v>258</v>
      </c>
      <c r="M28" s="26" t="s">
        <v>259</v>
      </c>
      <c r="N28" s="26" t="s">
        <v>260</v>
      </c>
      <c r="O28" s="26" t="s">
        <v>261</v>
      </c>
    </row>
    <row r="29" s="401" customFormat="true" ht="36" hidden="false" customHeight="true" outlineLevel="0" collapsed="false">
      <c r="A29" s="459"/>
      <c r="B29" s="459"/>
      <c r="C29" s="459"/>
      <c r="D29" s="459"/>
      <c r="E29" s="459"/>
      <c r="F29" s="459"/>
      <c r="J29" s="419"/>
      <c r="K29" s="26"/>
      <c r="L29" s="26"/>
      <c r="M29" s="26"/>
      <c r="N29" s="26"/>
      <c r="O29" s="26"/>
    </row>
    <row r="30" s="401" customFormat="true" ht="36" hidden="false" customHeight="true" outlineLevel="0" collapsed="false">
      <c r="A30" s="452" t="s">
        <v>370</v>
      </c>
      <c r="B30" s="460" t="s">
        <v>359</v>
      </c>
      <c r="C30" s="461" t="n">
        <v>3</v>
      </c>
      <c r="D30" s="462" t="n">
        <f aca="false">C30*$A$33</f>
        <v>366</v>
      </c>
      <c r="E30" s="463" t="n">
        <v>80</v>
      </c>
      <c r="F30" s="464" t="n">
        <f aca="false">ROUND(E30*D30,2)</f>
        <v>29280</v>
      </c>
      <c r="J30" s="431" t="n">
        <v>80</v>
      </c>
      <c r="K30" s="432" t="n">
        <f aca="false">ROUND(IF(Dados!$L$65="SIM",J30*Dados!$M$65,J30),2)</f>
        <v>80</v>
      </c>
      <c r="L30" s="432" t="n">
        <f aca="false">ROUND(IF(Dados!$L$66="SIM",K30*Dados!$M$66,K30),2)</f>
        <v>80</v>
      </c>
      <c r="M30" s="432" t="n">
        <f aca="false">ROUND(IF(Dados!$L$67="SIM",L30*Dados!$M$67,L30),2)</f>
        <v>80</v>
      </c>
      <c r="N30" s="432" t="n">
        <f aca="false">ROUND(IF(Dados!$L$68="SIM",M30*Dados!$M$68,M30),2)</f>
        <v>80</v>
      </c>
      <c r="O30" s="432" t="n">
        <f aca="false">ROUND(IF(Dados!$L$68="SIM",N30*Dados!$M$68,N30),2)</f>
        <v>80</v>
      </c>
      <c r="P30" s="433" t="n">
        <f aca="false">IF(Dados!$D$72="INICIAL",J30,IF(Dados!$D$72="1º IPCA",K30,IF(Dados!$D$72="2º IPCA",L30,IF(Dados!$D$72="3º IPCA",M30,IF(Dados!$D$72="4º IPCA",N30,IF(Dados!$D$72="5º IPCA",O30,))))))</f>
        <v>80</v>
      </c>
    </row>
    <row r="31" s="467" customFormat="true" ht="36.75" hidden="false" customHeight="true" outlineLevel="0" collapsed="false">
      <c r="A31" s="452"/>
      <c r="B31" s="465" t="s">
        <v>360</v>
      </c>
      <c r="C31" s="427" t="n">
        <v>1</v>
      </c>
      <c r="D31" s="466" t="n">
        <f aca="false">C31*$A$33</f>
        <v>122</v>
      </c>
      <c r="E31" s="429" t="n">
        <v>157</v>
      </c>
      <c r="F31" s="430" t="n">
        <f aca="false">ROUND(E31*D31,2)</f>
        <v>19154</v>
      </c>
      <c r="J31" s="431" t="n">
        <v>157</v>
      </c>
      <c r="K31" s="432" t="n">
        <f aca="false">ROUND(IF(Dados!$L$65="SIM",J31*Dados!$M$65,J31),2)</f>
        <v>157</v>
      </c>
      <c r="L31" s="432" t="n">
        <f aca="false">ROUND(IF(Dados!$L$66="SIM",K31*Dados!$M$66,K31),2)</f>
        <v>157</v>
      </c>
      <c r="M31" s="432" t="n">
        <f aca="false">ROUND(IF(Dados!$L$67="SIM",L31*Dados!$M$67,L31),2)</f>
        <v>157</v>
      </c>
      <c r="N31" s="432" t="n">
        <f aca="false">ROUND(IF(Dados!$L$68="SIM",M31*Dados!$M$68,M31),2)</f>
        <v>157</v>
      </c>
      <c r="O31" s="432" t="n">
        <f aca="false">ROUND(IF(Dados!$L$68="SIM",N31*Dados!$M$68,N31),2)</f>
        <v>157</v>
      </c>
      <c r="P31" s="433" t="n">
        <f aca="false">IF(Dados!$D$72="INICIAL",J31,IF(Dados!$D$72="1º IPCA",K31,IF(Dados!$D$72="2º IPCA",L31,IF(Dados!$D$72="3º IPCA",M31,IF(Dados!$D$72="4º IPCA",N31,IF(Dados!$D$72="5º IPCA",O31,))))))</f>
        <v>157</v>
      </c>
    </row>
    <row r="32" s="467" customFormat="true" ht="36.75" hidden="false" customHeight="true" outlineLevel="0" collapsed="false">
      <c r="A32" s="434"/>
      <c r="B32" s="426" t="s">
        <v>361</v>
      </c>
      <c r="C32" s="427" t="n">
        <v>4</v>
      </c>
      <c r="D32" s="466" t="n">
        <f aca="false">C32*$A$33</f>
        <v>488</v>
      </c>
      <c r="E32" s="429" t="n">
        <v>78.7</v>
      </c>
      <c r="F32" s="430" t="n">
        <f aca="false">ROUND(E32*D32,2)</f>
        <v>38405.6</v>
      </c>
      <c r="J32" s="431" t="n">
        <v>78.7</v>
      </c>
      <c r="K32" s="432" t="n">
        <f aca="false">ROUND(IF(Dados!$L$65="SIM",J32*Dados!$M$65,J32),2)</f>
        <v>78.7</v>
      </c>
      <c r="L32" s="432" t="n">
        <f aca="false">ROUND(IF(Dados!$L$66="SIM",K32*Dados!$M$66,K32),2)</f>
        <v>78.7</v>
      </c>
      <c r="M32" s="432" t="n">
        <f aca="false">ROUND(IF(Dados!$L$67="SIM",L32*Dados!$M$67,L32),2)</f>
        <v>78.7</v>
      </c>
      <c r="N32" s="432" t="n">
        <f aca="false">ROUND(IF(Dados!$L$68="SIM",M32*Dados!$M$68,M32),2)</f>
        <v>78.7</v>
      </c>
      <c r="O32" s="432" t="n">
        <f aca="false">ROUND(IF(Dados!$L$68="SIM",N32*Dados!$M$68,N32),2)</f>
        <v>78.7</v>
      </c>
      <c r="P32" s="433" t="n">
        <f aca="false">IF(Dados!$D$72="INICIAL",J32,IF(Dados!$D$72="1º IPCA",K32,IF(Dados!$D$72="2º IPCA",L32,IF(Dados!$D$72="3º IPCA",M32,IF(Dados!$D$72="4º IPCA",N32,IF(Dados!$D$72="5º IPCA",O32,))))))</f>
        <v>78.7</v>
      </c>
    </row>
    <row r="33" s="467" customFormat="true" ht="36.75" hidden="false" customHeight="true" outlineLevel="0" collapsed="false">
      <c r="A33" s="435" t="n">
        <f aca="false">Resumo!D14+Resumo!D15+Resumo!D16+Resumo!D17</f>
        <v>122</v>
      </c>
      <c r="B33" s="426" t="s">
        <v>362</v>
      </c>
      <c r="C33" s="427" t="n">
        <v>2</v>
      </c>
      <c r="D33" s="466" t="n">
        <f aca="false">C33*$A$33</f>
        <v>244</v>
      </c>
      <c r="E33" s="429" t="n">
        <v>80</v>
      </c>
      <c r="F33" s="430" t="n">
        <f aca="false">ROUND(E33*D33,2)</f>
        <v>19520</v>
      </c>
      <c r="J33" s="431" t="n">
        <v>80</v>
      </c>
      <c r="K33" s="432" t="n">
        <f aca="false">ROUND(IF(Dados!$L$65="SIM",J33*Dados!$M$65,J33),2)</f>
        <v>80</v>
      </c>
      <c r="L33" s="432" t="n">
        <f aca="false">ROUND(IF(Dados!$L$66="SIM",K33*Dados!$M$66,K33),2)</f>
        <v>80</v>
      </c>
      <c r="M33" s="432" t="n">
        <f aca="false">ROUND(IF(Dados!$L$67="SIM",L33*Dados!$M$67,L33),2)</f>
        <v>80</v>
      </c>
      <c r="N33" s="432" t="n">
        <f aca="false">ROUND(IF(Dados!$L$68="SIM",M33*Dados!$M$68,M33),2)</f>
        <v>80</v>
      </c>
      <c r="O33" s="432" t="n">
        <f aca="false">ROUND(IF(Dados!$L$68="SIM",N33*Dados!$M$68,N33),2)</f>
        <v>80</v>
      </c>
      <c r="P33" s="433" t="n">
        <f aca="false">IF(Dados!$D$72="INICIAL",J33,IF(Dados!$D$72="1º IPCA",K33,IF(Dados!$D$72="2º IPCA",L33,IF(Dados!$D$72="3º IPCA",M33,IF(Dados!$D$72="4º IPCA",N33,IF(Dados!$D$72="5º IPCA",O33,))))))</f>
        <v>80</v>
      </c>
    </row>
    <row r="34" s="467" customFormat="true" ht="36.75" hidden="false" customHeight="true" outlineLevel="0" collapsed="false">
      <c r="A34" s="468"/>
      <c r="B34" s="469" t="s">
        <v>365</v>
      </c>
      <c r="C34" s="469"/>
      <c r="D34" s="469"/>
      <c r="E34" s="438"/>
      <c r="F34" s="439" t="n">
        <f aca="false">SUM(F30:F33)</f>
        <v>106359.6</v>
      </c>
    </row>
    <row r="35" s="467" customFormat="true" ht="36.75" hidden="false" customHeight="true" outlineLevel="0" collapsed="false">
      <c r="A35" s="470" t="s">
        <v>371</v>
      </c>
      <c r="B35" s="470"/>
      <c r="C35" s="470"/>
      <c r="D35" s="470"/>
      <c r="E35" s="470"/>
      <c r="F35" s="441" t="n">
        <f aca="false">ROUND((F34/$A$33/12),2)</f>
        <v>72.65</v>
      </c>
      <c r="J35" s="419" t="s">
        <v>352</v>
      </c>
      <c r="K35" s="26" t="s">
        <v>257</v>
      </c>
      <c r="L35" s="26" t="s">
        <v>258</v>
      </c>
      <c r="M35" s="26" t="s">
        <v>259</v>
      </c>
      <c r="N35" s="26" t="s">
        <v>260</v>
      </c>
      <c r="O35" s="26" t="s">
        <v>261</v>
      </c>
    </row>
    <row r="36" s="467" customFormat="true" ht="36.75" hidden="false" customHeight="true" outlineLevel="0" collapsed="false">
      <c r="A36" s="471"/>
      <c r="B36" s="235"/>
      <c r="C36" s="235"/>
      <c r="D36" s="235"/>
      <c r="E36" s="235"/>
      <c r="F36" s="472"/>
      <c r="J36" s="419"/>
      <c r="K36" s="26"/>
      <c r="L36" s="26"/>
      <c r="M36" s="26"/>
      <c r="N36" s="26"/>
      <c r="O36" s="26"/>
    </row>
    <row r="37" s="467" customFormat="true" ht="36.75" hidden="false" customHeight="true" outlineLevel="0" collapsed="false">
      <c r="A37" s="452" t="s">
        <v>372</v>
      </c>
      <c r="B37" s="460" t="s">
        <v>359</v>
      </c>
      <c r="C37" s="461" t="n">
        <v>3</v>
      </c>
      <c r="D37" s="462" t="n">
        <f aca="false">C37*$A$41</f>
        <v>18</v>
      </c>
      <c r="E37" s="463" t="n">
        <v>80</v>
      </c>
      <c r="F37" s="464" t="n">
        <f aca="false">ROUND(E37*D37,2)</f>
        <v>1440</v>
      </c>
      <c r="J37" s="431" t="n">
        <v>80</v>
      </c>
      <c r="K37" s="432" t="n">
        <f aca="false">ROUND(IF(Dados!$L$65="SIM",J37*Dados!$M$65,J37),2)</f>
        <v>80</v>
      </c>
      <c r="L37" s="432" t="n">
        <f aca="false">ROUND(IF(Dados!$L$66="SIM",K37*Dados!$M$66,K37),2)</f>
        <v>80</v>
      </c>
      <c r="M37" s="432" t="n">
        <f aca="false">ROUND(IF(Dados!$L$67="SIM",L37*Dados!$M$67,L37),2)</f>
        <v>80</v>
      </c>
      <c r="N37" s="432" t="n">
        <f aca="false">ROUND(IF(Dados!$L$68="SIM",M37*Dados!$M$68,M37),2)</f>
        <v>80</v>
      </c>
      <c r="O37" s="432" t="n">
        <f aca="false">ROUND(IF(Dados!$L$68="SIM",N37*Dados!$M$68,N37),2)</f>
        <v>80</v>
      </c>
      <c r="P37" s="433" t="n">
        <f aca="false">IF(Dados!$D$72="INICIAL",J37,IF(Dados!$D$72="1º IPCA",K37,IF(Dados!$D$72="2º IPCA",L37,IF(Dados!$D$72="3º IPCA",M37,IF(Dados!$D$72="4º IPCA",N37,IF(Dados!$D$72="5º IPCA",O37,))))))</f>
        <v>80</v>
      </c>
    </row>
    <row r="38" s="467" customFormat="true" ht="48.75" hidden="false" customHeight="true" outlineLevel="0" collapsed="false">
      <c r="A38" s="452"/>
      <c r="B38" s="465" t="s">
        <v>360</v>
      </c>
      <c r="C38" s="427" t="n">
        <v>1</v>
      </c>
      <c r="D38" s="462" t="n">
        <f aca="false">C38*$A$41</f>
        <v>6</v>
      </c>
      <c r="E38" s="429" t="n">
        <v>157</v>
      </c>
      <c r="F38" s="430" t="n">
        <f aca="false">ROUND(E38*D38,2)</f>
        <v>942</v>
      </c>
      <c r="J38" s="431" t="n">
        <v>157</v>
      </c>
      <c r="K38" s="432" t="n">
        <f aca="false">ROUND(IF(Dados!$L$65="SIM",J38*Dados!$M$65,J38),2)</f>
        <v>157</v>
      </c>
      <c r="L38" s="432" t="n">
        <f aca="false">ROUND(IF(Dados!$L$66="SIM",K38*Dados!$M$66,K38),2)</f>
        <v>157</v>
      </c>
      <c r="M38" s="432" t="n">
        <f aca="false">ROUND(IF(Dados!$L$67="SIM",L38*Dados!$M$67,L38),2)</f>
        <v>157</v>
      </c>
      <c r="N38" s="432" t="n">
        <f aca="false">ROUND(IF(Dados!$L$68="SIM",M38*Dados!$M$68,M38),2)</f>
        <v>157</v>
      </c>
      <c r="O38" s="432" t="n">
        <f aca="false">ROUND(IF(Dados!$L$68="SIM",N38*Dados!$M$68,N38),2)</f>
        <v>157</v>
      </c>
      <c r="P38" s="433" t="n">
        <f aca="false">IF(Dados!$D$72="INICIAL",J38,IF(Dados!$D$72="1º IPCA",K38,IF(Dados!$D$72="2º IPCA",L38,IF(Dados!$D$72="3º IPCA",M38,IF(Dados!$D$72="4º IPCA",N38,IF(Dados!$D$72="5º IPCA",O38,))))))</f>
        <v>157</v>
      </c>
    </row>
    <row r="39" s="467" customFormat="true" ht="36.75" hidden="false" customHeight="true" outlineLevel="0" collapsed="false">
      <c r="A39" s="452"/>
      <c r="B39" s="426" t="s">
        <v>361</v>
      </c>
      <c r="C39" s="427" t="n">
        <v>4</v>
      </c>
      <c r="D39" s="462" t="n">
        <f aca="false">C39*$A$41</f>
        <v>24</v>
      </c>
      <c r="E39" s="429" t="n">
        <v>78.7</v>
      </c>
      <c r="F39" s="430" t="n">
        <f aca="false">ROUND(E39*D39,2)</f>
        <v>1888.8</v>
      </c>
      <c r="J39" s="431" t="n">
        <v>78.7</v>
      </c>
      <c r="K39" s="432" t="n">
        <f aca="false">ROUND(IF(Dados!$L$65="SIM",J39*Dados!$M$65,J39),2)</f>
        <v>78.7</v>
      </c>
      <c r="L39" s="432" t="n">
        <f aca="false">ROUND(IF(Dados!$L$66="SIM",K39*Dados!$M$66,K39),2)</f>
        <v>78.7</v>
      </c>
      <c r="M39" s="432" t="n">
        <f aca="false">ROUND(IF(Dados!$L$67="SIM",L39*Dados!$M$67,L39),2)</f>
        <v>78.7</v>
      </c>
      <c r="N39" s="432" t="n">
        <f aca="false">ROUND(IF(Dados!$L$68="SIM",M39*Dados!$M$68,M39),2)</f>
        <v>78.7</v>
      </c>
      <c r="O39" s="432" t="n">
        <f aca="false">ROUND(IF(Dados!$L$68="SIM",N39*Dados!$M$68,N39),2)</f>
        <v>78.7</v>
      </c>
      <c r="P39" s="433" t="n">
        <f aca="false">IF(Dados!$D$72="INICIAL",J39,IF(Dados!$D$72="1º IPCA",K39,IF(Dados!$D$72="2º IPCA",L39,IF(Dados!$D$72="3º IPCA",M39,IF(Dados!$D$72="4º IPCA",N39,IF(Dados!$D$72="5º IPCA",O39,))))))</f>
        <v>78.7</v>
      </c>
    </row>
    <row r="40" s="467" customFormat="true" ht="36.75" hidden="false" customHeight="true" outlineLevel="0" collapsed="false">
      <c r="A40" s="434"/>
      <c r="B40" s="426" t="s">
        <v>363</v>
      </c>
      <c r="C40" s="427" t="n">
        <v>1</v>
      </c>
      <c r="D40" s="462" t="n">
        <f aca="false">C40*$A$41</f>
        <v>6</v>
      </c>
      <c r="E40" s="429" t="n">
        <v>19</v>
      </c>
      <c r="F40" s="430" t="n">
        <f aca="false">ROUND(E40*D40,2)</f>
        <v>114</v>
      </c>
      <c r="J40" s="431" t="n">
        <v>19</v>
      </c>
      <c r="K40" s="432" t="n">
        <f aca="false">ROUND(IF(Dados!$L$65="SIM",J40*Dados!$M$65,J40),2)</f>
        <v>19</v>
      </c>
      <c r="L40" s="432" t="n">
        <f aca="false">ROUND(IF(Dados!$L$66="SIM",K40*Dados!$M$66,K40),2)</f>
        <v>19</v>
      </c>
      <c r="M40" s="432" t="n">
        <f aca="false">ROUND(IF(Dados!$L$67="SIM",L40*Dados!$M$67,L40),2)</f>
        <v>19</v>
      </c>
      <c r="N40" s="432" t="n">
        <f aca="false">ROUND(IF(Dados!$L$68="SIM",M40*Dados!$M$68,M40),2)</f>
        <v>19</v>
      </c>
      <c r="O40" s="432" t="n">
        <f aca="false">ROUND(IF(Dados!$L$68="SIM",N40*Dados!$M$68,N40),2)</f>
        <v>19</v>
      </c>
      <c r="P40" s="433" t="n">
        <f aca="false">IF(Dados!$D$72="INICIAL",J40,IF(Dados!$D$72="1º IPCA",K40,IF(Dados!$D$72="2º IPCA",L40,IF(Dados!$D$72="3º IPCA",M40,IF(Dados!$D$72="4º IPCA",N40,IF(Dados!$D$72="5º IPCA",O40,))))))</f>
        <v>19</v>
      </c>
    </row>
    <row r="41" s="467" customFormat="true" ht="36.75" hidden="false" customHeight="true" outlineLevel="0" collapsed="false">
      <c r="A41" s="435" t="n">
        <f aca="false">Resumo!D18</f>
        <v>6</v>
      </c>
      <c r="B41" s="426" t="s">
        <v>362</v>
      </c>
      <c r="C41" s="427" t="n">
        <v>2</v>
      </c>
      <c r="D41" s="462" t="n">
        <f aca="false">C41*$A$41</f>
        <v>12</v>
      </c>
      <c r="E41" s="429" t="n">
        <v>80</v>
      </c>
      <c r="F41" s="430" t="n">
        <f aca="false">ROUND(E41*D41,2)</f>
        <v>960</v>
      </c>
      <c r="J41" s="431" t="n">
        <v>80</v>
      </c>
      <c r="K41" s="432" t="n">
        <f aca="false">ROUND(IF(Dados!$L$65="SIM",J41*Dados!$M$65,J41),2)</f>
        <v>80</v>
      </c>
      <c r="L41" s="432" t="n">
        <f aca="false">ROUND(IF(Dados!$L$66="SIM",K41*Dados!$M$66,K41),2)</f>
        <v>80</v>
      </c>
      <c r="M41" s="432" t="n">
        <f aca="false">ROUND(IF(Dados!$L$67="SIM",L41*Dados!$M$67,L41),2)</f>
        <v>80</v>
      </c>
      <c r="N41" s="432" t="n">
        <f aca="false">ROUND(IF(Dados!$L$68="SIM",M41*Dados!$M$68,M41),2)</f>
        <v>80</v>
      </c>
      <c r="O41" s="432" t="n">
        <f aca="false">ROUND(IF(Dados!$L$68="SIM",N41*Dados!$M$68,N41),2)</f>
        <v>80</v>
      </c>
      <c r="P41" s="433" t="n">
        <f aca="false">IF(Dados!$D$72="INICIAL",J41,IF(Dados!$D$72="1º IPCA",K41,IF(Dados!$D$72="2º IPCA",L41,IF(Dados!$D$72="3º IPCA",M41,IF(Dados!$D$72="4º IPCA",N41,IF(Dados!$D$72="5º IPCA",O41,))))))</f>
        <v>80</v>
      </c>
    </row>
    <row r="42" s="467" customFormat="true" ht="36.75" hidden="false" customHeight="true" outlineLevel="0" collapsed="false">
      <c r="A42" s="468"/>
      <c r="B42" s="469" t="s">
        <v>365</v>
      </c>
      <c r="C42" s="469"/>
      <c r="D42" s="469"/>
      <c r="E42" s="438"/>
      <c r="F42" s="439" t="n">
        <f aca="false">SUM(F37:F41)</f>
        <v>5344.8</v>
      </c>
    </row>
    <row r="43" s="467" customFormat="true" ht="36.75" hidden="false" customHeight="true" outlineLevel="0" collapsed="false">
      <c r="A43" s="470" t="s">
        <v>373</v>
      </c>
      <c r="B43" s="470"/>
      <c r="C43" s="470"/>
      <c r="D43" s="470"/>
      <c r="E43" s="470"/>
      <c r="F43" s="441" t="n">
        <f aca="false">ROUND((F42/$A$41/12),2)</f>
        <v>74.23</v>
      </c>
      <c r="J43" s="419" t="s">
        <v>352</v>
      </c>
      <c r="K43" s="26" t="s">
        <v>257</v>
      </c>
      <c r="L43" s="26" t="s">
        <v>258</v>
      </c>
      <c r="M43" s="26" t="s">
        <v>259</v>
      </c>
      <c r="N43" s="26" t="s">
        <v>260</v>
      </c>
      <c r="O43" s="26" t="s">
        <v>261</v>
      </c>
    </row>
    <row r="44" s="467" customFormat="true" ht="36.75" hidden="false" customHeight="true" outlineLevel="0" collapsed="false">
      <c r="A44" s="473"/>
      <c r="B44" s="473"/>
      <c r="C44" s="473"/>
      <c r="D44" s="473"/>
      <c r="E44" s="473"/>
      <c r="F44" s="473"/>
      <c r="J44" s="419"/>
      <c r="K44" s="26"/>
      <c r="L44" s="26"/>
      <c r="M44" s="26"/>
      <c r="N44" s="26"/>
      <c r="O44" s="26"/>
    </row>
    <row r="45" s="467" customFormat="true" ht="32.1" hidden="false" customHeight="true" outlineLevel="0" collapsed="false">
      <c r="A45" s="452" t="s">
        <v>177</v>
      </c>
      <c r="B45" s="460" t="s">
        <v>359</v>
      </c>
      <c r="C45" s="461" t="n">
        <v>3</v>
      </c>
      <c r="D45" s="462" t="n">
        <f aca="false">C45*$A$48</f>
        <v>3</v>
      </c>
      <c r="E45" s="463" t="n">
        <v>80</v>
      </c>
      <c r="F45" s="464" t="n">
        <f aca="false">ROUND(E45*D45,2)</f>
        <v>240</v>
      </c>
      <c r="J45" s="431" t="n">
        <v>80</v>
      </c>
      <c r="K45" s="432" t="n">
        <f aca="false">ROUND(IF(Dados!$L$65="SIM",J45*Dados!$M$65,J45),2)</f>
        <v>80</v>
      </c>
      <c r="L45" s="432" t="n">
        <f aca="false">ROUND(IF(Dados!$L$66="SIM",K45*Dados!$M$66,K45),2)</f>
        <v>80</v>
      </c>
      <c r="M45" s="432" t="n">
        <f aca="false">ROUND(IF(Dados!$L$67="SIM",L45*Dados!$M$67,L45),2)</f>
        <v>80</v>
      </c>
      <c r="N45" s="432" t="n">
        <f aca="false">ROUND(IF(Dados!$L$68="SIM",M45*Dados!$M$68,M45),2)</f>
        <v>80</v>
      </c>
      <c r="O45" s="432" t="n">
        <f aca="false">ROUND(IF(Dados!$L$68="SIM",N45*Dados!$M$68,N45),2)</f>
        <v>80</v>
      </c>
      <c r="P45" s="433" t="n">
        <f aca="false">IF(Dados!$D$72="INICIAL",J45,IF(Dados!$D$72="1º IPCA",K45,IF(Dados!$D$72="2º IPCA",L45,IF(Dados!$D$72="3º IPCA",M45,IF(Dados!$D$72="4º IPCA",N45,IF(Dados!$D$72="5º IPCA",O45,))))))</f>
        <v>80</v>
      </c>
    </row>
    <row r="46" s="467" customFormat="true" ht="32.1" hidden="false" customHeight="true" outlineLevel="0" collapsed="false">
      <c r="A46" s="452"/>
      <c r="B46" s="465" t="s">
        <v>360</v>
      </c>
      <c r="C46" s="427" t="n">
        <v>1</v>
      </c>
      <c r="D46" s="462" t="n">
        <f aca="false">C46*$A$48</f>
        <v>1</v>
      </c>
      <c r="E46" s="429" t="n">
        <v>157</v>
      </c>
      <c r="F46" s="430" t="n">
        <f aca="false">ROUND(E46*D46,2)</f>
        <v>157</v>
      </c>
      <c r="J46" s="431" t="n">
        <v>157</v>
      </c>
      <c r="K46" s="432" t="n">
        <f aca="false">ROUND(IF(Dados!$L$65="SIM",J46*Dados!$M$65,J46),2)</f>
        <v>157</v>
      </c>
      <c r="L46" s="432" t="n">
        <f aca="false">ROUND(IF(Dados!$L$66="SIM",K46*Dados!$M$66,K46),2)</f>
        <v>157</v>
      </c>
      <c r="M46" s="432" t="n">
        <f aca="false">ROUND(IF(Dados!$L$67="SIM",L46*Dados!$M$67,L46),2)</f>
        <v>157</v>
      </c>
      <c r="N46" s="432" t="n">
        <f aca="false">ROUND(IF(Dados!$L$68="SIM",M46*Dados!$M$68,M46),2)</f>
        <v>157</v>
      </c>
      <c r="O46" s="432" t="n">
        <f aca="false">ROUND(IF(Dados!$L$68="SIM",N46*Dados!$M$68,N46),2)</f>
        <v>157</v>
      </c>
      <c r="P46" s="433" t="n">
        <f aca="false">IF(Dados!$D$72="INICIAL",J46,IF(Dados!$D$72="1º IPCA",K46,IF(Dados!$D$72="2º IPCA",L46,IF(Dados!$D$72="3º IPCA",M46,IF(Dados!$D$72="4º IPCA",N46,IF(Dados!$D$72="5º IPCA",O46,))))))</f>
        <v>157</v>
      </c>
    </row>
    <row r="47" customFormat="false" ht="27.75" hidden="false" customHeight="true" outlineLevel="0" collapsed="false">
      <c r="A47" s="434"/>
      <c r="B47" s="426" t="s">
        <v>361</v>
      </c>
      <c r="C47" s="427" t="n">
        <v>4</v>
      </c>
      <c r="D47" s="462" t="n">
        <f aca="false">C47*$A$48</f>
        <v>4</v>
      </c>
      <c r="E47" s="429" t="n">
        <v>78.7</v>
      </c>
      <c r="F47" s="430" t="n">
        <f aca="false">ROUND(E47*D47,2)</f>
        <v>314.8</v>
      </c>
      <c r="J47" s="431" t="n">
        <v>78.7</v>
      </c>
      <c r="K47" s="432" t="n">
        <f aca="false">ROUND(IF(Dados!$L$65="SIM",J47*Dados!$M$65,J47),2)</f>
        <v>78.7</v>
      </c>
      <c r="L47" s="432" t="n">
        <f aca="false">ROUND(IF(Dados!$L$66="SIM",K47*Dados!$M$66,K47),2)</f>
        <v>78.7</v>
      </c>
      <c r="M47" s="432" t="n">
        <f aca="false">ROUND(IF(Dados!$L$67="SIM",L47*Dados!$M$67,L47),2)</f>
        <v>78.7</v>
      </c>
      <c r="N47" s="432" t="n">
        <f aca="false">ROUND(IF(Dados!$L$68="SIM",M47*Dados!$M$68,M47),2)</f>
        <v>78.7</v>
      </c>
      <c r="O47" s="432" t="n">
        <f aca="false">ROUND(IF(Dados!$L$68="SIM",N47*Dados!$M$68,N47),2)</f>
        <v>78.7</v>
      </c>
      <c r="P47" s="433" t="n">
        <f aca="false">IF(Dados!$D$72="INICIAL",J47,IF(Dados!$D$72="1º IPCA",K47,IF(Dados!$D$72="2º IPCA",L47,IF(Dados!$D$72="3º IPCA",M47,IF(Dados!$D$72="4º IPCA",N47,IF(Dados!$D$72="5º IPCA",O47,))))))</f>
        <v>78.7</v>
      </c>
    </row>
    <row r="48" customFormat="false" ht="33" hidden="false" customHeight="true" outlineLevel="0" collapsed="false">
      <c r="A48" s="435" t="n">
        <f aca="false">Resumo!D19</f>
        <v>1</v>
      </c>
      <c r="B48" s="426" t="s">
        <v>362</v>
      </c>
      <c r="C48" s="427" t="n">
        <v>2</v>
      </c>
      <c r="D48" s="462" t="n">
        <f aca="false">C48*$A$48</f>
        <v>2</v>
      </c>
      <c r="E48" s="429" t="n">
        <v>80</v>
      </c>
      <c r="F48" s="430" t="n">
        <f aca="false">ROUND(E48*D48,2)</f>
        <v>160</v>
      </c>
      <c r="J48" s="431" t="n">
        <v>80</v>
      </c>
      <c r="K48" s="432" t="n">
        <f aca="false">ROUND(IF(Dados!$L$65="SIM",J48*Dados!$M$65,J48),2)</f>
        <v>80</v>
      </c>
      <c r="L48" s="432" t="n">
        <f aca="false">ROUND(IF(Dados!$L$66="SIM",K48*Dados!$M$66,K48),2)</f>
        <v>80</v>
      </c>
      <c r="M48" s="432" t="n">
        <f aca="false">ROUND(IF(Dados!$L$67="SIM",L48*Dados!$M$67,L48),2)</f>
        <v>80</v>
      </c>
      <c r="N48" s="432" t="n">
        <f aca="false">ROUND(IF(Dados!$L$68="SIM",M48*Dados!$M$68,M48),2)</f>
        <v>80</v>
      </c>
      <c r="O48" s="432" t="n">
        <f aca="false">ROUND(IF(Dados!$L$68="SIM",N48*Dados!$M$68,N48),2)</f>
        <v>80</v>
      </c>
      <c r="P48" s="433" t="n">
        <f aca="false">IF(Dados!$D$72="INICIAL",J48,IF(Dados!$D$72="1º IPCA",K48,IF(Dados!$D$72="2º IPCA",L48,IF(Dados!$D$72="3º IPCA",M48,IF(Dados!$D$72="4º IPCA",N48,IF(Dados!$D$72="5º IPCA",O48,))))))</f>
        <v>80</v>
      </c>
    </row>
    <row r="49" customFormat="false" ht="33" hidden="false" customHeight="true" outlineLevel="0" collapsed="false">
      <c r="A49" s="468"/>
      <c r="B49" s="469" t="s">
        <v>365</v>
      </c>
      <c r="C49" s="469"/>
      <c r="D49" s="469"/>
      <c r="E49" s="438"/>
      <c r="F49" s="439" t="n">
        <f aca="false">SUM(F45:F48)</f>
        <v>871.8</v>
      </c>
    </row>
    <row r="50" customFormat="false" ht="33" hidden="false" customHeight="true" outlineLevel="0" collapsed="false">
      <c r="A50" s="470" t="s">
        <v>374</v>
      </c>
      <c r="B50" s="470"/>
      <c r="C50" s="470"/>
      <c r="D50" s="470"/>
      <c r="E50" s="470"/>
      <c r="F50" s="441" t="n">
        <f aca="false">ROUND((F49/$A$48/12),2)</f>
        <v>72.65</v>
      </c>
      <c r="J50" s="419" t="s">
        <v>352</v>
      </c>
      <c r="K50" s="26" t="s">
        <v>257</v>
      </c>
      <c r="L50" s="26" t="s">
        <v>258</v>
      </c>
      <c r="M50" s="26" t="s">
        <v>259</v>
      </c>
      <c r="N50" s="26" t="s">
        <v>260</v>
      </c>
      <c r="O50" s="26" t="s">
        <v>261</v>
      </c>
    </row>
    <row r="51" customFormat="false" ht="33" hidden="false" customHeight="true" outlineLevel="0" collapsed="false">
      <c r="A51" s="473"/>
      <c r="B51" s="473"/>
      <c r="C51" s="473"/>
      <c r="D51" s="473"/>
      <c r="E51" s="473"/>
      <c r="F51" s="473"/>
      <c r="J51" s="419"/>
      <c r="K51" s="26"/>
      <c r="L51" s="26"/>
      <c r="M51" s="26"/>
      <c r="N51" s="26"/>
      <c r="O51" s="26"/>
    </row>
    <row r="52" customFormat="false" ht="33" hidden="false" customHeight="true" outlineLevel="0" collapsed="false">
      <c r="A52" s="452" t="s">
        <v>375</v>
      </c>
      <c r="B52" s="460" t="s">
        <v>359</v>
      </c>
      <c r="C52" s="461" t="n">
        <v>3</v>
      </c>
      <c r="D52" s="474" t="n">
        <f aca="false">C52*$A$56</f>
        <v>24</v>
      </c>
      <c r="E52" s="463" t="n">
        <v>80</v>
      </c>
      <c r="F52" s="464" t="n">
        <f aca="false">ROUND(E52*D52,2)</f>
        <v>1920</v>
      </c>
      <c r="J52" s="431" t="n">
        <v>80</v>
      </c>
      <c r="K52" s="432" t="n">
        <f aca="false">ROUND(IF(Dados!$L$65="SIM",J52*Dados!$M$65,J52),2)</f>
        <v>80</v>
      </c>
      <c r="L52" s="432" t="n">
        <f aca="false">ROUND(IF(Dados!$L$66="SIM",K52*Dados!$M$66,K52),2)</f>
        <v>80</v>
      </c>
      <c r="M52" s="432" t="n">
        <f aca="false">ROUND(IF(Dados!$L$67="SIM",L52*Dados!$M$67,L52),2)</f>
        <v>80</v>
      </c>
      <c r="N52" s="432" t="n">
        <f aca="false">ROUND(IF(Dados!$L$68="SIM",M52*Dados!$M$68,M52),2)</f>
        <v>80</v>
      </c>
      <c r="O52" s="432" t="n">
        <f aca="false">ROUND(IF(Dados!$L$68="SIM",N52*Dados!$M$68,N52),2)</f>
        <v>80</v>
      </c>
      <c r="P52" s="433" t="n">
        <f aca="false">IF(Dados!$D$72="INICIAL",J52,IF(Dados!$D$72="1º IPCA",K52,IF(Dados!$D$72="2º IPCA",L52,IF(Dados!$D$72="3º IPCA",M52,IF(Dados!$D$72="4º IPCA",N52,IF(Dados!$D$72="5º IPCA",O52,))))))</f>
        <v>80</v>
      </c>
    </row>
    <row r="53" customFormat="false" ht="43.5" hidden="false" customHeight="true" outlineLevel="0" collapsed="false">
      <c r="A53" s="452"/>
      <c r="B53" s="426" t="s">
        <v>361</v>
      </c>
      <c r="C53" s="427" t="n">
        <v>2</v>
      </c>
      <c r="D53" s="428" t="n">
        <f aca="false">C53*$A$56</f>
        <v>16</v>
      </c>
      <c r="E53" s="429" t="n">
        <v>35</v>
      </c>
      <c r="F53" s="430" t="n">
        <f aca="false">ROUND(E53*D53,2)</f>
        <v>560</v>
      </c>
      <c r="J53" s="431" t="n">
        <v>35</v>
      </c>
      <c r="K53" s="432" t="n">
        <f aca="false">ROUND(IF(Dados!$L$65="SIM",J53*Dados!$M$65,J53),2)</f>
        <v>35</v>
      </c>
      <c r="L53" s="432" t="n">
        <f aca="false">ROUND(IF(Dados!$L$66="SIM",K53*Dados!$M$66,K53),2)</f>
        <v>35</v>
      </c>
      <c r="M53" s="432" t="n">
        <f aca="false">ROUND(IF(Dados!$L$67="SIM",L53*Dados!$M$67,L53),2)</f>
        <v>35</v>
      </c>
      <c r="N53" s="432" t="n">
        <f aca="false">ROUND(IF(Dados!$L$68="SIM",M53*Dados!$M$68,M53),2)</f>
        <v>35</v>
      </c>
      <c r="O53" s="432" t="n">
        <f aca="false">ROUND(IF(Dados!$L$68="SIM",N53*Dados!$M$68,N53),2)</f>
        <v>35</v>
      </c>
      <c r="P53" s="433" t="n">
        <f aca="false">IF(Dados!$D$72="INICIAL",J53,IF(Dados!$D$72="1º IPCA",K53,IF(Dados!$D$72="2º IPCA",L53,IF(Dados!$D$72="3º IPCA",M53,IF(Dados!$D$72="4º IPCA",N53,IF(Dados!$D$72="5º IPCA",O53,))))))</f>
        <v>35</v>
      </c>
    </row>
    <row r="54" customFormat="false" ht="25.5" hidden="false" customHeight="true" outlineLevel="0" collapsed="false">
      <c r="A54" s="435"/>
      <c r="B54" s="426" t="s">
        <v>361</v>
      </c>
      <c r="C54" s="427" t="n">
        <v>2</v>
      </c>
      <c r="D54" s="428" t="n">
        <f aca="false">C54*$A$56</f>
        <v>16</v>
      </c>
      <c r="E54" s="429" t="n">
        <v>78.7</v>
      </c>
      <c r="F54" s="430" t="n">
        <f aca="false">ROUND(E54*D54,2)</f>
        <v>1259.2</v>
      </c>
      <c r="J54" s="431" t="n">
        <v>78.7</v>
      </c>
      <c r="K54" s="432" t="n">
        <f aca="false">ROUND(IF(Dados!$L$65="SIM",J54*Dados!$M$65,J54),2)</f>
        <v>78.7</v>
      </c>
      <c r="L54" s="432" t="n">
        <f aca="false">ROUND(IF(Dados!$L$66="SIM",K54*Dados!$M$66,K54),2)</f>
        <v>78.7</v>
      </c>
      <c r="M54" s="432" t="n">
        <f aca="false">ROUND(IF(Dados!$L$67="SIM",L54*Dados!$M$67,L54),2)</f>
        <v>78.7</v>
      </c>
      <c r="N54" s="432" t="n">
        <f aca="false">ROUND(IF(Dados!$L$68="SIM",M54*Dados!$M$68,M54),2)</f>
        <v>78.7</v>
      </c>
      <c r="O54" s="432" t="n">
        <f aca="false">ROUND(IF(Dados!$L$68="SIM",N54*Dados!$M$68,N54),2)</f>
        <v>78.7</v>
      </c>
      <c r="P54" s="433" t="n">
        <f aca="false">IF(Dados!$D$72="INICIAL",J54,IF(Dados!$D$72="1º IPCA",K54,IF(Dados!$D$72="2º IPCA",L54,IF(Dados!$D$72="3º IPCA",M54,IF(Dados!$D$72="4º IPCA",N54,IF(Dados!$D$72="5º IPCA",O54,))))))</f>
        <v>78.7</v>
      </c>
    </row>
    <row r="55" customFormat="false" ht="35.25" hidden="false" customHeight="true" outlineLevel="0" collapsed="false">
      <c r="A55" s="435"/>
      <c r="B55" s="426" t="s">
        <v>363</v>
      </c>
      <c r="C55" s="427" t="n">
        <v>1</v>
      </c>
      <c r="D55" s="428" t="n">
        <f aca="false">C55*$A$56</f>
        <v>8</v>
      </c>
      <c r="E55" s="429" t="n">
        <v>19</v>
      </c>
      <c r="F55" s="430" t="n">
        <f aca="false">ROUND(E55*D55,2)</f>
        <v>152</v>
      </c>
      <c r="J55" s="431" t="n">
        <v>19</v>
      </c>
      <c r="K55" s="432" t="n">
        <f aca="false">ROUND(IF(Dados!$L$65="SIM",J55*Dados!$M$65,J55),2)</f>
        <v>19</v>
      </c>
      <c r="L55" s="432" t="n">
        <f aca="false">ROUND(IF(Dados!$L$66="SIM",K55*Dados!$M$66,K55),2)</f>
        <v>19</v>
      </c>
      <c r="M55" s="432" t="n">
        <f aca="false">ROUND(IF(Dados!$L$67="SIM",L55*Dados!$M$67,L55),2)</f>
        <v>19</v>
      </c>
      <c r="N55" s="432" t="n">
        <f aca="false">ROUND(IF(Dados!$L$68="SIM",M55*Dados!$M$68,M55),2)</f>
        <v>19</v>
      </c>
      <c r="O55" s="432" t="n">
        <f aca="false">ROUND(IF(Dados!$L$68="SIM",N55*Dados!$M$68,N55),2)</f>
        <v>19</v>
      </c>
      <c r="P55" s="433" t="n">
        <f aca="false">IF(Dados!$D$72="INICIAL",J55,IF(Dados!$D$72="1º IPCA",K55,IF(Dados!$D$72="2º IPCA",L55,IF(Dados!$D$72="3º IPCA",M55,IF(Dados!$D$72="4º IPCA",N55,IF(Dados!$D$72="5º IPCA",O55,))))))</f>
        <v>19</v>
      </c>
    </row>
    <row r="56" customFormat="false" ht="36.75" hidden="false" customHeight="true" outlineLevel="0" collapsed="false">
      <c r="A56" s="435" t="n">
        <f aca="false">Resumo!D20</f>
        <v>8</v>
      </c>
      <c r="B56" s="426" t="s">
        <v>362</v>
      </c>
      <c r="C56" s="427" t="n">
        <v>2</v>
      </c>
      <c r="D56" s="428" t="n">
        <f aca="false">C56*$A$56</f>
        <v>16</v>
      </c>
      <c r="E56" s="429" t="n">
        <v>80</v>
      </c>
      <c r="F56" s="430" t="n">
        <f aca="false">ROUND(E56*D56,2)</f>
        <v>1280</v>
      </c>
      <c r="J56" s="431" t="n">
        <v>80</v>
      </c>
      <c r="K56" s="432" t="n">
        <f aca="false">ROUND(IF(Dados!$L$65="SIM",J56*Dados!$M$65,J56),2)</f>
        <v>80</v>
      </c>
      <c r="L56" s="432" t="n">
        <f aca="false">ROUND(IF(Dados!$L$66="SIM",K56*Dados!$M$66,K56),2)</f>
        <v>80</v>
      </c>
      <c r="M56" s="432" t="n">
        <f aca="false">ROUND(IF(Dados!$L$67="SIM",L56*Dados!$M$67,L56),2)</f>
        <v>80</v>
      </c>
      <c r="N56" s="432" t="n">
        <f aca="false">ROUND(IF(Dados!$L$68="SIM",M56*Dados!$M$68,M56),2)</f>
        <v>80</v>
      </c>
      <c r="O56" s="432" t="n">
        <f aca="false">ROUND(IF(Dados!$L$68="SIM",N56*Dados!$M$68,N56),2)</f>
        <v>80</v>
      </c>
      <c r="P56" s="433" t="n">
        <f aca="false">IF(Dados!$D$72="INICIAL",J56,IF(Dados!$D$72="1º IPCA",K56,IF(Dados!$D$72="2º IPCA",L56,IF(Dados!$D$72="3º IPCA",M56,IF(Dados!$D$72="4º IPCA",N56,IF(Dados!$D$72="5º IPCA",O56,))))))</f>
        <v>80</v>
      </c>
    </row>
    <row r="57" customFormat="false" ht="37.5" hidden="false" customHeight="true" outlineLevel="0" collapsed="false">
      <c r="A57" s="468"/>
      <c r="B57" s="469" t="s">
        <v>365</v>
      </c>
      <c r="C57" s="469"/>
      <c r="D57" s="469"/>
      <c r="E57" s="438"/>
      <c r="F57" s="475" t="n">
        <f aca="false">SUM(F52:F56)</f>
        <v>5171.2</v>
      </c>
    </row>
    <row r="58" customFormat="false" ht="36.75" hidden="false" customHeight="true" outlineLevel="0" collapsed="false">
      <c r="A58" s="470" t="s">
        <v>376</v>
      </c>
      <c r="B58" s="470"/>
      <c r="C58" s="470"/>
      <c r="D58" s="470"/>
      <c r="E58" s="470"/>
      <c r="F58" s="441" t="n">
        <f aca="false">ROUND((F57/$A$56/12),2)</f>
        <v>53.87</v>
      </c>
      <c r="J58" s="419" t="s">
        <v>352</v>
      </c>
      <c r="K58" s="26" t="s">
        <v>257</v>
      </c>
      <c r="L58" s="26" t="s">
        <v>258</v>
      </c>
      <c r="M58" s="26" t="s">
        <v>259</v>
      </c>
      <c r="N58" s="26" t="s">
        <v>260</v>
      </c>
      <c r="O58" s="26" t="s">
        <v>261</v>
      </c>
    </row>
    <row r="59" customFormat="false" ht="36.75" hidden="false" customHeight="true" outlineLevel="0" collapsed="false">
      <c r="A59" s="476"/>
      <c r="B59" s="477"/>
      <c r="C59" s="477"/>
      <c r="D59" s="477"/>
      <c r="E59" s="477"/>
      <c r="F59" s="478"/>
      <c r="J59" s="419"/>
      <c r="K59" s="26"/>
      <c r="L59" s="26"/>
      <c r="M59" s="26"/>
      <c r="N59" s="26"/>
      <c r="O59" s="26"/>
    </row>
    <row r="60" customFormat="false" ht="42.75" hidden="false" customHeight="true" outlineLevel="0" collapsed="false">
      <c r="A60" s="479" t="s">
        <v>377</v>
      </c>
      <c r="B60" s="480" t="s">
        <v>359</v>
      </c>
      <c r="C60" s="461" t="n">
        <v>3</v>
      </c>
      <c r="D60" s="474" t="n">
        <f aca="false">C60*$A$63</f>
        <v>33</v>
      </c>
      <c r="E60" s="463" t="n">
        <v>80</v>
      </c>
      <c r="F60" s="464" t="n">
        <f aca="false">ROUND(E60*D60,2)</f>
        <v>2640</v>
      </c>
      <c r="J60" s="431" t="n">
        <v>80</v>
      </c>
      <c r="K60" s="432" t="n">
        <f aca="false">ROUND(IF(Dados!$L$65="SIM",J60*Dados!$M$65,J60),2)</f>
        <v>80</v>
      </c>
      <c r="L60" s="432" t="n">
        <f aca="false">ROUND(IF(Dados!$L$66="SIM",K60*Dados!$M$66,K60),2)</f>
        <v>80</v>
      </c>
      <c r="M60" s="432" t="n">
        <f aca="false">ROUND(IF(Dados!$L$67="SIM",L60*Dados!$M$67,L60),2)</f>
        <v>80</v>
      </c>
      <c r="N60" s="432" t="n">
        <f aca="false">ROUND(IF(Dados!$L$68="SIM",M60*Dados!$M$68,M60),2)</f>
        <v>80</v>
      </c>
      <c r="O60" s="432" t="n">
        <f aca="false">ROUND(IF(Dados!$L$68="SIM",N60*Dados!$M$68,N60),2)</f>
        <v>80</v>
      </c>
      <c r="P60" s="433" t="n">
        <f aca="false">IF(Dados!$D$72="INICIAL",J60,IF(Dados!$D$72="1º IPCA",K60,IF(Dados!$D$72="2º IPCA",L60,IF(Dados!$D$72="3º IPCA",M60,IF(Dados!$D$72="4º IPCA",N60,IF(Dados!$D$72="5º IPCA",O60,))))))</f>
        <v>80</v>
      </c>
    </row>
    <row r="61" customFormat="false" ht="42.75" hidden="false" customHeight="true" outlineLevel="0" collapsed="false">
      <c r="A61" s="479"/>
      <c r="B61" s="481" t="s">
        <v>360</v>
      </c>
      <c r="C61" s="427" t="n">
        <v>1</v>
      </c>
      <c r="D61" s="428" t="n">
        <f aca="false">C61*$A$63</f>
        <v>11</v>
      </c>
      <c r="E61" s="429" t="n">
        <v>157</v>
      </c>
      <c r="F61" s="430" t="n">
        <f aca="false">ROUND(E61*D61,2)</f>
        <v>1727</v>
      </c>
      <c r="J61" s="431" t="n">
        <v>157</v>
      </c>
      <c r="K61" s="432" t="n">
        <f aca="false">ROUND(IF(Dados!$L$65="SIM",J61*Dados!$M$65,J61),2)</f>
        <v>157</v>
      </c>
      <c r="L61" s="432" t="n">
        <f aca="false">ROUND(IF(Dados!$L$66="SIM",K61*Dados!$M$66,K61),2)</f>
        <v>157</v>
      </c>
      <c r="M61" s="432" t="n">
        <f aca="false">ROUND(IF(Dados!$L$67="SIM",L61*Dados!$M$67,L61),2)</f>
        <v>157</v>
      </c>
      <c r="N61" s="432" t="n">
        <f aca="false">ROUND(IF(Dados!$L$68="SIM",M61*Dados!$M$68,M61),2)</f>
        <v>157</v>
      </c>
      <c r="O61" s="432" t="n">
        <f aca="false">ROUND(IF(Dados!$L$68="SIM",N61*Dados!$M$68,N61),2)</f>
        <v>157</v>
      </c>
      <c r="P61" s="433" t="n">
        <f aca="false">IF(Dados!$D$72="INICIAL",J61,IF(Dados!$D$72="1º IPCA",K61,IF(Dados!$D$72="2º IPCA",L61,IF(Dados!$D$72="3º IPCA",M61,IF(Dados!$D$72="4º IPCA",N61,IF(Dados!$D$72="5º IPCA",O61,))))))</f>
        <v>157</v>
      </c>
    </row>
    <row r="62" customFormat="false" ht="26.85" hidden="false" customHeight="true" outlineLevel="0" collapsed="false">
      <c r="A62" s="454"/>
      <c r="B62" s="481" t="s">
        <v>361</v>
      </c>
      <c r="C62" s="427" t="n">
        <v>4</v>
      </c>
      <c r="D62" s="428" t="n">
        <f aca="false">C62*$A$63</f>
        <v>44</v>
      </c>
      <c r="E62" s="429" t="n">
        <v>78.7</v>
      </c>
      <c r="F62" s="430" t="n">
        <f aca="false">ROUND(E62*D62,2)</f>
        <v>3462.8</v>
      </c>
      <c r="J62" s="431" t="n">
        <v>78.7</v>
      </c>
      <c r="K62" s="432" t="n">
        <f aca="false">ROUND(IF(Dados!$L$65="SIM",J62*Dados!$M$65,J62),2)</f>
        <v>78.7</v>
      </c>
      <c r="L62" s="432" t="n">
        <f aca="false">ROUND(IF(Dados!$L$66="SIM",K62*Dados!$M$66,K62),2)</f>
        <v>78.7</v>
      </c>
      <c r="M62" s="432" t="n">
        <f aca="false">ROUND(IF(Dados!$L$67="SIM",L62*Dados!$M$67,L62),2)</f>
        <v>78.7</v>
      </c>
      <c r="N62" s="432" t="n">
        <f aca="false">ROUND(IF(Dados!$L$68="SIM",M62*Dados!$M$68,M62),2)</f>
        <v>78.7</v>
      </c>
      <c r="O62" s="432" t="n">
        <f aca="false">ROUND(IF(Dados!$L$68="SIM",N62*Dados!$M$68,N62),2)</f>
        <v>78.7</v>
      </c>
      <c r="P62" s="433" t="n">
        <f aca="false">IF(Dados!$D$72="INICIAL",J62,IF(Dados!$D$72="1º IPCA",K62,IF(Dados!$D$72="2º IPCA",L62,IF(Dados!$D$72="3º IPCA",M62,IF(Dados!$D$72="4º IPCA",N62,IF(Dados!$D$72="5º IPCA",O62,))))))</f>
        <v>78.7</v>
      </c>
    </row>
    <row r="63" customFormat="false" ht="36" hidden="false" customHeight="true" outlineLevel="0" collapsed="false">
      <c r="A63" s="454" t="n">
        <f aca="false">Resumo!D21</f>
        <v>11</v>
      </c>
      <c r="B63" s="482" t="s">
        <v>362</v>
      </c>
      <c r="C63" s="445" t="n">
        <v>2</v>
      </c>
      <c r="D63" s="483" t="n">
        <f aca="false">C63*$A$63</f>
        <v>22</v>
      </c>
      <c r="E63" s="429" t="n">
        <v>80</v>
      </c>
      <c r="F63" s="430" t="n">
        <f aca="false">ROUND(E63*D63,2)</f>
        <v>1760</v>
      </c>
      <c r="J63" s="431" t="n">
        <v>80</v>
      </c>
      <c r="K63" s="432" t="n">
        <f aca="false">ROUND(IF(Dados!$L$65="SIM",J63*Dados!$M$65,J63),2)</f>
        <v>80</v>
      </c>
      <c r="L63" s="432" t="n">
        <f aca="false">ROUND(IF(Dados!$L$66="SIM",K63*Dados!$M$66,K63),2)</f>
        <v>80</v>
      </c>
      <c r="M63" s="432" t="n">
        <f aca="false">ROUND(IF(Dados!$L$67="SIM",L63*Dados!$M$67,L63),2)</f>
        <v>80</v>
      </c>
      <c r="N63" s="432" t="n">
        <f aca="false">ROUND(IF(Dados!$L$68="SIM",M63*Dados!$M$68,M63),2)</f>
        <v>80</v>
      </c>
      <c r="O63" s="432" t="n">
        <f aca="false">ROUND(IF(Dados!$L$68="SIM",N63*Dados!$M$68,N63),2)</f>
        <v>80</v>
      </c>
      <c r="P63" s="433" t="n">
        <f aca="false">IF(Dados!$D$72="INICIAL",J63,IF(Dados!$D$72="1º IPCA",K63,IF(Dados!$D$72="2º IPCA",L63,IF(Dados!$D$72="3º IPCA",M63,IF(Dados!$D$72="4º IPCA",N63,IF(Dados!$D$72="5º IPCA",O63,))))))</f>
        <v>80</v>
      </c>
    </row>
    <row r="64" customFormat="false" ht="32.25" hidden="false" customHeight="true" outlineLevel="0" collapsed="false">
      <c r="A64" s="484"/>
      <c r="B64" s="485" t="s">
        <v>365</v>
      </c>
      <c r="C64" s="485"/>
      <c r="D64" s="485"/>
      <c r="E64" s="486"/>
      <c r="F64" s="475" t="n">
        <f aca="false">SUM(F60:F63)</f>
        <v>9589.8</v>
      </c>
    </row>
    <row r="65" customFormat="false" ht="35.25" hidden="false" customHeight="true" outlineLevel="0" collapsed="false">
      <c r="A65" s="487" t="s">
        <v>378</v>
      </c>
      <c r="B65" s="487"/>
      <c r="C65" s="487"/>
      <c r="D65" s="487"/>
      <c r="E65" s="487"/>
      <c r="F65" s="441" t="n">
        <f aca="false">ROUND((F64/$A$63/12),2)</f>
        <v>72.65</v>
      </c>
    </row>
    <row r="66" customFormat="false" ht="31.5" hidden="false" customHeight="true" outlineLevel="0" collapsed="false"/>
  </sheetData>
  <sheetProtection sheet="true" objects="true" scenarios="true"/>
  <mergeCells count="80">
    <mergeCell ref="J1:O4"/>
    <mergeCell ref="A4:F4"/>
    <mergeCell ref="A5:F5"/>
    <mergeCell ref="J5:J6"/>
    <mergeCell ref="K5:K6"/>
    <mergeCell ref="L5:L6"/>
    <mergeCell ref="M5:M6"/>
    <mergeCell ref="N5:N6"/>
    <mergeCell ref="O5:O6"/>
    <mergeCell ref="A7:A8"/>
    <mergeCell ref="B13:D13"/>
    <mergeCell ref="A14:E14"/>
    <mergeCell ref="J14:J15"/>
    <mergeCell ref="K14:K15"/>
    <mergeCell ref="L14:L15"/>
    <mergeCell ref="M14:M15"/>
    <mergeCell ref="N14:N15"/>
    <mergeCell ref="O14:O15"/>
    <mergeCell ref="A15:F15"/>
    <mergeCell ref="A16:A17"/>
    <mergeCell ref="B20:D20"/>
    <mergeCell ref="A21:E21"/>
    <mergeCell ref="J21:J22"/>
    <mergeCell ref="K21:K22"/>
    <mergeCell ref="L21:L22"/>
    <mergeCell ref="M21:M22"/>
    <mergeCell ref="N21:N22"/>
    <mergeCell ref="O21:O22"/>
    <mergeCell ref="A22:F22"/>
    <mergeCell ref="A23:A24"/>
    <mergeCell ref="B27:D27"/>
    <mergeCell ref="A28:E28"/>
    <mergeCell ref="J28:J29"/>
    <mergeCell ref="K28:K29"/>
    <mergeCell ref="L28:L29"/>
    <mergeCell ref="M28:M29"/>
    <mergeCell ref="N28:N29"/>
    <mergeCell ref="O28:O29"/>
    <mergeCell ref="A29:F29"/>
    <mergeCell ref="A30:A31"/>
    <mergeCell ref="B34:D34"/>
    <mergeCell ref="A35:E35"/>
    <mergeCell ref="J35:J36"/>
    <mergeCell ref="K35:K36"/>
    <mergeCell ref="L35:L36"/>
    <mergeCell ref="M35:M36"/>
    <mergeCell ref="N35:N36"/>
    <mergeCell ref="O35:O36"/>
    <mergeCell ref="A37:A39"/>
    <mergeCell ref="B42:D42"/>
    <mergeCell ref="A43:E43"/>
    <mergeCell ref="J43:J44"/>
    <mergeCell ref="K43:K44"/>
    <mergeCell ref="L43:L44"/>
    <mergeCell ref="M43:M44"/>
    <mergeCell ref="N43:N44"/>
    <mergeCell ref="O43:O44"/>
    <mergeCell ref="A44:F44"/>
    <mergeCell ref="A45:A46"/>
    <mergeCell ref="B49:D49"/>
    <mergeCell ref="A50:E50"/>
    <mergeCell ref="J50:J51"/>
    <mergeCell ref="K50:K51"/>
    <mergeCell ref="L50:L51"/>
    <mergeCell ref="M50:M51"/>
    <mergeCell ref="N50:N51"/>
    <mergeCell ref="O50:O51"/>
    <mergeCell ref="A51:F51"/>
    <mergeCell ref="A52:A53"/>
    <mergeCell ref="B57:D57"/>
    <mergeCell ref="A58:E58"/>
    <mergeCell ref="J58:J59"/>
    <mergeCell ref="K58:K59"/>
    <mergeCell ref="L58:L59"/>
    <mergeCell ref="M58:M59"/>
    <mergeCell ref="N58:N59"/>
    <mergeCell ref="O58:O59"/>
    <mergeCell ref="A60:A61"/>
    <mergeCell ref="B64:D64"/>
    <mergeCell ref="A65:E65"/>
  </mergeCells>
  <printOptions headings="false" gridLines="false" gridLinesSet="true" horizontalCentered="false" verticalCentered="false"/>
  <pageMargins left="0.39375" right="0" top="0.39375" bottom="0.393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F27" activeCellId="0" sqref="F27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51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</row>
    <row r="7" customFormat="false" ht="30" hidden="false" customHeight="true" outlineLevel="0" collapsed="false">
      <c r="A7" s="502" t="str">
        <f aca="false">Dados!B8&amp;" - "&amp;D10</f>
        <v>Ascensorista - 150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  <c r="L9" s="101"/>
    </row>
    <row r="10" customFormat="false" ht="27" hidden="false" customHeight="true" outlineLevel="0" collapsed="false">
      <c r="A10" s="513" t="n">
        <v>1</v>
      </c>
      <c r="B10" s="514" t="str">
        <f aca="false">A7</f>
        <v>Ascensorista - 150</v>
      </c>
      <c r="C10" s="514"/>
      <c r="D10" s="515" t="n">
        <f aca="false">Dados!C8</f>
        <v>150</v>
      </c>
      <c r="E10" s="516" t="n">
        <f aca="false">Dados!$E8</f>
        <v>2080</v>
      </c>
      <c r="F10" s="517" t="n">
        <f aca="false">ROUND(E10/220*D10,2)</f>
        <v>1418.18</v>
      </c>
      <c r="G10" s="518"/>
      <c r="H10" s="519"/>
      <c r="I10" s="520"/>
      <c r="J10" s="101"/>
      <c r="K10" s="101"/>
      <c r="L10" s="101"/>
    </row>
    <row r="11" customFormat="false" ht="24" hidden="false" customHeight="true" outlineLevel="0" collapsed="false">
      <c r="A11" s="513"/>
      <c r="B11" s="521"/>
      <c r="C11" s="521"/>
      <c r="D11" s="522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  <c r="L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25" t="n">
        <f aca="false">F10+F11</f>
        <v>1418.18</v>
      </c>
      <c r="G12" s="526"/>
      <c r="H12" s="527"/>
      <c r="I12" s="528"/>
      <c r="J12" s="101"/>
      <c r="K12" s="101"/>
      <c r="L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1121.07</v>
      </c>
      <c r="G13" s="518"/>
      <c r="H13" s="519"/>
      <c r="I13" s="520"/>
      <c r="J13" s="101"/>
      <c r="K13" s="101"/>
      <c r="L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2539.25</v>
      </c>
      <c r="G14" s="533"/>
      <c r="H14" s="534"/>
      <c r="I14" s="535"/>
      <c r="J14" s="101"/>
      <c r="K14" s="101"/>
      <c r="L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397</v>
      </c>
      <c r="E16" s="539"/>
      <c r="F16" s="539"/>
      <c r="G16" s="539"/>
      <c r="H16" s="539"/>
      <c r="I16" s="539"/>
      <c r="J16" s="101"/>
      <c r="K16" s="101"/>
      <c r="L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Dados!I8</f>
        <v>76.24</v>
      </c>
      <c r="G17" s="518"/>
      <c r="H17" s="519"/>
      <c r="I17" s="520"/>
      <c r="J17" s="101"/>
      <c r="K17" s="101"/>
      <c r="L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  <c r="L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  <c r="L19" s="101"/>
    </row>
    <row r="20" customFormat="false" ht="25.5" hidden="false" customHeight="true" outlineLevel="0" collapsed="false">
      <c r="A20" s="373" t="s">
        <v>401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0</v>
      </c>
      <c r="G20" s="518" t="n">
        <f aca="false">F20</f>
        <v>0</v>
      </c>
      <c r="H20" s="519"/>
      <c r="I20" s="520"/>
      <c r="J20" s="101"/>
      <c r="K20" s="101"/>
      <c r="L20" s="101"/>
    </row>
    <row r="21" customFormat="false" ht="19.5" hidden="false" customHeight="true" outlineLevel="0" collapsed="false">
      <c r="A21" s="540" t="s">
        <v>402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425.31</v>
      </c>
      <c r="G21" s="518"/>
      <c r="H21" s="519"/>
      <c r="I21" s="520" t="n">
        <f aca="false">F21</f>
        <v>425.31</v>
      </c>
      <c r="J21" s="101"/>
      <c r="K21" s="101"/>
      <c r="L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584.47</v>
      </c>
      <c r="G24" s="532" t="n">
        <f aca="false">SUM(G17:G23)</f>
        <v>0</v>
      </c>
      <c r="H24" s="534" t="n">
        <f aca="false">SUM($H$17:$H$23)</f>
        <v>0</v>
      </c>
      <c r="I24" s="535" t="n">
        <f aca="false">SUM($I$17:$I$23)</f>
        <v>425.31</v>
      </c>
      <c r="J24" s="101"/>
      <c r="K24" s="101"/>
      <c r="L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3123.72</v>
      </c>
      <c r="G25" s="532" t="n">
        <f aca="false">$G$14+$G$24</f>
        <v>0</v>
      </c>
      <c r="H25" s="534" t="n">
        <f aca="false">$H$14+$H$24</f>
        <v>0</v>
      </c>
      <c r="I25" s="535" t="n">
        <f aca="false">$I$14+$I$24</f>
        <v>425.31</v>
      </c>
      <c r="J25" s="101"/>
      <c r="K25" s="101"/>
      <c r="L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1275.93</v>
      </c>
      <c r="J26" s="101"/>
      <c r="K26" s="101"/>
      <c r="L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  <c r="L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ROUND((F25*D28),2)</f>
        <v>93.71</v>
      </c>
      <c r="G28" s="518" t="n">
        <f aca="false">ROUND(($G$25*$D$28),2)</f>
        <v>0</v>
      </c>
      <c r="H28" s="519" t="n">
        <f aca="false">ROUND((H25*D28),2)</f>
        <v>0</v>
      </c>
      <c r="I28" s="520" t="n">
        <f aca="false">ROUND((I25*D28),2)</f>
        <v>12.76</v>
      </c>
      <c r="J28" s="101"/>
      <c r="K28" s="101"/>
      <c r="L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F25+F28</f>
        <v>3217.43</v>
      </c>
      <c r="G29" s="518" t="n">
        <f aca="false">$G$28+$G$25</f>
        <v>0</v>
      </c>
      <c r="H29" s="519" t="n">
        <f aca="false">H25+H28</f>
        <v>0</v>
      </c>
      <c r="I29" s="520" t="n">
        <f aca="false">I25+I28</f>
        <v>438.07</v>
      </c>
      <c r="J29" s="101"/>
      <c r="K29" s="101"/>
      <c r="L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F25+F28</f>
        <v>3217.43</v>
      </c>
      <c r="F30" s="517" t="n">
        <f aca="false">ROUND((E30*D30),2)</f>
        <v>218.46</v>
      </c>
      <c r="G30" s="518" t="n">
        <f aca="false">ROUND(($G$29*$D$30),2)</f>
        <v>0</v>
      </c>
      <c r="H30" s="519" t="n">
        <f aca="false">ROUND((H29*D30),2)</f>
        <v>0</v>
      </c>
      <c r="I30" s="520" t="n">
        <f aca="false">ROUND((I29*D30),2)</f>
        <v>29.74</v>
      </c>
      <c r="J30" s="101"/>
      <c r="K30" s="101"/>
      <c r="L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54"/>
      <c r="F31" s="532" t="n">
        <f aca="false">F28+F30</f>
        <v>312.17</v>
      </c>
      <c r="G31" s="533" t="n">
        <f aca="false">$G$28+$G$30</f>
        <v>0</v>
      </c>
      <c r="H31" s="534" t="n">
        <f aca="false">H28+H30</f>
        <v>0</v>
      </c>
      <c r="I31" s="535" t="n">
        <f aca="false">I28+I30</f>
        <v>42.5</v>
      </c>
      <c r="J31" s="101"/>
      <c r="K31" s="101"/>
      <c r="L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F14+F24+F31</f>
        <v>3435.89</v>
      </c>
      <c r="G32" s="533" t="n">
        <f aca="false">$G$14+$G$24+$G$31</f>
        <v>0</v>
      </c>
      <c r="H32" s="534" t="n">
        <f aca="false">H14+H24+H31</f>
        <v>0</v>
      </c>
      <c r="I32" s="535" t="n">
        <f aca="false">I14+I24+I31</f>
        <v>467.81</v>
      </c>
      <c r="J32" s="101"/>
      <c r="K32" s="101"/>
      <c r="L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304.52</v>
      </c>
      <c r="G34" s="518" t="n">
        <f aca="false">ROUND(($G$39*$D$34),2)</f>
        <v>0</v>
      </c>
      <c r="H34" s="519" t="n">
        <f aca="false">ROUND((H39*D34),2)</f>
        <v>0</v>
      </c>
      <c r="I34" s="520" t="n">
        <f aca="false">ROUND((I39*D34),2)</f>
        <v>41.46</v>
      </c>
      <c r="J34" s="101"/>
      <c r="K34" s="101"/>
      <c r="L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66.11</v>
      </c>
      <c r="G35" s="518" t="n">
        <f aca="false">ROUND(($G$39*$D$35),2)</f>
        <v>0</v>
      </c>
      <c r="H35" s="519" t="n">
        <f aca="false">ROUND((H39*D35),2)</f>
        <v>0</v>
      </c>
      <c r="I35" s="520" t="n">
        <f aca="false">ROUND((I39*D35),2)</f>
        <v>9</v>
      </c>
      <c r="J35" s="101"/>
      <c r="K35" s="101"/>
      <c r="L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200.34</v>
      </c>
      <c r="G36" s="518" t="n">
        <f aca="false">ROUND(($G$39*$D$36),2)</f>
        <v>0</v>
      </c>
      <c r="H36" s="519" t="n">
        <f aca="false">ROUND((H39*D36),2)</f>
        <v>0</v>
      </c>
      <c r="I36" s="520" t="n">
        <f aca="false">ROUND((I39*D36),2)</f>
        <v>27.28</v>
      </c>
      <c r="J36" s="101"/>
      <c r="K36" s="101"/>
      <c r="L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ROUND((F39*D37),2)</f>
        <v>0</v>
      </c>
      <c r="G37" s="517" t="n">
        <f aca="false">ROUND((G39*E37),2)</f>
        <v>0</v>
      </c>
      <c r="H37" s="519"/>
      <c r="I37" s="520"/>
      <c r="J37" s="101"/>
      <c r="K37" s="101"/>
      <c r="L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570.97</v>
      </c>
      <c r="G38" s="532" t="n">
        <f aca="false">SUM(G34:G37)</f>
        <v>0</v>
      </c>
      <c r="H38" s="532" t="n">
        <f aca="false">SUM(H34:H37)</f>
        <v>0</v>
      </c>
      <c r="I38" s="558" t="n">
        <f aca="false">SUM(I34:I37)</f>
        <v>77.74</v>
      </c>
      <c r="J38" s="101"/>
      <c r="K38" s="101"/>
      <c r="L38" s="101"/>
    </row>
    <row r="39" customFormat="false" ht="34.5" hidden="true" customHeight="true" outlineLevel="0" collapsed="false">
      <c r="A39" s="559" t="str">
        <f aca="false">A7</f>
        <v>Ascensorista - 150</v>
      </c>
      <c r="B39" s="559"/>
      <c r="C39" s="559"/>
      <c r="D39" s="559"/>
      <c r="E39" s="559"/>
      <c r="F39" s="560" t="n">
        <f aca="false">ROUND(F32/(1-D38),2)</f>
        <v>4006.87</v>
      </c>
      <c r="G39" s="561" t="n">
        <f aca="false">ROUND($G$32/(1-$D$38),2)</f>
        <v>0</v>
      </c>
      <c r="H39" s="562" t="n">
        <f aca="false">ROUND(H32/(1-D38),2)</f>
        <v>0</v>
      </c>
      <c r="I39" s="563" t="n">
        <f aca="false">ROUND(I32/(1-D38),2)</f>
        <v>545.55</v>
      </c>
      <c r="J39" s="101"/>
      <c r="K39" s="101"/>
      <c r="L39" s="101"/>
    </row>
    <row r="40" customFormat="false" ht="30" hidden="false" customHeight="true" outlineLevel="0" collapsed="false">
      <c r="A40" s="564" t="str">
        <f aca="false">A7</f>
        <v>Ascensorista - 150</v>
      </c>
      <c r="B40" s="564"/>
      <c r="C40" s="564"/>
      <c r="D40" s="564"/>
      <c r="E40" s="564"/>
      <c r="F40" s="565" t="n">
        <f aca="false">F39</f>
        <v>4006.87</v>
      </c>
      <c r="G40" s="566" t="n">
        <f aca="false">$G$39</f>
        <v>0</v>
      </c>
      <c r="H40" s="567" t="n">
        <f aca="false">H39</f>
        <v>0</v>
      </c>
      <c r="I40" s="568" t="n">
        <f aca="false">I39</f>
        <v>545.55</v>
      </c>
      <c r="J40" s="101"/>
      <c r="K40" s="101"/>
      <c r="L40" s="101"/>
    </row>
    <row r="41" customFormat="false" ht="29.25" hidden="false" customHeight="true" outlineLevel="0" collapsed="false">
      <c r="A41" s="569" t="s">
        <v>414</v>
      </c>
      <c r="B41" s="569"/>
      <c r="C41" s="569"/>
      <c r="D41" s="569"/>
      <c r="E41" s="569"/>
      <c r="F41" s="570" t="n">
        <f aca="false">($F$40/$F$12)/100</f>
        <v>0.0282536067353932</v>
      </c>
      <c r="G41" s="571"/>
      <c r="H41" s="572"/>
      <c r="I41" s="573"/>
      <c r="J41" s="101"/>
      <c r="K41" s="101"/>
      <c r="L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34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</row>
    <row r="7" customFormat="false" ht="30" hidden="false" customHeight="true" outlineLevel="0" collapsed="false">
      <c r="A7" s="502" t="str">
        <f aca="false">Dados!B9&amp;" - "&amp;D10</f>
        <v>Atendente - 200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</row>
    <row r="10" customFormat="false" ht="26.25" hidden="false" customHeight="true" outlineLevel="0" collapsed="false">
      <c r="A10" s="513" t="n">
        <v>1</v>
      </c>
      <c r="B10" s="514" t="str">
        <f aca="false">A7</f>
        <v>Atendente - 200</v>
      </c>
      <c r="C10" s="514"/>
      <c r="D10" s="574" t="n">
        <f aca="false">Dados!C12</f>
        <v>200</v>
      </c>
      <c r="E10" s="516" t="n">
        <f aca="false">Dados!$E9</f>
        <v>2530</v>
      </c>
      <c r="F10" s="517" t="n">
        <f aca="false">ROUND(E10/220*D10,2)</f>
        <v>2300</v>
      </c>
      <c r="G10" s="518"/>
      <c r="H10" s="519"/>
      <c r="I10" s="520"/>
      <c r="J10" s="101"/>
      <c r="K10" s="101"/>
    </row>
    <row r="11" customFormat="false" ht="24" hidden="false" customHeight="true" outlineLevel="0" collapsed="false">
      <c r="A11" s="513"/>
      <c r="B11" s="521"/>
      <c r="C11" s="521"/>
      <c r="D11" s="575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</row>
    <row r="12" customFormat="false" ht="19.5" hidden="false" customHeight="true" outlineLevel="0" collapsed="false">
      <c r="A12" s="513"/>
      <c r="B12" s="576" t="s">
        <v>391</v>
      </c>
      <c r="C12" s="576"/>
      <c r="D12" s="576"/>
      <c r="E12" s="576"/>
      <c r="F12" s="532" t="n">
        <f aca="false">F10+F11</f>
        <v>2300</v>
      </c>
      <c r="G12" s="526"/>
      <c r="H12" s="527"/>
      <c r="I12" s="528"/>
      <c r="J12" s="101"/>
      <c r="K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77" t="n">
        <f aca="false">Dados!G28</f>
        <v>0.7905</v>
      </c>
      <c r="F13" s="517" t="n">
        <f aca="false">(ROUND((E13*F12),2))</f>
        <v>1818.15</v>
      </c>
      <c r="G13" s="518"/>
      <c r="H13" s="519"/>
      <c r="I13" s="520"/>
      <c r="J13" s="101"/>
      <c r="K13" s="101"/>
    </row>
    <row r="14" customFormat="false" ht="24.75" hidden="false" customHeight="true" outlineLevel="0" collapsed="false">
      <c r="A14" s="578" t="s">
        <v>393</v>
      </c>
      <c r="B14" s="578"/>
      <c r="C14" s="578"/>
      <c r="D14" s="578"/>
      <c r="E14" s="578"/>
      <c r="F14" s="532" t="n">
        <f aca="false">ROUND(SUM(F12:F13),2)</f>
        <v>4118.15</v>
      </c>
      <c r="G14" s="533"/>
      <c r="H14" s="534"/>
      <c r="I14" s="535"/>
      <c r="J14" s="101"/>
      <c r="K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390</v>
      </c>
      <c r="E16" s="539"/>
      <c r="F16" s="539"/>
      <c r="G16" s="539"/>
      <c r="H16" s="539"/>
      <c r="I16" s="539"/>
      <c r="J16" s="101"/>
      <c r="K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Dados!I9</f>
        <v>72.65</v>
      </c>
      <c r="G17" s="518"/>
      <c r="H17" s="519"/>
      <c r="I17" s="520"/>
      <c r="J17" s="101"/>
      <c r="K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</row>
    <row r="20" customFormat="false" ht="25.5" hidden="false" customHeight="true" outlineLevel="0" collapsed="false">
      <c r="A20" s="373" t="s">
        <v>209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460.06</v>
      </c>
      <c r="G20" s="518" t="n">
        <f aca="false">F20</f>
        <v>460.06</v>
      </c>
      <c r="H20" s="519"/>
      <c r="I20" s="520"/>
      <c r="J20" s="101"/>
      <c r="K20" s="101"/>
    </row>
    <row r="21" customFormat="false" ht="19.5" hidden="false" customHeight="true" outlineLevel="0" collapsed="false">
      <c r="A21" s="540" t="s">
        <v>415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372.4</v>
      </c>
      <c r="G21" s="518"/>
      <c r="H21" s="519"/>
      <c r="I21" s="520" t="n">
        <f aca="false">F21</f>
        <v>372.4</v>
      </c>
      <c r="J21" s="101"/>
      <c r="K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988.03</v>
      </c>
      <c r="G24" s="532" t="n">
        <f aca="false">SUM(G17:G23)</f>
        <v>460.06</v>
      </c>
      <c r="H24" s="534" t="n">
        <f aca="false">SUM($H$17:$H$23)</f>
        <v>0</v>
      </c>
      <c r="I24" s="535" t="n">
        <f aca="false">SUM($I$17:$I$23)</f>
        <v>372.4</v>
      </c>
      <c r="J24" s="101"/>
      <c r="K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5106.18</v>
      </c>
      <c r="G25" s="532" t="n">
        <f aca="false">$G$14+$G$24</f>
        <v>460.06</v>
      </c>
      <c r="H25" s="534" t="n">
        <f aca="false">$H$14+$H$24</f>
        <v>0</v>
      </c>
      <c r="I25" s="535" t="n">
        <f aca="false">$I$14+$I$24</f>
        <v>372.4</v>
      </c>
      <c r="J25" s="101"/>
      <c r="K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1117.2</v>
      </c>
      <c r="J26" s="101"/>
      <c r="K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18"/>
      <c r="F28" s="517" t="n">
        <f aca="false">ROUND((F25*D28),2)</f>
        <v>153.19</v>
      </c>
      <c r="G28" s="518" t="n">
        <f aca="false">ROUND(($G$25*$D$28),2)</f>
        <v>13.8</v>
      </c>
      <c r="H28" s="519" t="n">
        <f aca="false">ROUND((H25*D28),2)</f>
        <v>0</v>
      </c>
      <c r="I28" s="520" t="n">
        <f aca="false">ROUND((I25*D28),2)</f>
        <v>11.17</v>
      </c>
      <c r="J28" s="101"/>
      <c r="K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18"/>
      <c r="F29" s="517" t="n">
        <f aca="false">F25+F28</f>
        <v>5259.37</v>
      </c>
      <c r="G29" s="518" t="n">
        <f aca="false">$G$28+$G$25</f>
        <v>473.86</v>
      </c>
      <c r="H29" s="519" t="n">
        <f aca="false">H25+H28</f>
        <v>0</v>
      </c>
      <c r="I29" s="520" t="n">
        <f aca="false">I25+I28</f>
        <v>383.57</v>
      </c>
      <c r="J29" s="101"/>
      <c r="K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18" t="n">
        <f aca="false">F25+F28</f>
        <v>5259.37</v>
      </c>
      <c r="F30" s="517" t="n">
        <f aca="false">ROUND((E30*D30),2)</f>
        <v>357.11</v>
      </c>
      <c r="G30" s="518" t="n">
        <f aca="false">ROUND(($G$29*$D$30),2)</f>
        <v>32.18</v>
      </c>
      <c r="H30" s="519" t="n">
        <f aca="false">ROUND((H29*D30),2)</f>
        <v>0</v>
      </c>
      <c r="I30" s="520" t="n">
        <f aca="false">ROUND((I29*D30),2)</f>
        <v>26.04</v>
      </c>
      <c r="J30" s="101"/>
      <c r="K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33"/>
      <c r="F31" s="532" t="n">
        <f aca="false">F28+F30</f>
        <v>510.3</v>
      </c>
      <c r="G31" s="533" t="n">
        <f aca="false">$G$28+$G$30</f>
        <v>45.98</v>
      </c>
      <c r="H31" s="534" t="n">
        <f aca="false">H28+H30</f>
        <v>0</v>
      </c>
      <c r="I31" s="535" t="n">
        <f aca="false">I28+I30</f>
        <v>37.21</v>
      </c>
      <c r="J31" s="101"/>
      <c r="K31" s="101"/>
    </row>
    <row r="32" customFormat="false" ht="24.75" hidden="false" customHeight="true" outlineLevel="0" collapsed="false">
      <c r="A32" s="578" t="s">
        <v>411</v>
      </c>
      <c r="B32" s="578"/>
      <c r="C32" s="578"/>
      <c r="D32" s="578"/>
      <c r="E32" s="578"/>
      <c r="F32" s="532" t="n">
        <f aca="false">F14+F24+F31</f>
        <v>5616.48</v>
      </c>
      <c r="G32" s="533" t="n">
        <f aca="false">$G$14+$G$24+$G$31</f>
        <v>506.04</v>
      </c>
      <c r="H32" s="534" t="n">
        <f aca="false">H14+H24+H31</f>
        <v>0</v>
      </c>
      <c r="I32" s="535" t="n">
        <f aca="false">I14+I24+I31</f>
        <v>409.61</v>
      </c>
      <c r="J32" s="101"/>
      <c r="K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497.79</v>
      </c>
      <c r="G34" s="518" t="n">
        <f aca="false">ROUND(($G$39*$D$34),2)</f>
        <v>44.85</v>
      </c>
      <c r="H34" s="519" t="n">
        <f aca="false">ROUND((H39*D34),2)</f>
        <v>0</v>
      </c>
      <c r="I34" s="520" t="n">
        <f aca="false">ROUND((I39*D34),2)</f>
        <v>36.3</v>
      </c>
      <c r="J34" s="101"/>
      <c r="K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108.07</v>
      </c>
      <c r="G35" s="518" t="n">
        <f aca="false">ROUND(($G$39*$D$35),2)</f>
        <v>9.74</v>
      </c>
      <c r="H35" s="519" t="n">
        <f aca="false">ROUND((H39*D35),2)</f>
        <v>0</v>
      </c>
      <c r="I35" s="520" t="n">
        <f aca="false">ROUND((I39*D35),2)</f>
        <v>7.88</v>
      </c>
      <c r="J35" s="101"/>
      <c r="K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327.49</v>
      </c>
      <c r="G36" s="518" t="n">
        <f aca="false">ROUND(($G$39*$D$36),2)</f>
        <v>29.51</v>
      </c>
      <c r="H36" s="519" t="n">
        <f aca="false">ROUND((H39*D36),2)</f>
        <v>0</v>
      </c>
      <c r="I36" s="520" t="n">
        <f aca="false">ROUND((I39*D36),2)</f>
        <v>23.88</v>
      </c>
      <c r="J36" s="101"/>
      <c r="K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933.35</v>
      </c>
      <c r="G38" s="532" t="n">
        <f aca="false">SUM(G34:G37)</f>
        <v>84.1</v>
      </c>
      <c r="H38" s="532" t="n">
        <f aca="false">SUM(H34:H37)</f>
        <v>0</v>
      </c>
      <c r="I38" s="558" t="n">
        <f aca="false">SUM(I34:I37)</f>
        <v>68.06</v>
      </c>
      <c r="J38" s="101"/>
      <c r="K38" s="101"/>
    </row>
    <row r="39" customFormat="false" ht="34.5" hidden="true" customHeight="true" outlineLevel="0" collapsed="false">
      <c r="A39" s="559" t="str">
        <f aca="false">A7</f>
        <v>Atendente - 200</v>
      </c>
      <c r="B39" s="559"/>
      <c r="C39" s="559"/>
      <c r="D39" s="559"/>
      <c r="E39" s="559"/>
      <c r="F39" s="560" t="n">
        <f aca="false">ROUND(F32/(1-D38),2)</f>
        <v>6549.83</v>
      </c>
      <c r="G39" s="561" t="n">
        <f aca="false">ROUND($G$32/(1-$D$38),2)</f>
        <v>590.13</v>
      </c>
      <c r="H39" s="562" t="n">
        <f aca="false">ROUND(H32/(1-D38),2)</f>
        <v>0</v>
      </c>
      <c r="I39" s="563" t="n">
        <f aca="false">ROUND(I32/(1-D38),2)</f>
        <v>477.68</v>
      </c>
      <c r="J39" s="101"/>
      <c r="K39" s="101"/>
    </row>
    <row r="40" customFormat="false" ht="30" hidden="false" customHeight="true" outlineLevel="0" collapsed="false">
      <c r="A40" s="579" t="str">
        <f aca="false">A7</f>
        <v>Atendente - 200</v>
      </c>
      <c r="B40" s="579"/>
      <c r="C40" s="579"/>
      <c r="D40" s="579"/>
      <c r="E40" s="579"/>
      <c r="F40" s="580" t="n">
        <f aca="false">F39</f>
        <v>6549.83</v>
      </c>
      <c r="G40" s="580" t="n">
        <f aca="false">$G$39</f>
        <v>590.13</v>
      </c>
      <c r="H40" s="580" t="n">
        <f aca="false">H39</f>
        <v>0</v>
      </c>
      <c r="I40" s="581" t="n">
        <f aca="false">I39</f>
        <v>477.68</v>
      </c>
      <c r="J40" s="101"/>
      <c r="K40" s="101"/>
    </row>
    <row r="41" customFormat="false" ht="29.25" hidden="false" customHeight="true" outlineLevel="0" collapsed="false">
      <c r="A41" s="582" t="s">
        <v>414</v>
      </c>
      <c r="B41" s="582"/>
      <c r="C41" s="582"/>
      <c r="D41" s="582"/>
      <c r="E41" s="582"/>
      <c r="F41" s="583" t="n">
        <f aca="false">($F$40/$F$12)/100</f>
        <v>0.0284775217391304</v>
      </c>
      <c r="G41" s="584"/>
      <c r="H41" s="584"/>
      <c r="I41" s="585"/>
      <c r="J41" s="101"/>
      <c r="K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1.32"/>
    <col collapsed="false" customWidth="true" hidden="false" outlineLevel="0" max="2" min="2" style="0" width="28.84"/>
    <col collapsed="false" customWidth="true" hidden="false" outlineLevel="0" max="3" min="3" style="0" width="10.51"/>
    <col collapsed="false" customWidth="true" hidden="false" outlineLevel="0" max="5" min="4" style="0" width="17.5"/>
    <col collapsed="false" customWidth="true" hidden="false" outlineLevel="0" max="8" min="6" style="488" width="17.83"/>
    <col collapsed="false" customWidth="true" hidden="false" outlineLevel="0" max="9" min="9" style="0" width="17.83"/>
    <col collapsed="false" customWidth="true" hidden="false" outlineLevel="0" max="1025" min="10" style="0" width="9"/>
  </cols>
  <sheetData>
    <row r="1" customFormat="false" ht="12.75" hidden="false" customHeight="false" outlineLevel="0" collapsed="false">
      <c r="A1" s="489"/>
      <c r="B1" s="490" t="s">
        <v>0</v>
      </c>
      <c r="C1" s="491"/>
      <c r="D1" s="491"/>
      <c r="E1" s="491"/>
      <c r="F1" s="492"/>
      <c r="G1" s="492"/>
      <c r="H1" s="492"/>
      <c r="I1" s="493"/>
      <c r="J1" s="101"/>
      <c r="K1" s="101"/>
      <c r="L1" s="101"/>
      <c r="M1" s="101"/>
      <c r="N1" s="101"/>
    </row>
    <row r="2" customFormat="false" ht="12.75" hidden="false" customHeight="false" outlineLevel="0" collapsed="false">
      <c r="A2" s="494"/>
      <c r="B2" s="495" t="s">
        <v>1</v>
      </c>
      <c r="C2" s="216"/>
      <c r="D2" s="216"/>
      <c r="E2" s="216"/>
      <c r="F2" s="496"/>
      <c r="G2" s="496"/>
      <c r="H2" s="496"/>
      <c r="I2" s="497"/>
      <c r="J2" s="101"/>
      <c r="K2" s="101"/>
      <c r="L2" s="101"/>
      <c r="M2" s="101"/>
      <c r="N2" s="101"/>
    </row>
    <row r="3" customFormat="false" ht="12.75" hidden="false" customHeight="false" outlineLevel="0" collapsed="false">
      <c r="A3" s="498"/>
      <c r="B3" s="495" t="s">
        <v>2</v>
      </c>
      <c r="C3" s="216"/>
      <c r="D3" s="216"/>
      <c r="E3" s="216"/>
      <c r="F3" s="496"/>
      <c r="G3" s="496"/>
      <c r="H3" s="496"/>
      <c r="I3" s="497"/>
      <c r="J3" s="101"/>
      <c r="K3" s="101"/>
      <c r="L3" s="101"/>
      <c r="M3" s="101"/>
      <c r="N3" s="101"/>
    </row>
    <row r="4" customFormat="false" ht="32.25" hidden="false" customHeight="true" outlineLevel="0" collapsed="false">
      <c r="A4" s="499" t="s">
        <v>379</v>
      </c>
      <c r="B4" s="499"/>
      <c r="C4" s="499"/>
      <c r="D4" s="499"/>
      <c r="E4" s="499"/>
      <c r="F4" s="499"/>
      <c r="G4" s="499"/>
      <c r="H4" s="499"/>
      <c r="I4" s="499"/>
      <c r="J4" s="101"/>
      <c r="K4" s="101"/>
      <c r="L4" s="101"/>
      <c r="M4" s="101"/>
      <c r="N4" s="101"/>
    </row>
    <row r="5" customFormat="false" ht="32.25" hidden="false" customHeight="true" outlineLevel="0" collapsed="false">
      <c r="A5" s="500" t="str">
        <f aca="false">Dados!A5</f>
        <v>Sindicato utilizado - SINDEAC/MG. Vigência: 01/01/2023 à 31/12/2023
Sendo a data base da categoria 01º de Janeiro. Com número de registro no MTE MG000001/2023.</v>
      </c>
      <c r="B5" s="500"/>
      <c r="C5" s="500"/>
      <c r="D5" s="500"/>
      <c r="E5" s="500"/>
      <c r="F5" s="500"/>
      <c r="G5" s="500"/>
      <c r="H5" s="500"/>
      <c r="I5" s="500"/>
      <c r="J5" s="101"/>
      <c r="K5" s="101"/>
      <c r="L5" s="101"/>
      <c r="M5" s="101"/>
      <c r="N5" s="101"/>
    </row>
    <row r="6" customFormat="false" ht="22.5" hidden="false" customHeight="true" outlineLevel="0" collapsed="false">
      <c r="A6" s="501" t="s">
        <v>380</v>
      </c>
      <c r="B6" s="501"/>
      <c r="C6" s="501"/>
      <c r="D6" s="501"/>
      <c r="E6" s="501"/>
      <c r="F6" s="501"/>
      <c r="G6" s="501"/>
      <c r="H6" s="501"/>
      <c r="I6" s="501"/>
      <c r="J6" s="101"/>
      <c r="K6" s="101"/>
      <c r="L6" s="101"/>
      <c r="M6" s="101"/>
      <c r="N6" s="101"/>
    </row>
    <row r="7" customFormat="false" ht="30" hidden="false" customHeight="true" outlineLevel="0" collapsed="false">
      <c r="A7" s="502" t="str">
        <f aca="false">Dados!B11&amp;" - "&amp;D10</f>
        <v>Auxiliar Administrativo - Classe I - 150</v>
      </c>
      <c r="B7" s="502"/>
      <c r="C7" s="502"/>
      <c r="D7" s="502"/>
      <c r="E7" s="502"/>
      <c r="F7" s="503" t="s">
        <v>381</v>
      </c>
      <c r="G7" s="503" t="s">
        <v>382</v>
      </c>
      <c r="H7" s="504" t="s">
        <v>383</v>
      </c>
      <c r="I7" s="505" t="s">
        <v>384</v>
      </c>
      <c r="J7" s="101"/>
      <c r="K7" s="101"/>
      <c r="L7" s="101"/>
      <c r="M7" s="101"/>
      <c r="N7" s="101"/>
    </row>
    <row r="8" customFormat="false" ht="18" hidden="false" customHeight="true" outlineLevel="0" collapsed="false">
      <c r="A8" s="506" t="s">
        <v>385</v>
      </c>
      <c r="B8" s="506"/>
      <c r="C8" s="506"/>
      <c r="D8" s="506"/>
      <c r="E8" s="507" t="s">
        <v>161</v>
      </c>
      <c r="F8" s="503"/>
      <c r="G8" s="503"/>
      <c r="H8" s="504"/>
      <c r="I8" s="505"/>
      <c r="J8" s="101"/>
      <c r="K8" s="101"/>
      <c r="L8" s="101"/>
      <c r="M8" s="101"/>
      <c r="N8" s="101"/>
    </row>
    <row r="9" customFormat="false" ht="24.75" hidden="false" customHeight="true" outlineLevel="0" collapsed="false">
      <c r="A9" s="508" t="s">
        <v>386</v>
      </c>
      <c r="B9" s="509" t="s">
        <v>387</v>
      </c>
      <c r="C9" s="509"/>
      <c r="D9" s="510" t="s">
        <v>388</v>
      </c>
      <c r="E9" s="511" t="s">
        <v>389</v>
      </c>
      <c r="F9" s="512" t="s">
        <v>390</v>
      </c>
      <c r="G9" s="512"/>
      <c r="H9" s="512"/>
      <c r="I9" s="512"/>
      <c r="J9" s="101"/>
      <c r="K9" s="101"/>
      <c r="L9" s="101"/>
      <c r="M9" s="101"/>
      <c r="N9" s="101"/>
    </row>
    <row r="10" customFormat="false" ht="27" hidden="false" customHeight="true" outlineLevel="0" collapsed="false">
      <c r="A10" s="513" t="n">
        <v>1</v>
      </c>
      <c r="B10" s="514" t="str">
        <f aca="false">A7</f>
        <v>Auxiliar Administrativo - Classe I - 150</v>
      </c>
      <c r="C10" s="514"/>
      <c r="D10" s="515" t="n">
        <f aca="false">Dados!C11</f>
        <v>150</v>
      </c>
      <c r="E10" s="516" t="n">
        <f aca="false">Dados!$E11</f>
        <v>2530</v>
      </c>
      <c r="F10" s="517" t="n">
        <f aca="false">ROUND(E10/220*D10,2)</f>
        <v>1725</v>
      </c>
      <c r="G10" s="518"/>
      <c r="H10" s="519"/>
      <c r="I10" s="520"/>
      <c r="J10" s="101"/>
      <c r="K10" s="101"/>
      <c r="L10" s="101"/>
      <c r="M10" s="101"/>
      <c r="N10" s="101"/>
    </row>
    <row r="11" customFormat="false" ht="24" hidden="false" customHeight="true" outlineLevel="0" collapsed="false">
      <c r="A11" s="513"/>
      <c r="B11" s="521"/>
      <c r="C11" s="521"/>
      <c r="D11" s="522"/>
      <c r="E11" s="523"/>
      <c r="F11" s="517" t="n">
        <f aca="false">ROUND(((E11/220*D10)*C11)*D11,2)</f>
        <v>0</v>
      </c>
      <c r="G11" s="518"/>
      <c r="H11" s="519"/>
      <c r="I11" s="520"/>
      <c r="J11" s="101"/>
      <c r="K11" s="101"/>
      <c r="L11" s="101"/>
      <c r="M11" s="101"/>
      <c r="N11" s="101"/>
    </row>
    <row r="12" customFormat="false" ht="19.5" hidden="false" customHeight="true" outlineLevel="0" collapsed="false">
      <c r="A12" s="513"/>
      <c r="B12" s="524" t="s">
        <v>391</v>
      </c>
      <c r="C12" s="524"/>
      <c r="D12" s="524"/>
      <c r="E12" s="524"/>
      <c r="F12" s="525" t="n">
        <f aca="false">F10+F11</f>
        <v>1725</v>
      </c>
      <c r="G12" s="526"/>
      <c r="H12" s="527"/>
      <c r="I12" s="528"/>
      <c r="J12" s="101"/>
      <c r="K12" s="101"/>
      <c r="L12" s="101"/>
      <c r="M12" s="101"/>
      <c r="N12" s="101"/>
    </row>
    <row r="13" customFormat="false" ht="19.5" hidden="false" customHeight="true" outlineLevel="0" collapsed="false">
      <c r="A13" s="513"/>
      <c r="B13" s="529" t="s">
        <v>392</v>
      </c>
      <c r="C13" s="529"/>
      <c r="D13" s="529"/>
      <c r="E13" s="530" t="n">
        <f aca="false">Dados!G28</f>
        <v>0.7905</v>
      </c>
      <c r="F13" s="517" t="n">
        <f aca="false">(ROUND((E13*F12),2))</f>
        <v>1363.61</v>
      </c>
      <c r="G13" s="518"/>
      <c r="H13" s="519"/>
      <c r="I13" s="520"/>
      <c r="J13" s="101"/>
      <c r="K13" s="101"/>
      <c r="L13" s="101"/>
      <c r="M13" s="101"/>
      <c r="N13" s="101"/>
    </row>
    <row r="14" customFormat="false" ht="24.75" hidden="false" customHeight="true" outlineLevel="0" collapsed="false">
      <c r="A14" s="531" t="s">
        <v>393</v>
      </c>
      <c r="B14" s="531"/>
      <c r="C14" s="531"/>
      <c r="D14" s="531"/>
      <c r="E14" s="531"/>
      <c r="F14" s="532" t="n">
        <f aca="false">ROUND(SUM(F12:F13),2)</f>
        <v>3088.61</v>
      </c>
      <c r="G14" s="533"/>
      <c r="H14" s="534"/>
      <c r="I14" s="535"/>
      <c r="J14" s="101"/>
      <c r="K14" s="101"/>
      <c r="L14" s="101"/>
      <c r="M14" s="101"/>
      <c r="N14" s="101"/>
    </row>
    <row r="15" customFormat="false" ht="19.5" hidden="false" customHeight="true" outlineLevel="0" collapsed="false">
      <c r="A15" s="536" t="s">
        <v>394</v>
      </c>
      <c r="B15" s="536"/>
      <c r="C15" s="536"/>
      <c r="D15" s="536"/>
      <c r="E15" s="536"/>
      <c r="F15" s="536"/>
      <c r="G15" s="536"/>
      <c r="H15" s="536"/>
      <c r="I15" s="536"/>
      <c r="J15" s="101"/>
      <c r="K15" s="101"/>
      <c r="L15" s="101"/>
      <c r="M15" s="101"/>
      <c r="N15" s="101"/>
    </row>
    <row r="16" customFormat="false" ht="19.5" hidden="false" customHeight="true" outlineLevel="0" collapsed="false">
      <c r="A16" s="537" t="s">
        <v>395</v>
      </c>
      <c r="B16" s="537"/>
      <c r="C16" s="538" t="s">
        <v>396</v>
      </c>
      <c r="D16" s="539" t="s">
        <v>397</v>
      </c>
      <c r="E16" s="539"/>
      <c r="F16" s="539"/>
      <c r="G16" s="539"/>
      <c r="H16" s="539"/>
      <c r="I16" s="539"/>
      <c r="J16" s="101"/>
      <c r="K16" s="101"/>
      <c r="L16" s="101"/>
      <c r="M16" s="101"/>
      <c r="N16" s="101"/>
    </row>
    <row r="17" customFormat="false" ht="19.5" hidden="false" customHeight="true" outlineLevel="0" collapsed="false">
      <c r="A17" s="540" t="s">
        <v>398</v>
      </c>
      <c r="B17" s="540"/>
      <c r="C17" s="541"/>
      <c r="D17" s="542"/>
      <c r="E17" s="516"/>
      <c r="F17" s="517" t="n">
        <f aca="false">Dados!I11</f>
        <v>72.65</v>
      </c>
      <c r="G17" s="518"/>
      <c r="H17" s="519"/>
      <c r="I17" s="520"/>
      <c r="J17" s="101"/>
      <c r="K17" s="101"/>
      <c r="L17" s="101"/>
      <c r="M17" s="101"/>
      <c r="N17" s="101"/>
    </row>
    <row r="18" customFormat="false" ht="19.5" hidden="false" customHeight="true" outlineLevel="0" collapsed="false">
      <c r="A18" s="540" t="s">
        <v>399</v>
      </c>
      <c r="B18" s="540"/>
      <c r="C18" s="541"/>
      <c r="D18" s="542"/>
      <c r="E18" s="543"/>
      <c r="F18" s="517" t="n">
        <f aca="false">Dados!G35</f>
        <v>2.2</v>
      </c>
      <c r="G18" s="518"/>
      <c r="H18" s="519"/>
      <c r="I18" s="520"/>
      <c r="J18" s="101"/>
      <c r="K18" s="101"/>
      <c r="L18" s="101"/>
      <c r="M18" s="101"/>
      <c r="N18" s="101"/>
    </row>
    <row r="19" customFormat="false" ht="25.5" hidden="false" customHeight="true" outlineLevel="0" collapsed="false">
      <c r="A19" s="544" t="s">
        <v>400</v>
      </c>
      <c r="B19" s="544"/>
      <c r="C19" s="541"/>
      <c r="D19" s="542"/>
      <c r="E19" s="370"/>
      <c r="F19" s="517" t="n">
        <f aca="false">Dados!G36</f>
        <v>80.72</v>
      </c>
      <c r="G19" s="518"/>
      <c r="H19" s="519"/>
      <c r="I19" s="520"/>
      <c r="J19" s="101"/>
      <c r="K19" s="101"/>
      <c r="L19" s="101"/>
      <c r="M19" s="101"/>
      <c r="N19" s="101"/>
    </row>
    <row r="20" customFormat="false" ht="25.5" hidden="false" customHeight="true" outlineLevel="0" collapsed="false">
      <c r="A20" s="373" t="s">
        <v>401</v>
      </c>
      <c r="B20" s="373"/>
      <c r="C20" s="519" t="n">
        <f aca="false">Dados!$G$38</f>
        <v>22</v>
      </c>
      <c r="D20" s="541" t="n">
        <f aca="false">Dados!$G$37</f>
        <v>26.14</v>
      </c>
      <c r="E20" s="545" t="n">
        <f aca="false">Dados!$G$39</f>
        <v>0.2</v>
      </c>
      <c r="F20" s="517" t="n">
        <f aca="false">ROUND((IF(D10&gt;150,((C20*D20)-(E20*(C20*D20))),0)),2)</f>
        <v>0</v>
      </c>
      <c r="G20" s="518" t="n">
        <f aca="false">F20</f>
        <v>0</v>
      </c>
      <c r="H20" s="519"/>
      <c r="I20" s="520"/>
      <c r="J20" s="101"/>
      <c r="K20" s="101"/>
      <c r="L20" s="101"/>
      <c r="M20" s="101"/>
      <c r="N20" s="101"/>
    </row>
    <row r="21" customFormat="false" ht="19.5" hidden="false" customHeight="true" outlineLevel="0" collapsed="false">
      <c r="A21" s="540" t="s">
        <v>402</v>
      </c>
      <c r="B21" s="540"/>
      <c r="C21" s="519" t="n">
        <f aca="false">Dados!$G$44</f>
        <v>22</v>
      </c>
      <c r="D21" s="519" t="n">
        <f aca="false">Dados!$G$43</f>
        <v>7.1</v>
      </c>
      <c r="E21" s="516" t="n">
        <f aca="false">Dados!$G$41</f>
        <v>4.5</v>
      </c>
      <c r="F21" s="517" t="n">
        <f aca="false">ROUND((($C$21*$D$21*Dados!$G$42)+($C$21*$E$21*Dados!$G$40) -(F10*Dados!$G$45)),2)</f>
        <v>406.9</v>
      </c>
      <c r="G21" s="518"/>
      <c r="H21" s="519"/>
      <c r="I21" s="520" t="n">
        <f aca="false">F21</f>
        <v>406.9</v>
      </c>
      <c r="J21" s="101"/>
      <c r="K21" s="101"/>
      <c r="L21" s="101"/>
      <c r="M21" s="101"/>
      <c r="N21" s="101"/>
    </row>
    <row r="22" customFormat="false" ht="19.5" hidden="false" customHeight="true" outlineLevel="0" collapsed="false">
      <c r="A22" s="540" t="str">
        <f aca="false">Dados!B46</f>
        <v>Outros (inserir somente com a justificativa legal)</v>
      </c>
      <c r="B22" s="540"/>
      <c r="C22" s="519" t="n">
        <v>1</v>
      </c>
      <c r="D22" s="519" t="n">
        <f aca="false">Dados!$G$46</f>
        <v>0</v>
      </c>
      <c r="E22" s="516"/>
      <c r="F22" s="517" t="n">
        <f aca="false">ROUND((C22*D22),2)</f>
        <v>0</v>
      </c>
      <c r="G22" s="518"/>
      <c r="H22" s="519"/>
      <c r="I22" s="520"/>
      <c r="J22" s="101"/>
      <c r="K22" s="101"/>
      <c r="L22" s="101"/>
      <c r="M22" s="101"/>
      <c r="N22" s="101"/>
    </row>
    <row r="23" customFormat="false" ht="19.5" hidden="false" customHeight="true" outlineLevel="0" collapsed="false">
      <c r="A23" s="540" t="str">
        <f aca="false">Dados!B47</f>
        <v>Outros (inserir somente com a justificativa legal)</v>
      </c>
      <c r="B23" s="540"/>
      <c r="C23" s="519" t="n">
        <v>1</v>
      </c>
      <c r="D23" s="519" t="n">
        <f aca="false">Dados!$G$47</f>
        <v>0</v>
      </c>
      <c r="E23" s="516"/>
      <c r="F23" s="517" t="n">
        <f aca="false">ROUND((C23*D23),2)</f>
        <v>0</v>
      </c>
      <c r="G23" s="518"/>
      <c r="H23" s="519"/>
      <c r="I23" s="520"/>
      <c r="J23" s="101"/>
      <c r="K23" s="101"/>
      <c r="L23" s="101"/>
      <c r="M23" s="101"/>
      <c r="N23" s="101"/>
    </row>
    <row r="24" customFormat="false" ht="24.75" hidden="false" customHeight="true" outlineLevel="0" collapsed="false">
      <c r="A24" s="531" t="s">
        <v>403</v>
      </c>
      <c r="B24" s="531"/>
      <c r="C24" s="531"/>
      <c r="D24" s="531"/>
      <c r="E24" s="531"/>
      <c r="F24" s="532" t="n">
        <f aca="false">SUM(F17:F23)</f>
        <v>562.47</v>
      </c>
      <c r="G24" s="532" t="n">
        <f aca="false">SUM(G17:G23)</f>
        <v>0</v>
      </c>
      <c r="H24" s="534" t="n">
        <f aca="false">SUM($H$17:$H$23)</f>
        <v>0</v>
      </c>
      <c r="I24" s="535" t="n">
        <f aca="false">SUM($I$17:$I$23)</f>
        <v>406.9</v>
      </c>
      <c r="J24" s="101"/>
      <c r="K24" s="101"/>
      <c r="L24" s="101"/>
      <c r="M24" s="101"/>
      <c r="N24" s="101"/>
    </row>
    <row r="25" customFormat="false" ht="24.75" hidden="false" customHeight="true" outlineLevel="0" collapsed="false">
      <c r="A25" s="531" t="s">
        <v>404</v>
      </c>
      <c r="B25" s="531"/>
      <c r="C25" s="531"/>
      <c r="D25" s="531"/>
      <c r="E25" s="531"/>
      <c r="F25" s="532" t="n">
        <f aca="false">F14+F24</f>
        <v>3651.08</v>
      </c>
      <c r="G25" s="532" t="n">
        <f aca="false">$G$14+$G$24</f>
        <v>0</v>
      </c>
      <c r="H25" s="534" t="n">
        <f aca="false">$H$14+$H$24</f>
        <v>0</v>
      </c>
      <c r="I25" s="535" t="n">
        <f aca="false">$I$14+$I$24</f>
        <v>406.9</v>
      </c>
      <c r="J25" s="101"/>
      <c r="K25" s="101"/>
      <c r="L25" s="101"/>
      <c r="M25" s="101"/>
      <c r="N25" s="101"/>
    </row>
    <row r="26" customFormat="false" ht="19.5" hidden="false" customHeight="true" outlineLevel="0" collapsed="false">
      <c r="A26" s="536" t="s">
        <v>405</v>
      </c>
      <c r="B26" s="536"/>
      <c r="C26" s="536"/>
      <c r="D26" s="536"/>
      <c r="E26" s="536"/>
      <c r="F26" s="536"/>
      <c r="G26" s="536"/>
      <c r="H26" s="536" t="n">
        <f aca="false">SUM($H$17:$H$25)</f>
        <v>0</v>
      </c>
      <c r="I26" s="536" t="n">
        <f aca="false">SUM($I$17:$I$25)</f>
        <v>1220.7</v>
      </c>
      <c r="J26" s="101"/>
      <c r="K26" s="101"/>
      <c r="L26" s="101"/>
      <c r="M26" s="101"/>
      <c r="N26" s="101"/>
    </row>
    <row r="27" customFormat="false" ht="19.5" hidden="false" customHeight="true" outlineLevel="0" collapsed="false">
      <c r="A27" s="379" t="s">
        <v>406</v>
      </c>
      <c r="B27" s="379"/>
      <c r="C27" s="379"/>
      <c r="D27" s="538" t="s">
        <v>407</v>
      </c>
      <c r="E27" s="538"/>
      <c r="F27" s="546" t="s">
        <v>390</v>
      </c>
      <c r="G27" s="546"/>
      <c r="H27" s="546"/>
      <c r="I27" s="546"/>
      <c r="J27" s="101"/>
      <c r="K27" s="101"/>
      <c r="L27" s="101"/>
      <c r="M27" s="101"/>
      <c r="N27" s="101"/>
    </row>
    <row r="28" customFormat="false" ht="19.5" hidden="false" customHeight="true" outlineLevel="0" collapsed="false">
      <c r="A28" s="547" t="s">
        <v>408</v>
      </c>
      <c r="B28" s="548"/>
      <c r="C28" s="548"/>
      <c r="D28" s="542" t="n">
        <f aca="false">Dados!$G$50</f>
        <v>0.03</v>
      </c>
      <c r="E28" s="549"/>
      <c r="F28" s="517" t="n">
        <f aca="false">ROUND((F25*D28),2)</f>
        <v>109.53</v>
      </c>
      <c r="G28" s="518" t="n">
        <f aca="false">ROUND(($G$25*$D$28),2)</f>
        <v>0</v>
      </c>
      <c r="H28" s="519" t="n">
        <f aca="false">ROUND((H25*D28),2)</f>
        <v>0</v>
      </c>
      <c r="I28" s="520" t="n">
        <f aca="false">ROUND((I25*D28),2)</f>
        <v>12.21</v>
      </c>
      <c r="J28" s="101"/>
      <c r="K28" s="101"/>
      <c r="L28" s="101"/>
      <c r="M28" s="101"/>
      <c r="N28" s="101"/>
    </row>
    <row r="29" customFormat="false" ht="19.5" hidden="false" customHeight="true" outlineLevel="0" collapsed="false">
      <c r="A29" s="550" t="s">
        <v>409</v>
      </c>
      <c r="B29" s="550"/>
      <c r="C29" s="550"/>
      <c r="D29" s="542"/>
      <c r="E29" s="549"/>
      <c r="F29" s="517" t="n">
        <f aca="false">F25+F28</f>
        <v>3760.61</v>
      </c>
      <c r="G29" s="518" t="n">
        <f aca="false">$G$28+$G$25</f>
        <v>0</v>
      </c>
      <c r="H29" s="519" t="n">
        <f aca="false">H25+H28</f>
        <v>0</v>
      </c>
      <c r="I29" s="520" t="n">
        <f aca="false">I25+I28</f>
        <v>419.11</v>
      </c>
      <c r="J29" s="101"/>
      <c r="K29" s="101"/>
      <c r="L29" s="101"/>
      <c r="M29" s="101"/>
      <c r="N29" s="101"/>
    </row>
    <row r="30" customFormat="false" ht="19.5" hidden="false" customHeight="true" outlineLevel="0" collapsed="false">
      <c r="A30" s="547" t="s">
        <v>229</v>
      </c>
      <c r="B30" s="548"/>
      <c r="C30" s="548"/>
      <c r="D30" s="542" t="n">
        <f aca="false">Dados!$G$51</f>
        <v>0.0679</v>
      </c>
      <c r="E30" s="549" t="n">
        <f aca="false">F25+F28</f>
        <v>3760.61</v>
      </c>
      <c r="F30" s="517" t="n">
        <f aca="false">ROUND((E30*D30),2)</f>
        <v>255.35</v>
      </c>
      <c r="G30" s="518" t="n">
        <f aca="false">ROUND(($G$29*$D$30),2)</f>
        <v>0</v>
      </c>
      <c r="H30" s="519" t="n">
        <f aca="false">ROUND((H29*D30),2)</f>
        <v>0</v>
      </c>
      <c r="I30" s="520" t="n">
        <f aca="false">ROUND((I29*D30),2)</f>
        <v>28.46</v>
      </c>
      <c r="J30" s="101"/>
      <c r="K30" s="101"/>
      <c r="L30" s="101"/>
      <c r="M30" s="101"/>
      <c r="N30" s="101"/>
    </row>
    <row r="31" customFormat="false" ht="24.75" hidden="false" customHeight="true" outlineLevel="0" collapsed="false">
      <c r="A31" s="551" t="s">
        <v>410</v>
      </c>
      <c r="B31" s="552"/>
      <c r="C31" s="552"/>
      <c r="D31" s="553" t="n">
        <f aca="false">SUM(D28:D30)</f>
        <v>0.0979</v>
      </c>
      <c r="E31" s="554"/>
      <c r="F31" s="532" t="n">
        <f aca="false">F28+F30</f>
        <v>364.88</v>
      </c>
      <c r="G31" s="533" t="n">
        <f aca="false">$G$28+$G$30</f>
        <v>0</v>
      </c>
      <c r="H31" s="534" t="n">
        <f aca="false">H28+H30</f>
        <v>0</v>
      </c>
      <c r="I31" s="535" t="n">
        <f aca="false">I28+I30</f>
        <v>40.67</v>
      </c>
      <c r="J31" s="101"/>
      <c r="K31" s="101"/>
      <c r="L31" s="101"/>
      <c r="M31" s="101"/>
      <c r="N31" s="101"/>
    </row>
    <row r="32" customFormat="false" ht="24.75" hidden="false" customHeight="true" outlineLevel="0" collapsed="false">
      <c r="A32" s="531" t="s">
        <v>411</v>
      </c>
      <c r="B32" s="531"/>
      <c r="C32" s="531"/>
      <c r="D32" s="531"/>
      <c r="E32" s="531"/>
      <c r="F32" s="532" t="n">
        <f aca="false">F14+F24+F31</f>
        <v>4015.96</v>
      </c>
      <c r="G32" s="533" t="n">
        <f aca="false">$G$14+$G$24+$G$31</f>
        <v>0</v>
      </c>
      <c r="H32" s="534" t="n">
        <f aca="false">H14+H24+H31</f>
        <v>0</v>
      </c>
      <c r="I32" s="535" t="n">
        <f aca="false">I14+I24+I31</f>
        <v>447.57</v>
      </c>
      <c r="J32" s="101"/>
      <c r="K32" s="101"/>
      <c r="L32" s="101"/>
      <c r="M32" s="101"/>
      <c r="N32" s="101"/>
    </row>
    <row r="33" customFormat="false" ht="19.5" hidden="false" customHeight="true" outlineLevel="0" collapsed="false">
      <c r="A33" s="536" t="s">
        <v>412</v>
      </c>
      <c r="B33" s="536"/>
      <c r="C33" s="536"/>
      <c r="D33" s="536"/>
      <c r="E33" s="536"/>
      <c r="F33" s="536"/>
      <c r="G33" s="536"/>
      <c r="H33" s="536"/>
      <c r="I33" s="536"/>
      <c r="J33" s="101"/>
      <c r="K33" s="101"/>
      <c r="L33" s="101"/>
      <c r="M33" s="101"/>
      <c r="N33" s="101"/>
    </row>
    <row r="34" customFormat="false" ht="19.5" hidden="false" customHeight="true" outlineLevel="0" collapsed="false">
      <c r="A34" s="547" t="s">
        <v>234</v>
      </c>
      <c r="B34" s="548"/>
      <c r="C34" s="555"/>
      <c r="D34" s="542" t="n">
        <f aca="false">Dados!$G$58</f>
        <v>0.076</v>
      </c>
      <c r="E34" s="516"/>
      <c r="F34" s="517" t="n">
        <f aca="false">ROUND((F39*D34),2)</f>
        <v>355.93</v>
      </c>
      <c r="G34" s="518" t="n">
        <f aca="false">ROUND(($G$39*$D$34),2)</f>
        <v>0</v>
      </c>
      <c r="H34" s="519" t="n">
        <f aca="false">ROUND((H39*D34),2)</f>
        <v>0</v>
      </c>
      <c r="I34" s="520" t="n">
        <f aca="false">ROUND((I39*D34),2)</f>
        <v>39.67</v>
      </c>
      <c r="J34" s="101"/>
      <c r="K34" s="101"/>
      <c r="L34" s="101"/>
      <c r="M34" s="101"/>
      <c r="N34" s="101"/>
    </row>
    <row r="35" customFormat="false" ht="19.5" hidden="false" customHeight="true" outlineLevel="0" collapsed="false">
      <c r="A35" s="547" t="s">
        <v>235</v>
      </c>
      <c r="B35" s="548"/>
      <c r="C35" s="555"/>
      <c r="D35" s="542" t="n">
        <f aca="false">Dados!$G$59</f>
        <v>0.0165</v>
      </c>
      <c r="E35" s="516"/>
      <c r="F35" s="517" t="n">
        <f aca="false">ROUND((F39*D35),2)</f>
        <v>77.28</v>
      </c>
      <c r="G35" s="518" t="n">
        <f aca="false">ROUND(($G$39*$D$35),2)</f>
        <v>0</v>
      </c>
      <c r="H35" s="519" t="n">
        <f aca="false">ROUND((H39*D35),2)</f>
        <v>0</v>
      </c>
      <c r="I35" s="520" t="n">
        <f aca="false">ROUND((I39*D35),2)</f>
        <v>8.61</v>
      </c>
      <c r="J35" s="101"/>
      <c r="K35" s="101"/>
      <c r="L35" s="101"/>
      <c r="M35" s="101"/>
      <c r="N35" s="101"/>
    </row>
    <row r="36" customFormat="false" ht="19.5" hidden="false" customHeight="true" outlineLevel="0" collapsed="false">
      <c r="A36" s="547" t="s">
        <v>236</v>
      </c>
      <c r="B36" s="548"/>
      <c r="C36" s="555"/>
      <c r="D36" s="542" t="n">
        <f aca="false">Dados!$G$60</f>
        <v>0.05</v>
      </c>
      <c r="E36" s="516"/>
      <c r="F36" s="517" t="n">
        <f aca="false">ROUND((F39*D36),2)</f>
        <v>234.17</v>
      </c>
      <c r="G36" s="518" t="n">
        <f aca="false">ROUND(($G$39*$D$36),2)</f>
        <v>0</v>
      </c>
      <c r="H36" s="519" t="n">
        <f aca="false">ROUND((H39*D36),2)</f>
        <v>0</v>
      </c>
      <c r="I36" s="520" t="n">
        <f aca="false">ROUND((I39*D36),2)</f>
        <v>26.1</v>
      </c>
      <c r="J36" s="101"/>
      <c r="K36" s="101"/>
      <c r="L36" s="101"/>
      <c r="M36" s="101"/>
      <c r="N36" s="101"/>
    </row>
    <row r="37" customFormat="false" ht="19.5" hidden="false" customHeight="true" outlineLevel="0" collapsed="false">
      <c r="A37" s="547" t="str">
        <f aca="false">Dados!B61</f>
        <v>Outros (inserir somente com a justificativa legal)</v>
      </c>
      <c r="B37" s="548"/>
      <c r="C37" s="555"/>
      <c r="D37" s="542" t="n">
        <f aca="false">Dados!G61</f>
        <v>0</v>
      </c>
      <c r="E37" s="516"/>
      <c r="F37" s="517" t="n">
        <f aca="false">ROUND((F39*$D$37),2)</f>
        <v>0</v>
      </c>
      <c r="G37" s="517" t="n">
        <f aca="false">ROUND((G39*$D$37),2)</f>
        <v>0</v>
      </c>
      <c r="H37" s="517" t="n">
        <f aca="false">ROUND((H39*$D$37),2)</f>
        <v>0</v>
      </c>
      <c r="I37" s="517" t="n">
        <f aca="false">ROUND((I39*$D$37),2)</f>
        <v>0</v>
      </c>
      <c r="J37" s="101"/>
      <c r="K37" s="101"/>
      <c r="L37" s="101"/>
      <c r="M37" s="101"/>
      <c r="N37" s="101"/>
    </row>
    <row r="38" customFormat="false" ht="30" hidden="false" customHeight="true" outlineLevel="0" collapsed="false">
      <c r="A38" s="551" t="s">
        <v>413</v>
      </c>
      <c r="B38" s="552"/>
      <c r="C38" s="556"/>
      <c r="D38" s="553" t="n">
        <f aca="false">SUM(D34:D37)</f>
        <v>0.1425</v>
      </c>
      <c r="E38" s="557"/>
      <c r="F38" s="532" t="n">
        <f aca="false">SUM(F34:F37)</f>
        <v>667.38</v>
      </c>
      <c r="G38" s="532" t="n">
        <f aca="false">SUM(G34:G37)</f>
        <v>0</v>
      </c>
      <c r="H38" s="532" t="n">
        <f aca="false">SUM(H34:H37)</f>
        <v>0</v>
      </c>
      <c r="I38" s="558" t="n">
        <f aca="false">SUM(I34:I37)</f>
        <v>74.38</v>
      </c>
      <c r="J38" s="101"/>
      <c r="K38" s="101"/>
      <c r="L38" s="101"/>
      <c r="M38" s="101"/>
      <c r="N38" s="101"/>
    </row>
    <row r="39" customFormat="false" ht="34.5" hidden="true" customHeight="true" outlineLevel="0" collapsed="false">
      <c r="A39" s="559" t="str">
        <f aca="false">A7</f>
        <v>Auxiliar Administrativo - Classe I - 150</v>
      </c>
      <c r="B39" s="559"/>
      <c r="C39" s="559"/>
      <c r="D39" s="559"/>
      <c r="E39" s="559"/>
      <c r="F39" s="560" t="n">
        <f aca="false">ROUND(F32/(1-D38),2)</f>
        <v>4683.34</v>
      </c>
      <c r="G39" s="561" t="n">
        <f aca="false">ROUND($G$32/(1-$D$38),2)</f>
        <v>0</v>
      </c>
      <c r="H39" s="562" t="n">
        <f aca="false">ROUND(H32/(1-D38),2)</f>
        <v>0</v>
      </c>
      <c r="I39" s="563" t="n">
        <f aca="false">ROUND(I32/(1-D38),2)</f>
        <v>521.95</v>
      </c>
      <c r="J39" s="101"/>
      <c r="K39" s="101"/>
      <c r="L39" s="101"/>
      <c r="M39" s="101"/>
      <c r="N39" s="101"/>
    </row>
    <row r="40" customFormat="false" ht="30" hidden="false" customHeight="true" outlineLevel="0" collapsed="false">
      <c r="A40" s="564" t="str">
        <f aca="false">A7</f>
        <v>Auxiliar Administrativo - Classe I - 150</v>
      </c>
      <c r="B40" s="564"/>
      <c r="C40" s="564"/>
      <c r="D40" s="564"/>
      <c r="E40" s="564"/>
      <c r="F40" s="565" t="n">
        <f aca="false">F39</f>
        <v>4683.34</v>
      </c>
      <c r="G40" s="566" t="n">
        <f aca="false">$G$39</f>
        <v>0</v>
      </c>
      <c r="H40" s="567" t="n">
        <f aca="false">H39</f>
        <v>0</v>
      </c>
      <c r="I40" s="568" t="n">
        <f aca="false">I39</f>
        <v>521.95</v>
      </c>
      <c r="J40" s="101"/>
      <c r="K40" s="101"/>
      <c r="L40" s="101"/>
      <c r="M40" s="101"/>
      <c r="N40" s="101"/>
    </row>
    <row r="41" customFormat="false" ht="29.25" hidden="false" customHeight="true" outlineLevel="0" collapsed="false">
      <c r="A41" s="569" t="s">
        <v>414</v>
      </c>
      <c r="B41" s="569"/>
      <c r="C41" s="569"/>
      <c r="D41" s="569"/>
      <c r="E41" s="569"/>
      <c r="F41" s="570" t="n">
        <f aca="false">($F$40/$F$12)/100</f>
        <v>0.0271497971014493</v>
      </c>
      <c r="G41" s="571"/>
      <c r="H41" s="572"/>
      <c r="I41" s="573"/>
      <c r="J41" s="101"/>
      <c r="K41" s="101"/>
      <c r="L41" s="101"/>
      <c r="M41" s="101"/>
      <c r="N41" s="101"/>
    </row>
    <row r="42" customFormat="false" ht="24" hidden="false" customHeight="true" outlineLevel="0" collapsed="false"/>
  </sheetData>
  <sheetProtection sheet="true" objects="true" scenarios="true"/>
  <mergeCells count="39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A22:B22"/>
    <mergeCell ref="A23:B23"/>
    <mergeCell ref="A24:E24"/>
    <mergeCell ref="A25:E25"/>
    <mergeCell ref="A26:I26"/>
    <mergeCell ref="A27:C27"/>
    <mergeCell ref="D27:E27"/>
    <mergeCell ref="F27:I27"/>
    <mergeCell ref="A29:C29"/>
    <mergeCell ref="A32:E32"/>
    <mergeCell ref="A33:I33"/>
    <mergeCell ref="A39:E39"/>
    <mergeCell ref="A40:E40"/>
    <mergeCell ref="A41:E41"/>
  </mergeCells>
  <printOptions headings="false" gridLines="false" gridLinesSet="true" horizontalCentered="false" verticalCentered="false"/>
  <pageMargins left="0.39375" right="0" top="0.39375" bottom="0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LibreOffice/5.3.7.2$Windows_x86 LibreOffice_project/6b8ed514a9f8b44d37a1b96673cbbdd077e24059</Application>
  <Company>JFMG_x005f_x0000__x005f_x0000__x005f_x0000_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2001-07-31T19:00:38Z</dcterms:created>
  <dc:creator>MG6403</dc:creator>
  <dc:description/>
  <dc:language>pt-BR</dc:language>
  <cp:lastModifiedBy>B. Pains</cp:lastModifiedBy>
  <cp:lastPrinted>2023-07-10T20:49:50Z</cp:lastPrinted>
  <dcterms:modified xsi:type="dcterms:W3CDTF">2023-07-28T16:51:08Z</dcterms:modified>
  <cp:revision>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JFMG_x005f_x0000__x005f_x0000__x005f_x0000_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