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f2ff7fa4190ed42/Área de Trabalho/SELIT/pregão 08-2023/"/>
    </mc:Choice>
  </mc:AlternateContent>
  <xr:revisionPtr revIDLastSave="0" documentId="8_{A0A12F92-DA37-4A32-8BC9-28ACC67B8CFB}" xr6:coauthVersionLast="47" xr6:coauthVersionMax="47" xr10:uidLastSave="{00000000-0000-0000-0000-000000000000}"/>
  <bookViews>
    <workbookView xWindow="-108" yWindow="-108" windowWidth="23256" windowHeight="12456" tabRatio="727" xr2:uid="{00000000-000D-0000-FFFF-FFFF00000000}"/>
  </bookViews>
  <sheets>
    <sheet name="RESUMO" sheetId="24" r:id="rId1"/>
    <sheet name="ORÇAMENTO POR ESCOPO" sheetId="23" r:id="rId2"/>
    <sheet name="CRONOGRAM FÍSICO-FINANCEIRO" sheetId="4" r:id="rId3"/>
    <sheet name="CALCULO DO FATO K" sheetId="10" r:id="rId4"/>
    <sheet name="ENCARGOS SOCIAIS" sheetId="32" r:id="rId5"/>
    <sheet name="Curva ABC" sheetId="28" r:id="rId6"/>
    <sheet name="ESTIMATIVA DE HORAS TÉCNICAS" sheetId="1" r:id="rId7"/>
    <sheet name="OUTROS CUSTOS DIRETOS" sheetId="29" r:id="rId8"/>
    <sheet name="Pesquisa de Mercado" sheetId="30" r:id="rId9"/>
    <sheet name="IMEC" sheetId="31" r:id="rId10"/>
  </sheets>
  <definedNames>
    <definedName name="_xlnm._FilterDatabase" localSheetId="5" hidden="1">'Curva ABC'!$A$8:$F$8</definedName>
    <definedName name="_xlnm.Print_Area" localSheetId="3">'CALCULO DO FATO K'!$C$1:$E$34</definedName>
    <definedName name="_xlnm.Print_Area" localSheetId="2">'CRONOGRAM FÍSICO-FINANCEIRO'!$C$2:$AI$30</definedName>
    <definedName name="_xlnm.Print_Area" localSheetId="5">'Curva ABC'!$A$1:$F$75</definedName>
    <definedName name="_xlnm.Print_Area" localSheetId="6">'ESTIMATIVA DE HORAS TÉCNICAS'!$A$5:$T$343</definedName>
    <definedName name="_xlnm.Print_Area" localSheetId="7">'OUTROS CUSTOS DIRETOS'!$A$1:$F$45</definedName>
    <definedName name="_xlnm.Print_Area" localSheetId="0">RESUMO!$C$2:$G$23</definedName>
    <definedName name="_xlnm.Print_Titles" localSheetId="6">'ESTIMATIVA DE HORAS TÉCNICAS'!$9:$11</definedName>
    <definedName name="_xlnm.Print_Titles" localSheetId="1">'ORÇAMENTO POR ESCOPO'!$2:$8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30" l="1"/>
  <c r="C53" i="28" l="1"/>
  <c r="D13" i="31"/>
  <c r="F12" i="1"/>
  <c r="K336" i="1"/>
  <c r="K335" i="1"/>
  <c r="K333" i="1"/>
  <c r="K332" i="1"/>
  <c r="K331" i="1"/>
  <c r="K330" i="1"/>
  <c r="K328" i="1"/>
  <c r="K327" i="1"/>
  <c r="Q316" i="1"/>
  <c r="I315" i="1" s="1"/>
  <c r="J315" i="1" s="1"/>
  <c r="K315" i="1" s="1"/>
  <c r="K34" i="24"/>
  <c r="F29" i="24" s="1"/>
  <c r="E30" i="24" s="1"/>
  <c r="H339" i="1"/>
  <c r="J24" i="4"/>
  <c r="AI24" i="4"/>
  <c r="AD24" i="4"/>
  <c r="Y24" i="4"/>
  <c r="T24" i="4"/>
  <c r="O24" i="4"/>
  <c r="AK27" i="4"/>
  <c r="AK22" i="4"/>
  <c r="AK20" i="4"/>
  <c r="AK18" i="4"/>
  <c r="AK16" i="4"/>
  <c r="AK14" i="4"/>
  <c r="AK12" i="4"/>
  <c r="D38" i="29"/>
  <c r="D33" i="29"/>
  <c r="D28" i="29"/>
  <c r="D23" i="29"/>
  <c r="D18" i="29"/>
  <c r="D13" i="29"/>
  <c r="D37" i="29"/>
  <c r="D32" i="29"/>
  <c r="D27" i="29"/>
  <c r="D22" i="29"/>
  <c r="D17" i="29"/>
  <c r="D12" i="29"/>
  <c r="C70" i="23"/>
  <c r="C58" i="23"/>
  <c r="B77" i="23"/>
  <c r="B76" i="23"/>
  <c r="B75" i="23"/>
  <c r="B74" i="23"/>
  <c r="B73" i="23"/>
  <c r="B72" i="23"/>
  <c r="B70" i="23"/>
  <c r="B65" i="23"/>
  <c r="B64" i="23"/>
  <c r="B63" i="23"/>
  <c r="B62" i="23"/>
  <c r="B61" i="23"/>
  <c r="B60" i="23"/>
  <c r="B58" i="23"/>
  <c r="B53" i="23"/>
  <c r="B52" i="23"/>
  <c r="B51" i="23"/>
  <c r="B50" i="23"/>
  <c r="B49" i="23"/>
  <c r="B48" i="23"/>
  <c r="C46" i="23"/>
  <c r="B46" i="23"/>
  <c r="E336" i="1"/>
  <c r="F336" i="1" s="1"/>
  <c r="E335" i="1"/>
  <c r="F335" i="1" s="1"/>
  <c r="E332" i="1"/>
  <c r="F332" i="1" s="1"/>
  <c r="E330" i="1"/>
  <c r="F330" i="1" s="1"/>
  <c r="E331" i="1"/>
  <c r="F331" i="1" s="1"/>
  <c r="C308" i="1"/>
  <c r="E301" i="1"/>
  <c r="E252" i="1"/>
  <c r="E203" i="1"/>
  <c r="S12" i="1"/>
  <c r="Q12" i="1"/>
  <c r="D33" i="28" l="1"/>
  <c r="D47" i="28"/>
  <c r="D39" i="28"/>
  <c r="D12" i="28"/>
  <c r="D30" i="28"/>
  <c r="D36" i="28"/>
  <c r="D37" i="28"/>
  <c r="D18" i="28"/>
  <c r="D43" i="28"/>
  <c r="D48" i="28"/>
  <c r="D29" i="28"/>
  <c r="D20" i="28"/>
  <c r="D42" i="28"/>
  <c r="D26" i="28"/>
  <c r="D34" i="28"/>
  <c r="D35" i="28"/>
  <c r="D38" i="28"/>
  <c r="D49" i="28"/>
  <c r="D41" i="28"/>
  <c r="D25" i="28"/>
  <c r="D19" i="28"/>
  <c r="D40" i="28"/>
  <c r="D27" i="28"/>
  <c r="D28" i="28"/>
  <c r="D44" i="28"/>
  <c r="D50" i="28"/>
  <c r="D46" i="28"/>
  <c r="D21" i="28"/>
  <c r="I322" i="1"/>
  <c r="J322" i="1" s="1"/>
  <c r="K322" i="1" s="1"/>
  <c r="I329" i="1"/>
  <c r="J329" i="1" s="1"/>
  <c r="K329" i="1" s="1"/>
  <c r="Q318" i="1"/>
  <c r="I321" i="1"/>
  <c r="J321" i="1" s="1"/>
  <c r="K321" i="1" s="1"/>
  <c r="I334" i="1"/>
  <c r="J334" i="1" s="1"/>
  <c r="K334" i="1" s="1"/>
  <c r="I316" i="1"/>
  <c r="J316" i="1" s="1"/>
  <c r="K316" i="1" s="1"/>
  <c r="I320" i="1"/>
  <c r="J320" i="1" s="1"/>
  <c r="K320" i="1" s="1"/>
  <c r="I324" i="1"/>
  <c r="J324" i="1" s="1"/>
  <c r="K324" i="1" s="1"/>
  <c r="I326" i="1"/>
  <c r="J326" i="1" s="1"/>
  <c r="K326" i="1" s="1"/>
  <c r="I314" i="1"/>
  <c r="J314" i="1" s="1"/>
  <c r="K314" i="1" s="1"/>
  <c r="I318" i="1"/>
  <c r="J318" i="1" s="1"/>
  <c r="K318" i="1" s="1"/>
  <c r="I317" i="1"/>
  <c r="J317" i="1" s="1"/>
  <c r="K317" i="1" s="1"/>
  <c r="I319" i="1"/>
  <c r="J319" i="1" s="1"/>
  <c r="K319" i="1" s="1"/>
  <c r="I323" i="1"/>
  <c r="J323" i="1" s="1"/>
  <c r="K323" i="1" s="1"/>
  <c r="I325" i="1"/>
  <c r="J325" i="1" s="1"/>
  <c r="K325" i="1" s="1"/>
  <c r="D24" i="28"/>
  <c r="D9" i="28"/>
  <c r="E9" i="28" s="1"/>
  <c r="F9" i="28" s="1"/>
  <c r="D31" i="28"/>
  <c r="D10" i="28"/>
  <c r="D16" i="28"/>
  <c r="D11" i="28"/>
  <c r="S301" i="1"/>
  <c r="S252" i="1"/>
  <c r="S203" i="1"/>
  <c r="S258" i="1"/>
  <c r="S209" i="1"/>
  <c r="S160" i="1"/>
  <c r="Q301" i="1"/>
  <c r="Q252" i="1"/>
  <c r="Q203" i="1"/>
  <c r="Q258" i="1"/>
  <c r="Q209" i="1"/>
  <c r="Q160" i="1"/>
  <c r="D15" i="28"/>
  <c r="D13" i="28"/>
  <c r="D22" i="28"/>
  <c r="D14" i="28"/>
  <c r="D45" i="28"/>
  <c r="D32" i="28"/>
  <c r="D23" i="28"/>
  <c r="D17" i="28"/>
  <c r="AK24" i="4"/>
  <c r="S111" i="1"/>
  <c r="S62" i="1"/>
  <c r="S13" i="1"/>
  <c r="S137" i="1" l="1"/>
  <c r="S138" i="1" s="1"/>
  <c r="S139" i="1" s="1"/>
  <c r="S150" i="1"/>
  <c r="S151" i="1" s="1"/>
  <c r="S88" i="1"/>
  <c r="S101" i="1"/>
  <c r="S102" i="1" s="1"/>
  <c r="S186" i="1"/>
  <c r="S199" i="1"/>
  <c r="Q199" i="1"/>
  <c r="Q200" i="1" s="1"/>
  <c r="Q186" i="1"/>
  <c r="Q187" i="1" s="1"/>
  <c r="Q188" i="1" s="1"/>
  <c r="S284" i="1"/>
  <c r="S297" i="1"/>
  <c r="S298" i="1" s="1"/>
  <c r="Q248" i="1"/>
  <c r="Q249" i="1" s="1"/>
  <c r="Q235" i="1"/>
  <c r="S235" i="1"/>
  <c r="S248" i="1"/>
  <c r="Q297" i="1"/>
  <c r="Q298" i="1" s="1"/>
  <c r="Q284" i="1"/>
  <c r="Q285" i="1" s="1"/>
  <c r="Q286" i="1" s="1"/>
  <c r="S39" i="1"/>
  <c r="S52" i="1"/>
  <c r="L314" i="1"/>
  <c r="H340" i="1"/>
  <c r="H341" i="1" s="1"/>
  <c r="L329" i="1"/>
  <c r="L334" i="1"/>
  <c r="L322" i="1"/>
  <c r="L325" i="1"/>
  <c r="L324" i="1"/>
  <c r="L316" i="1"/>
  <c r="S53" i="1"/>
  <c r="S47" i="1"/>
  <c r="S43" i="1"/>
  <c r="S44" i="1" s="1"/>
  <c r="S45" i="1" s="1"/>
  <c r="S40" i="1"/>
  <c r="S41" i="1" s="1"/>
  <c r="S25" i="1"/>
  <c r="S15" i="1"/>
  <c r="S96" i="1"/>
  <c r="S92" i="1"/>
  <c r="S93" i="1" s="1"/>
  <c r="S94" i="1" s="1"/>
  <c r="S89" i="1"/>
  <c r="S90" i="1" s="1"/>
  <c r="S74" i="1"/>
  <c r="S64" i="1"/>
  <c r="S145" i="1"/>
  <c r="S141" i="1"/>
  <c r="S142" i="1" s="1"/>
  <c r="S143" i="1" s="1"/>
  <c r="S123" i="1"/>
  <c r="S113" i="1"/>
  <c r="S200" i="1"/>
  <c r="S194" i="1"/>
  <c r="S190" i="1"/>
  <c r="S191" i="1" s="1"/>
  <c r="S192" i="1" s="1"/>
  <c r="S187" i="1"/>
  <c r="S188" i="1" s="1"/>
  <c r="S172" i="1"/>
  <c r="S162" i="1"/>
  <c r="S249" i="1"/>
  <c r="S243" i="1"/>
  <c r="S239" i="1"/>
  <c r="S240" i="1" s="1"/>
  <c r="S241" i="1" s="1"/>
  <c r="S236" i="1"/>
  <c r="S237" i="1" s="1"/>
  <c r="S221" i="1"/>
  <c r="S211" i="1"/>
  <c r="S292" i="1"/>
  <c r="S288" i="1"/>
  <c r="S289" i="1" s="1"/>
  <c r="S290" i="1" s="1"/>
  <c r="S285" i="1"/>
  <c r="S286" i="1" s="1"/>
  <c r="S270" i="1"/>
  <c r="S260" i="1"/>
  <c r="Q194" i="1"/>
  <c r="Q190" i="1"/>
  <c r="Q191" i="1" s="1"/>
  <c r="Q192" i="1" s="1"/>
  <c r="Q172" i="1"/>
  <c r="Q162" i="1"/>
  <c r="Q243" i="1"/>
  <c r="Q239" i="1"/>
  <c r="Q240" i="1" s="1"/>
  <c r="Q241" i="1" s="1"/>
  <c r="Q236" i="1"/>
  <c r="Q237" i="1" s="1"/>
  <c r="Q221" i="1"/>
  <c r="Q211" i="1"/>
  <c r="Q292" i="1"/>
  <c r="Q288" i="1"/>
  <c r="Q289" i="1" s="1"/>
  <c r="Q290" i="1" s="1"/>
  <c r="Q270" i="1"/>
  <c r="Q260" i="1"/>
  <c r="E10" i="28"/>
  <c r="AL22" i="4"/>
  <c r="AL20" i="4"/>
  <c r="AL16" i="4"/>
  <c r="AL18" i="4"/>
  <c r="AL12" i="4"/>
  <c r="AL14" i="4"/>
  <c r="Q294" i="1" l="1"/>
  <c r="Q293" i="1"/>
  <c r="S294" i="1"/>
  <c r="S293" i="1"/>
  <c r="Q244" i="1"/>
  <c r="Q245" i="1"/>
  <c r="S244" i="1"/>
  <c r="S245" i="1"/>
  <c r="Q195" i="1"/>
  <c r="Q196" i="1"/>
  <c r="S195" i="1"/>
  <c r="S196" i="1"/>
  <c r="S146" i="1"/>
  <c r="S147" i="1"/>
  <c r="S48" i="1"/>
  <c r="S49" i="1"/>
  <c r="S98" i="1"/>
  <c r="S97" i="1"/>
  <c r="Q205" i="1"/>
  <c r="Q303" i="1"/>
  <c r="Q254" i="1"/>
  <c r="S303" i="1"/>
  <c r="S205" i="1"/>
  <c r="S156" i="1"/>
  <c r="S254" i="1"/>
  <c r="S267" i="1"/>
  <c r="S266" i="1"/>
  <c r="S265" i="1"/>
  <c r="S264" i="1"/>
  <c r="S263" i="1"/>
  <c r="S262" i="1"/>
  <c r="S261" i="1"/>
  <c r="S281" i="1"/>
  <c r="S280" i="1"/>
  <c r="S279" i="1"/>
  <c r="S278" i="1"/>
  <c r="S277" i="1"/>
  <c r="S276" i="1"/>
  <c r="S275" i="1"/>
  <c r="S274" i="1"/>
  <c r="S273" i="1"/>
  <c r="S272" i="1"/>
  <c r="S271" i="1"/>
  <c r="S218" i="1"/>
  <c r="S217" i="1"/>
  <c r="S216" i="1"/>
  <c r="S215" i="1"/>
  <c r="S214" i="1"/>
  <c r="S213" i="1"/>
  <c r="S212" i="1"/>
  <c r="S232" i="1"/>
  <c r="S231" i="1"/>
  <c r="S230" i="1"/>
  <c r="S229" i="1"/>
  <c r="S228" i="1"/>
  <c r="S227" i="1"/>
  <c r="S226" i="1"/>
  <c r="S225" i="1"/>
  <c r="S224" i="1"/>
  <c r="S223" i="1"/>
  <c r="S222" i="1"/>
  <c r="S169" i="1"/>
  <c r="S168" i="1"/>
  <c r="S167" i="1"/>
  <c r="S166" i="1"/>
  <c r="S165" i="1"/>
  <c r="S164" i="1"/>
  <c r="S163" i="1"/>
  <c r="S183" i="1"/>
  <c r="S182" i="1"/>
  <c r="S181" i="1"/>
  <c r="S180" i="1"/>
  <c r="S179" i="1"/>
  <c r="S178" i="1"/>
  <c r="S177" i="1"/>
  <c r="S176" i="1"/>
  <c r="S175" i="1"/>
  <c r="S174" i="1"/>
  <c r="S173" i="1"/>
  <c r="S120" i="1"/>
  <c r="S119" i="1"/>
  <c r="S118" i="1"/>
  <c r="S117" i="1"/>
  <c r="S116" i="1"/>
  <c r="S115" i="1"/>
  <c r="S114" i="1"/>
  <c r="S134" i="1"/>
  <c r="S133" i="1"/>
  <c r="S132" i="1"/>
  <c r="S131" i="1"/>
  <c r="S130" i="1"/>
  <c r="S129" i="1"/>
  <c r="S128" i="1"/>
  <c r="S127" i="1"/>
  <c r="S126" i="1"/>
  <c r="S125" i="1"/>
  <c r="S124" i="1"/>
  <c r="S71" i="1"/>
  <c r="S70" i="1"/>
  <c r="S69" i="1"/>
  <c r="S68" i="1"/>
  <c r="S67" i="1"/>
  <c r="S66" i="1"/>
  <c r="S65" i="1"/>
  <c r="S85" i="1"/>
  <c r="S84" i="1"/>
  <c r="S83" i="1"/>
  <c r="S82" i="1"/>
  <c r="S81" i="1"/>
  <c r="S80" i="1"/>
  <c r="S79" i="1"/>
  <c r="S78" i="1"/>
  <c r="S77" i="1"/>
  <c r="S76" i="1"/>
  <c r="S75" i="1"/>
  <c r="S22" i="1"/>
  <c r="S21" i="1"/>
  <c r="S20" i="1"/>
  <c r="S19" i="1"/>
  <c r="S18" i="1"/>
  <c r="S17" i="1"/>
  <c r="S16" i="1"/>
  <c r="S36" i="1"/>
  <c r="S35" i="1"/>
  <c r="S34" i="1"/>
  <c r="S33" i="1"/>
  <c r="S32" i="1"/>
  <c r="S31" i="1"/>
  <c r="S30" i="1"/>
  <c r="S29" i="1"/>
  <c r="S28" i="1"/>
  <c r="S27" i="1"/>
  <c r="S26" i="1"/>
  <c r="S54" i="1"/>
  <c r="Q267" i="1"/>
  <c r="Q266" i="1"/>
  <c r="Q265" i="1"/>
  <c r="Q264" i="1"/>
  <c r="Q263" i="1"/>
  <c r="Q262" i="1"/>
  <c r="Q261" i="1"/>
  <c r="Q281" i="1"/>
  <c r="Q280" i="1"/>
  <c r="Q279" i="1"/>
  <c r="Q278" i="1"/>
  <c r="Q277" i="1"/>
  <c r="Q276" i="1"/>
  <c r="Q275" i="1"/>
  <c r="Q274" i="1"/>
  <c r="Q273" i="1"/>
  <c r="Q272" i="1"/>
  <c r="Q271" i="1"/>
  <c r="Q218" i="1"/>
  <c r="Q217" i="1"/>
  <c r="Q216" i="1"/>
  <c r="Q215" i="1"/>
  <c r="Q214" i="1"/>
  <c r="Q213" i="1"/>
  <c r="Q212" i="1"/>
  <c r="Q232" i="1"/>
  <c r="Q231" i="1"/>
  <c r="Q230" i="1"/>
  <c r="Q229" i="1"/>
  <c r="Q228" i="1"/>
  <c r="Q227" i="1"/>
  <c r="Q226" i="1"/>
  <c r="Q225" i="1"/>
  <c r="Q224" i="1"/>
  <c r="Q223" i="1"/>
  <c r="Q222" i="1"/>
  <c r="Q250" i="1"/>
  <c r="Q169" i="1"/>
  <c r="Q168" i="1"/>
  <c r="Q167" i="1"/>
  <c r="Q166" i="1"/>
  <c r="Q165" i="1"/>
  <c r="Q164" i="1"/>
  <c r="Q163" i="1"/>
  <c r="Q183" i="1"/>
  <c r="Q182" i="1"/>
  <c r="Q181" i="1"/>
  <c r="Q180" i="1"/>
  <c r="Q179" i="1"/>
  <c r="Q178" i="1"/>
  <c r="Q177" i="1"/>
  <c r="Q176" i="1"/>
  <c r="Q175" i="1"/>
  <c r="Q174" i="1"/>
  <c r="Q173" i="1"/>
  <c r="F10" i="28"/>
  <c r="E11" i="28"/>
  <c r="AL24" i="4"/>
  <c r="S107" i="1"/>
  <c r="S58" i="1"/>
  <c r="S37" i="1" l="1"/>
  <c r="S99" i="1"/>
  <c r="S152" i="1"/>
  <c r="S135" i="1"/>
  <c r="S197" i="1"/>
  <c r="S250" i="1"/>
  <c r="S233" i="1"/>
  <c r="S295" i="1"/>
  <c r="Q233" i="1"/>
  <c r="Q295" i="1"/>
  <c r="Q197" i="1"/>
  <c r="Q219" i="1"/>
  <c r="S219" i="1"/>
  <c r="Q201" i="1"/>
  <c r="Q184" i="1"/>
  <c r="Q246" i="1"/>
  <c r="Q299" i="1"/>
  <c r="Q282" i="1"/>
  <c r="S50" i="1"/>
  <c r="S103" i="1"/>
  <c r="S86" i="1"/>
  <c r="S148" i="1"/>
  <c r="S201" i="1"/>
  <c r="S184" i="1"/>
  <c r="S246" i="1"/>
  <c r="S299" i="1"/>
  <c r="S282" i="1"/>
  <c r="Q170" i="1"/>
  <c r="Q268" i="1"/>
  <c r="S72" i="1"/>
  <c r="S170" i="1"/>
  <c r="S268" i="1"/>
  <c r="S121" i="1"/>
  <c r="S23" i="1"/>
  <c r="F11" i="28"/>
  <c r="E12" i="28"/>
  <c r="C34" i="23"/>
  <c r="B34" i="23"/>
  <c r="B41" i="23"/>
  <c r="B40" i="23"/>
  <c r="B39" i="23"/>
  <c r="B38" i="23"/>
  <c r="B37" i="23"/>
  <c r="B36" i="23"/>
  <c r="E154" i="1"/>
  <c r="E105" i="1"/>
  <c r="E314" i="1"/>
  <c r="E56" i="1"/>
  <c r="Q56" i="1" l="1"/>
  <c r="S56" i="1"/>
  <c r="Q154" i="1"/>
  <c r="S154" i="1"/>
  <c r="S158" i="1" s="1"/>
  <c r="S105" i="1"/>
  <c r="Q105" i="1"/>
  <c r="F12" i="28"/>
  <c r="E13" i="28"/>
  <c r="S305" i="1"/>
  <c r="Q305" i="1"/>
  <c r="S256" i="1"/>
  <c r="Q256" i="1"/>
  <c r="S207" i="1"/>
  <c r="Q207" i="1"/>
  <c r="D323" i="1"/>
  <c r="A323" i="1"/>
  <c r="E327" i="1"/>
  <c r="F327" i="1" s="1"/>
  <c r="E328" i="1"/>
  <c r="F328" i="1" s="1"/>
  <c r="D322" i="1"/>
  <c r="D321" i="1"/>
  <c r="A322" i="1"/>
  <c r="A321" i="1"/>
  <c r="S308" i="1" l="1"/>
  <c r="S310" i="1" s="1"/>
  <c r="F13" i="28"/>
  <c r="E14" i="28"/>
  <c r="S60" i="1"/>
  <c r="S109" i="1"/>
  <c r="E15" i="31"/>
  <c r="F4" i="30"/>
  <c r="G5" i="30"/>
  <c r="K5" i="30" s="1"/>
  <c r="M5" i="30" s="1"/>
  <c r="G4" i="30"/>
  <c r="G3" i="30"/>
  <c r="K3" i="30" s="1"/>
  <c r="M3" i="30" s="1"/>
  <c r="F14" i="28" l="1"/>
  <c r="E15" i="28"/>
  <c r="E16" i="28" s="1"/>
  <c r="E21" i="29"/>
  <c r="F21" i="29" s="1"/>
  <c r="E36" i="29"/>
  <c r="F36" i="29" s="1"/>
  <c r="E31" i="29"/>
  <c r="F31" i="29" s="1"/>
  <c r="K4" i="30"/>
  <c r="M4" i="30" s="1"/>
  <c r="F16" i="28" l="1"/>
  <c r="E17" i="28"/>
  <c r="F15" i="28"/>
  <c r="H43" i="4"/>
  <c r="D15" i="31"/>
  <c r="B5" i="30"/>
  <c r="B4" i="30"/>
  <c r="B3" i="30"/>
  <c r="E18" i="28" l="1"/>
  <c r="F17" i="28"/>
  <c r="E22" i="29"/>
  <c r="F22" i="29" s="1"/>
  <c r="E37" i="29"/>
  <c r="F37" i="29" s="1"/>
  <c r="E32" i="29"/>
  <c r="F32" i="29" s="1"/>
  <c r="E23" i="29"/>
  <c r="F23" i="29" s="1"/>
  <c r="E38" i="29"/>
  <c r="F38" i="29" s="1"/>
  <c r="E33" i="29"/>
  <c r="F33" i="29" s="1"/>
  <c r="E12" i="29"/>
  <c r="E17" i="29"/>
  <c r="E27" i="29"/>
  <c r="E16" i="29"/>
  <c r="E26" i="29"/>
  <c r="E11" i="29"/>
  <c r="E18" i="29"/>
  <c r="E13" i="29"/>
  <c r="E28" i="29"/>
  <c r="E19" i="28" l="1"/>
  <c r="F18" i="28"/>
  <c r="F34" i="29"/>
  <c r="F66" i="23" s="1"/>
  <c r="F39" i="29"/>
  <c r="F78" i="23" s="1"/>
  <c r="F24" i="29"/>
  <c r="F42" i="23" s="1"/>
  <c r="B29" i="23"/>
  <c r="B28" i="23"/>
  <c r="B27" i="23"/>
  <c r="B26" i="23"/>
  <c r="B25" i="23"/>
  <c r="B22" i="23"/>
  <c r="B24" i="23"/>
  <c r="C22" i="23"/>
  <c r="B17" i="23"/>
  <c r="B16" i="23"/>
  <c r="B15" i="23"/>
  <c r="B14" i="23"/>
  <c r="B13" i="23"/>
  <c r="B12" i="23"/>
  <c r="B10" i="23"/>
  <c r="E20" i="28" l="1"/>
  <c r="E21" i="28" s="1"/>
  <c r="E22" i="28" s="1"/>
  <c r="E23" i="28" s="1"/>
  <c r="F19" i="28"/>
  <c r="E321" i="1"/>
  <c r="E24" i="28" l="1"/>
  <c r="F23" i="28"/>
  <c r="D16" i="31"/>
  <c r="E25" i="28" l="1"/>
  <c r="F24" i="28"/>
  <c r="D17" i="31"/>
  <c r="E17" i="31"/>
  <c r="H12" i="1"/>
  <c r="E26" i="28" l="1"/>
  <c r="F25" i="28"/>
  <c r="F20" i="28"/>
  <c r="H301" i="1"/>
  <c r="H252" i="1"/>
  <c r="H203" i="1"/>
  <c r="H154" i="1"/>
  <c r="H105" i="1"/>
  <c r="H56" i="1"/>
  <c r="H258" i="1"/>
  <c r="H209" i="1"/>
  <c r="H160" i="1"/>
  <c r="H111" i="1"/>
  <c r="H62" i="1"/>
  <c r="H13" i="1"/>
  <c r="G12" i="1"/>
  <c r="H88" i="1" l="1"/>
  <c r="H101" i="1"/>
  <c r="H235" i="1"/>
  <c r="H248" i="1"/>
  <c r="H39" i="1"/>
  <c r="H40" i="1" s="1"/>
  <c r="H41" i="1" s="1"/>
  <c r="H52" i="1"/>
  <c r="H137" i="1"/>
  <c r="H150" i="1"/>
  <c r="H151" i="1" s="1"/>
  <c r="H186" i="1"/>
  <c r="H199" i="1"/>
  <c r="H297" i="1"/>
  <c r="H298" i="1" s="1"/>
  <c r="H284" i="1"/>
  <c r="E27" i="28"/>
  <c r="F26" i="28"/>
  <c r="F21" i="28"/>
  <c r="H53" i="1"/>
  <c r="H47" i="1"/>
  <c r="H43" i="1"/>
  <c r="H44" i="1" s="1"/>
  <c r="H45" i="1" s="1"/>
  <c r="H25" i="1"/>
  <c r="H15" i="1"/>
  <c r="H102" i="1"/>
  <c r="H96" i="1"/>
  <c r="H92" i="1"/>
  <c r="H93" i="1" s="1"/>
  <c r="H94" i="1" s="1"/>
  <c r="H89" i="1"/>
  <c r="H90" i="1" s="1"/>
  <c r="H74" i="1"/>
  <c r="H64" i="1"/>
  <c r="H145" i="1"/>
  <c r="H141" i="1"/>
  <c r="H142" i="1" s="1"/>
  <c r="H143" i="1" s="1"/>
  <c r="H138" i="1"/>
  <c r="H139" i="1" s="1"/>
  <c r="H123" i="1"/>
  <c r="H113" i="1"/>
  <c r="H200" i="1"/>
  <c r="H194" i="1"/>
  <c r="H190" i="1"/>
  <c r="H191" i="1" s="1"/>
  <c r="H192" i="1" s="1"/>
  <c r="H187" i="1"/>
  <c r="H188" i="1" s="1"/>
  <c r="H172" i="1"/>
  <c r="H162" i="1"/>
  <c r="H249" i="1"/>
  <c r="H243" i="1"/>
  <c r="H239" i="1"/>
  <c r="H240" i="1" s="1"/>
  <c r="H241" i="1" s="1"/>
  <c r="H236" i="1"/>
  <c r="H237" i="1" s="1"/>
  <c r="H221" i="1"/>
  <c r="H211" i="1"/>
  <c r="H292" i="1"/>
  <c r="H288" i="1"/>
  <c r="H289" i="1" s="1"/>
  <c r="H290" i="1" s="1"/>
  <c r="H285" i="1"/>
  <c r="H286" i="1" s="1"/>
  <c r="H270" i="1"/>
  <c r="H260" i="1"/>
  <c r="G301" i="1"/>
  <c r="G252" i="1"/>
  <c r="G203" i="1"/>
  <c r="G154" i="1"/>
  <c r="G105" i="1"/>
  <c r="G56" i="1"/>
  <c r="G258" i="1"/>
  <c r="G209" i="1"/>
  <c r="G160" i="1"/>
  <c r="H308" i="1"/>
  <c r="H310" i="1" s="1"/>
  <c r="G13" i="1"/>
  <c r="G62" i="1"/>
  <c r="G111" i="1"/>
  <c r="G88" i="1" l="1"/>
  <c r="G101" i="1"/>
  <c r="H294" i="1"/>
  <c r="H293" i="1"/>
  <c r="G137" i="1"/>
  <c r="G150" i="1"/>
  <c r="G186" i="1"/>
  <c r="G199" i="1"/>
  <c r="E28" i="28"/>
  <c r="F27" i="28"/>
  <c r="G235" i="1"/>
  <c r="G248" i="1"/>
  <c r="G39" i="1"/>
  <c r="G52" i="1"/>
  <c r="G284" i="1"/>
  <c r="G297" i="1"/>
  <c r="G298" i="1" s="1"/>
  <c r="F22" i="28"/>
  <c r="H244" i="1"/>
  <c r="H245" i="1"/>
  <c r="H195" i="1"/>
  <c r="H196" i="1"/>
  <c r="H146" i="1"/>
  <c r="H147" i="1"/>
  <c r="H48" i="1"/>
  <c r="H49" i="1"/>
  <c r="H98" i="1"/>
  <c r="H97" i="1"/>
  <c r="H303" i="1"/>
  <c r="H305" i="1" s="1"/>
  <c r="H205" i="1"/>
  <c r="H207" i="1" s="1"/>
  <c r="H267" i="1"/>
  <c r="H261" i="1"/>
  <c r="H281" i="1"/>
  <c r="H280" i="1"/>
  <c r="H277" i="1"/>
  <c r="H272" i="1"/>
  <c r="H271" i="1"/>
  <c r="H218" i="1"/>
  <c r="H212" i="1"/>
  <c r="H232" i="1"/>
  <c r="H231" i="1"/>
  <c r="H228" i="1"/>
  <c r="H223" i="1"/>
  <c r="H222" i="1"/>
  <c r="H169" i="1"/>
  <c r="H163" i="1"/>
  <c r="H183" i="1"/>
  <c r="H182" i="1"/>
  <c r="H179" i="1"/>
  <c r="H174" i="1"/>
  <c r="H173" i="1"/>
  <c r="H120" i="1"/>
  <c r="H114" i="1"/>
  <c r="H134" i="1"/>
  <c r="H133" i="1"/>
  <c r="H130" i="1"/>
  <c r="H125" i="1"/>
  <c r="H124" i="1"/>
  <c r="H71" i="1"/>
  <c r="H65" i="1"/>
  <c r="H85" i="1"/>
  <c r="H84" i="1"/>
  <c r="H81" i="1"/>
  <c r="H76" i="1"/>
  <c r="H75" i="1"/>
  <c r="H22" i="1"/>
  <c r="H16" i="1"/>
  <c r="H35" i="1"/>
  <c r="H36" i="1"/>
  <c r="H32" i="1"/>
  <c r="H27" i="1"/>
  <c r="H26" i="1"/>
  <c r="F301" i="1"/>
  <c r="F252" i="1"/>
  <c r="F203" i="1"/>
  <c r="F154" i="1"/>
  <c r="F105" i="1"/>
  <c r="F56" i="1"/>
  <c r="F258" i="1"/>
  <c r="F209" i="1"/>
  <c r="F160" i="1"/>
  <c r="G151" i="1"/>
  <c r="G145" i="1"/>
  <c r="G141" i="1"/>
  <c r="G123" i="1"/>
  <c r="G113" i="1"/>
  <c r="G102" i="1"/>
  <c r="G96" i="1"/>
  <c r="G92" i="1"/>
  <c r="G74" i="1"/>
  <c r="G64" i="1"/>
  <c r="G53" i="1"/>
  <c r="G47" i="1"/>
  <c r="G43" i="1"/>
  <c r="G25" i="1"/>
  <c r="G15" i="1"/>
  <c r="G200" i="1"/>
  <c r="G194" i="1"/>
  <c r="G190" i="1"/>
  <c r="G172" i="1"/>
  <c r="G162" i="1"/>
  <c r="G249" i="1"/>
  <c r="G243" i="1"/>
  <c r="G239" i="1"/>
  <c r="G221" i="1"/>
  <c r="G211" i="1"/>
  <c r="G292" i="1"/>
  <c r="G288" i="1"/>
  <c r="G270" i="1"/>
  <c r="G260" i="1"/>
  <c r="H254" i="1"/>
  <c r="H256" i="1" s="1"/>
  <c r="H156" i="1"/>
  <c r="H107" i="1"/>
  <c r="H58" i="1"/>
  <c r="F13" i="1"/>
  <c r="F62" i="1"/>
  <c r="F111" i="1"/>
  <c r="K12" i="1"/>
  <c r="C10" i="23"/>
  <c r="C82" i="23" s="1"/>
  <c r="F297" i="1" l="1"/>
  <c r="F298" i="1" s="1"/>
  <c r="F284" i="1"/>
  <c r="F150" i="1"/>
  <c r="F137" i="1"/>
  <c r="F101" i="1"/>
  <c r="F88" i="1"/>
  <c r="F89" i="1" s="1"/>
  <c r="F90" i="1" s="1"/>
  <c r="F199" i="1"/>
  <c r="F200" i="1" s="1"/>
  <c r="F186" i="1"/>
  <c r="F15" i="1"/>
  <c r="F16" i="1" s="1"/>
  <c r="F52" i="1"/>
  <c r="F39" i="1"/>
  <c r="F248" i="1"/>
  <c r="F235" i="1"/>
  <c r="G294" i="1"/>
  <c r="G293" i="1"/>
  <c r="E29" i="28"/>
  <c r="F28" i="28"/>
  <c r="G245" i="1"/>
  <c r="G244" i="1"/>
  <c r="G196" i="1"/>
  <c r="G195" i="1"/>
  <c r="G48" i="1"/>
  <c r="G49" i="1"/>
  <c r="G147" i="1"/>
  <c r="G146" i="1"/>
  <c r="G97" i="1"/>
  <c r="G98" i="1"/>
  <c r="H233" i="1"/>
  <c r="H282" i="1"/>
  <c r="H250" i="1"/>
  <c r="H219" i="1"/>
  <c r="H121" i="1"/>
  <c r="H54" i="1"/>
  <c r="H72" i="1"/>
  <c r="H148" i="1"/>
  <c r="G303" i="1"/>
  <c r="G305" i="1" s="1"/>
  <c r="G205" i="1"/>
  <c r="G207" i="1" s="1"/>
  <c r="H103" i="1"/>
  <c r="H86" i="1"/>
  <c r="H135" i="1"/>
  <c r="H170" i="1"/>
  <c r="H23" i="1"/>
  <c r="H152" i="1"/>
  <c r="H184" i="1"/>
  <c r="H268" i="1"/>
  <c r="H50" i="1"/>
  <c r="H99" i="1"/>
  <c r="H201" i="1"/>
  <c r="H295" i="1"/>
  <c r="H246" i="1"/>
  <c r="H37" i="1"/>
  <c r="H197" i="1"/>
  <c r="H299" i="1"/>
  <c r="K301" i="1"/>
  <c r="K252" i="1"/>
  <c r="K203" i="1"/>
  <c r="K154" i="1"/>
  <c r="K105" i="1"/>
  <c r="K56" i="1"/>
  <c r="K258" i="1"/>
  <c r="K209" i="1"/>
  <c r="K160" i="1"/>
  <c r="G267" i="1"/>
  <c r="G261" i="1"/>
  <c r="G281" i="1"/>
  <c r="G280" i="1"/>
  <c r="G277" i="1"/>
  <c r="G272" i="1"/>
  <c r="G271" i="1"/>
  <c r="G218" i="1"/>
  <c r="G212" i="1"/>
  <c r="G232" i="1"/>
  <c r="G231" i="1"/>
  <c r="G228" i="1"/>
  <c r="G223" i="1"/>
  <c r="G222" i="1"/>
  <c r="G169" i="1"/>
  <c r="G163" i="1"/>
  <c r="G183" i="1"/>
  <c r="G182" i="1"/>
  <c r="G179" i="1"/>
  <c r="G174" i="1"/>
  <c r="G173" i="1"/>
  <c r="G22" i="1"/>
  <c r="G16" i="1"/>
  <c r="G32" i="1"/>
  <c r="G36" i="1"/>
  <c r="G35" i="1"/>
  <c r="G27" i="1"/>
  <c r="G71" i="1"/>
  <c r="G65" i="1"/>
  <c r="G85" i="1"/>
  <c r="G84" i="1"/>
  <c r="G81" i="1"/>
  <c r="G76" i="1"/>
  <c r="G75" i="1"/>
  <c r="G120" i="1"/>
  <c r="G114" i="1"/>
  <c r="G134" i="1"/>
  <c r="G133" i="1"/>
  <c r="G130" i="1"/>
  <c r="G125" i="1"/>
  <c r="G124" i="1"/>
  <c r="F151" i="1"/>
  <c r="F145" i="1"/>
  <c r="F141" i="1"/>
  <c r="F142" i="1" s="1"/>
  <c r="F143" i="1" s="1"/>
  <c r="F138" i="1"/>
  <c r="F139" i="1" s="1"/>
  <c r="F123" i="1"/>
  <c r="F113" i="1"/>
  <c r="F102" i="1"/>
  <c r="F96" i="1"/>
  <c r="F92" i="1"/>
  <c r="F93" i="1" s="1"/>
  <c r="F94" i="1" s="1"/>
  <c r="F74" i="1"/>
  <c r="F64" i="1"/>
  <c r="F194" i="1"/>
  <c r="F190" i="1"/>
  <c r="F191" i="1" s="1"/>
  <c r="F192" i="1" s="1"/>
  <c r="F187" i="1"/>
  <c r="F188" i="1" s="1"/>
  <c r="F172" i="1"/>
  <c r="F162" i="1"/>
  <c r="F249" i="1"/>
  <c r="F243" i="1"/>
  <c r="F239" i="1"/>
  <c r="F240" i="1" s="1"/>
  <c r="F241" i="1" s="1"/>
  <c r="F236" i="1"/>
  <c r="F237" i="1" s="1"/>
  <c r="F221" i="1"/>
  <c r="F211" i="1"/>
  <c r="F292" i="1"/>
  <c r="F288" i="1"/>
  <c r="F289" i="1" s="1"/>
  <c r="F290" i="1" s="1"/>
  <c r="F285" i="1"/>
  <c r="F286" i="1" s="1"/>
  <c r="F270" i="1"/>
  <c r="F260" i="1"/>
  <c r="G285" i="1"/>
  <c r="G286" i="1" s="1"/>
  <c r="G289" i="1"/>
  <c r="G290" i="1" s="1"/>
  <c r="G236" i="1"/>
  <c r="G237" i="1" s="1"/>
  <c r="G240" i="1"/>
  <c r="G241" i="1" s="1"/>
  <c r="G187" i="1"/>
  <c r="G188" i="1" s="1"/>
  <c r="G191" i="1"/>
  <c r="G192" i="1" s="1"/>
  <c r="G26" i="1"/>
  <c r="G40" i="1"/>
  <c r="G41" i="1" s="1"/>
  <c r="G44" i="1"/>
  <c r="G45" i="1" s="1"/>
  <c r="G89" i="1"/>
  <c r="G90" i="1" s="1"/>
  <c r="G93" i="1"/>
  <c r="G94" i="1" s="1"/>
  <c r="G138" i="1"/>
  <c r="G139" i="1" s="1"/>
  <c r="G142" i="1"/>
  <c r="G143" i="1" s="1"/>
  <c r="F43" i="1"/>
  <c r="F47" i="1"/>
  <c r="F53" i="1"/>
  <c r="F25" i="1"/>
  <c r="F308" i="1"/>
  <c r="F310" i="1" s="1"/>
  <c r="G254" i="1"/>
  <c r="G256" i="1" s="1"/>
  <c r="G156" i="1"/>
  <c r="G107" i="1"/>
  <c r="G58" i="1"/>
  <c r="K111" i="1"/>
  <c r="K62" i="1"/>
  <c r="K13" i="1"/>
  <c r="I12" i="1"/>
  <c r="E30" i="28" l="1"/>
  <c r="F29" i="28"/>
  <c r="F22" i="1"/>
  <c r="K101" i="1"/>
  <c r="K88" i="1"/>
  <c r="K199" i="1"/>
  <c r="K186" i="1"/>
  <c r="K187" i="1" s="1"/>
  <c r="K188" i="1" s="1"/>
  <c r="K248" i="1"/>
  <c r="K249" i="1" s="1"/>
  <c r="K235" i="1"/>
  <c r="K297" i="1"/>
  <c r="K298" i="1" s="1"/>
  <c r="K284" i="1"/>
  <c r="K150" i="1"/>
  <c r="K137" i="1"/>
  <c r="K52" i="1"/>
  <c r="K39" i="1"/>
  <c r="F293" i="1"/>
  <c r="F294" i="1"/>
  <c r="F244" i="1"/>
  <c r="F245" i="1"/>
  <c r="F195" i="1"/>
  <c r="F196" i="1"/>
  <c r="F48" i="1"/>
  <c r="F49" i="1"/>
  <c r="F146" i="1"/>
  <c r="F147" i="1"/>
  <c r="F98" i="1"/>
  <c r="F97" i="1"/>
  <c r="G23" i="1"/>
  <c r="G121" i="1"/>
  <c r="G268" i="1"/>
  <c r="G72" i="1"/>
  <c r="G219" i="1"/>
  <c r="G135" i="1"/>
  <c r="G184" i="1"/>
  <c r="G170" i="1"/>
  <c r="G233" i="1"/>
  <c r="G282" i="1"/>
  <c r="G86" i="1"/>
  <c r="G99" i="1"/>
  <c r="G197" i="1"/>
  <c r="G246" i="1"/>
  <c r="F303" i="1"/>
  <c r="F305" i="1" s="1"/>
  <c r="G148" i="1"/>
  <c r="G50" i="1"/>
  <c r="G37" i="1"/>
  <c r="G295" i="1"/>
  <c r="G152" i="1"/>
  <c r="G103" i="1"/>
  <c r="G54" i="1"/>
  <c r="G201" i="1"/>
  <c r="G250" i="1"/>
  <c r="G299" i="1"/>
  <c r="I301" i="1"/>
  <c r="I252" i="1"/>
  <c r="I203" i="1"/>
  <c r="I154" i="1"/>
  <c r="I105" i="1"/>
  <c r="I56" i="1"/>
  <c r="I258" i="1"/>
  <c r="I209" i="1"/>
  <c r="I160" i="1"/>
  <c r="K53" i="1"/>
  <c r="K47" i="1"/>
  <c r="K43" i="1"/>
  <c r="K44" i="1" s="1"/>
  <c r="K45" i="1" s="1"/>
  <c r="K40" i="1"/>
  <c r="K41" i="1" s="1"/>
  <c r="K25" i="1"/>
  <c r="K15" i="1"/>
  <c r="K102" i="1"/>
  <c r="K96" i="1"/>
  <c r="K92" i="1"/>
  <c r="K93" i="1" s="1"/>
  <c r="K94" i="1" s="1"/>
  <c r="K89" i="1"/>
  <c r="K90" i="1" s="1"/>
  <c r="K74" i="1"/>
  <c r="K64" i="1"/>
  <c r="K151" i="1"/>
  <c r="K145" i="1"/>
  <c r="K141" i="1"/>
  <c r="K142" i="1" s="1"/>
  <c r="K143" i="1" s="1"/>
  <c r="K138" i="1"/>
  <c r="K139" i="1" s="1"/>
  <c r="K123" i="1"/>
  <c r="K113" i="1"/>
  <c r="K200" i="1"/>
  <c r="K194" i="1"/>
  <c r="K190" i="1"/>
  <c r="K191" i="1" s="1"/>
  <c r="K192" i="1" s="1"/>
  <c r="K172" i="1"/>
  <c r="K162" i="1"/>
  <c r="K243" i="1"/>
  <c r="K239" i="1"/>
  <c r="K240" i="1" s="1"/>
  <c r="K241" i="1" s="1"/>
  <c r="K236" i="1"/>
  <c r="K237" i="1" s="1"/>
  <c r="K221" i="1"/>
  <c r="K211" i="1"/>
  <c r="K292" i="1"/>
  <c r="K288" i="1"/>
  <c r="K289" i="1" s="1"/>
  <c r="K290" i="1" s="1"/>
  <c r="K285" i="1"/>
  <c r="K286" i="1" s="1"/>
  <c r="K270" i="1"/>
  <c r="K260" i="1"/>
  <c r="F36" i="1"/>
  <c r="F32" i="1"/>
  <c r="F27" i="1"/>
  <c r="F35" i="1"/>
  <c r="F267" i="1"/>
  <c r="F261" i="1"/>
  <c r="F281" i="1"/>
  <c r="F280" i="1"/>
  <c r="F277" i="1"/>
  <c r="F272" i="1"/>
  <c r="F271" i="1"/>
  <c r="F218" i="1"/>
  <c r="F212" i="1"/>
  <c r="F232" i="1"/>
  <c r="F231" i="1"/>
  <c r="F228" i="1"/>
  <c r="F223" i="1"/>
  <c r="F222" i="1"/>
  <c r="F169" i="1"/>
  <c r="F163" i="1"/>
  <c r="F183" i="1"/>
  <c r="F182" i="1"/>
  <c r="F179" i="1"/>
  <c r="F174" i="1"/>
  <c r="F173" i="1"/>
  <c r="F71" i="1"/>
  <c r="F65" i="1"/>
  <c r="F85" i="1"/>
  <c r="F84" i="1"/>
  <c r="F81" i="1"/>
  <c r="F76" i="1"/>
  <c r="F75" i="1"/>
  <c r="F120" i="1"/>
  <c r="F114" i="1"/>
  <c r="F134" i="1"/>
  <c r="F133" i="1"/>
  <c r="F130" i="1"/>
  <c r="F125" i="1"/>
  <c r="F124" i="1"/>
  <c r="F26" i="1"/>
  <c r="F44" i="1"/>
  <c r="F40" i="1"/>
  <c r="F205" i="1"/>
  <c r="F207" i="1" s="1"/>
  <c r="F152" i="1"/>
  <c r="F58" i="1"/>
  <c r="K308" i="1"/>
  <c r="K310" i="1" s="1"/>
  <c r="F254" i="1"/>
  <c r="F256" i="1" s="1"/>
  <c r="F156" i="1"/>
  <c r="F107" i="1"/>
  <c r="I111" i="1"/>
  <c r="I62" i="1"/>
  <c r="I13" i="1"/>
  <c r="G158" i="1"/>
  <c r="H158" i="1"/>
  <c r="J12" i="1"/>
  <c r="H29" i="10"/>
  <c r="I39" i="1" l="1"/>
  <c r="I52" i="1"/>
  <c r="K294" i="1"/>
  <c r="K293" i="1"/>
  <c r="I235" i="1"/>
  <c r="I236" i="1" s="1"/>
  <c r="I237" i="1" s="1"/>
  <c r="I248" i="1"/>
  <c r="I199" i="1"/>
  <c r="I186" i="1"/>
  <c r="I88" i="1"/>
  <c r="I101" i="1"/>
  <c r="I284" i="1"/>
  <c r="I297" i="1"/>
  <c r="I298" i="1" s="1"/>
  <c r="I137" i="1"/>
  <c r="I138" i="1" s="1"/>
  <c r="I139" i="1" s="1"/>
  <c r="I150" i="1"/>
  <c r="E31" i="28"/>
  <c r="F30" i="28"/>
  <c r="K245" i="1"/>
  <c r="K244" i="1"/>
  <c r="K196" i="1"/>
  <c r="K195" i="1"/>
  <c r="K146" i="1"/>
  <c r="K147" i="1"/>
  <c r="K48" i="1"/>
  <c r="K49" i="1"/>
  <c r="K97" i="1"/>
  <c r="K98" i="1"/>
  <c r="F201" i="1"/>
  <c r="F250" i="1"/>
  <c r="F37" i="1"/>
  <c r="F135" i="1"/>
  <c r="F121" i="1"/>
  <c r="F72" i="1"/>
  <c r="F233" i="1"/>
  <c r="F282" i="1"/>
  <c r="F268" i="1"/>
  <c r="K156" i="1"/>
  <c r="F103" i="1"/>
  <c r="F170" i="1"/>
  <c r="F99" i="1"/>
  <c r="F86" i="1"/>
  <c r="F184" i="1"/>
  <c r="F219" i="1"/>
  <c r="K303" i="1"/>
  <c r="K305" i="1" s="1"/>
  <c r="K205" i="1"/>
  <c r="K207" i="1" s="1"/>
  <c r="F299" i="1"/>
  <c r="F197" i="1"/>
  <c r="F246" i="1"/>
  <c r="F295" i="1"/>
  <c r="F148" i="1"/>
  <c r="J301" i="1"/>
  <c r="J252" i="1"/>
  <c r="J203" i="1"/>
  <c r="J154" i="1"/>
  <c r="J105" i="1"/>
  <c r="J56" i="1"/>
  <c r="J258" i="1"/>
  <c r="J209" i="1"/>
  <c r="J160" i="1"/>
  <c r="I53" i="1"/>
  <c r="I47" i="1"/>
  <c r="I43" i="1"/>
  <c r="I44" i="1" s="1"/>
  <c r="I45" i="1" s="1"/>
  <c r="I40" i="1"/>
  <c r="I41" i="1" s="1"/>
  <c r="I25" i="1"/>
  <c r="I15" i="1"/>
  <c r="I102" i="1"/>
  <c r="I96" i="1"/>
  <c r="I92" i="1"/>
  <c r="I93" i="1" s="1"/>
  <c r="I94" i="1" s="1"/>
  <c r="I89" i="1"/>
  <c r="I90" i="1" s="1"/>
  <c r="I74" i="1"/>
  <c r="I64" i="1"/>
  <c r="I151" i="1"/>
  <c r="I145" i="1"/>
  <c r="I141" i="1"/>
  <c r="I142" i="1" s="1"/>
  <c r="I143" i="1" s="1"/>
  <c r="I123" i="1"/>
  <c r="I113" i="1"/>
  <c r="I200" i="1"/>
  <c r="I194" i="1"/>
  <c r="I190" i="1"/>
  <c r="I191" i="1" s="1"/>
  <c r="I192" i="1" s="1"/>
  <c r="I187" i="1"/>
  <c r="I188" i="1" s="1"/>
  <c r="I172" i="1"/>
  <c r="I162" i="1"/>
  <c r="I249" i="1"/>
  <c r="I243" i="1"/>
  <c r="I239" i="1"/>
  <c r="I240" i="1" s="1"/>
  <c r="I241" i="1" s="1"/>
  <c r="I221" i="1"/>
  <c r="I211" i="1"/>
  <c r="I292" i="1"/>
  <c r="I288" i="1"/>
  <c r="I289" i="1" s="1"/>
  <c r="I290" i="1" s="1"/>
  <c r="I285" i="1"/>
  <c r="I286" i="1" s="1"/>
  <c r="I270" i="1"/>
  <c r="I260" i="1"/>
  <c r="K267" i="1"/>
  <c r="K261" i="1"/>
  <c r="K281" i="1"/>
  <c r="K280" i="1"/>
  <c r="K277" i="1"/>
  <c r="K272" i="1"/>
  <c r="K271" i="1"/>
  <c r="K218" i="1"/>
  <c r="K212" i="1"/>
  <c r="K232" i="1"/>
  <c r="K231" i="1"/>
  <c r="K228" i="1"/>
  <c r="K223" i="1"/>
  <c r="K222" i="1"/>
  <c r="K169" i="1"/>
  <c r="K163" i="1"/>
  <c r="K183" i="1"/>
  <c r="K182" i="1"/>
  <c r="K179" i="1"/>
  <c r="K174" i="1"/>
  <c r="K173" i="1"/>
  <c r="K120" i="1"/>
  <c r="K114" i="1"/>
  <c r="K134" i="1"/>
  <c r="K133" i="1"/>
  <c r="K130" i="1"/>
  <c r="K125" i="1"/>
  <c r="K124" i="1"/>
  <c r="K71" i="1"/>
  <c r="K65" i="1"/>
  <c r="K85" i="1"/>
  <c r="K84" i="1"/>
  <c r="K81" i="1"/>
  <c r="K76" i="1"/>
  <c r="K75" i="1"/>
  <c r="K22" i="1"/>
  <c r="K16" i="1"/>
  <c r="K26" i="1"/>
  <c r="K27" i="1"/>
  <c r="K36" i="1"/>
  <c r="K35" i="1"/>
  <c r="K32" i="1"/>
  <c r="I308" i="1"/>
  <c r="I310" i="1" s="1"/>
  <c r="K254" i="1"/>
  <c r="K256" i="1" s="1"/>
  <c r="K107" i="1"/>
  <c r="K58" i="1"/>
  <c r="J13" i="1"/>
  <c r="J62" i="1"/>
  <c r="J111" i="1"/>
  <c r="F41" i="1"/>
  <c r="P12" i="1"/>
  <c r="F50" i="1"/>
  <c r="F60" i="1"/>
  <c r="F23" i="1"/>
  <c r="F109" i="1"/>
  <c r="E32" i="28" l="1"/>
  <c r="F31" i="28"/>
  <c r="J137" i="1"/>
  <c r="J150" i="1"/>
  <c r="J284" i="1"/>
  <c r="J297" i="1"/>
  <c r="J298" i="1" s="1"/>
  <c r="J39" i="1"/>
  <c r="J40" i="1" s="1"/>
  <c r="J41" i="1" s="1"/>
  <c r="J52" i="1"/>
  <c r="J53" i="1" s="1"/>
  <c r="J88" i="1"/>
  <c r="J101" i="1"/>
  <c r="J186" i="1"/>
  <c r="J199" i="1"/>
  <c r="I294" i="1"/>
  <c r="I293" i="1"/>
  <c r="J235" i="1"/>
  <c r="J236" i="1" s="1"/>
  <c r="J237" i="1" s="1"/>
  <c r="J248" i="1"/>
  <c r="J249" i="1" s="1"/>
  <c r="I245" i="1"/>
  <c r="I244" i="1"/>
  <c r="I196" i="1"/>
  <c r="I195" i="1"/>
  <c r="I146" i="1"/>
  <c r="I147" i="1"/>
  <c r="I48" i="1"/>
  <c r="I49" i="1"/>
  <c r="I97" i="1"/>
  <c r="I98" i="1"/>
  <c r="I58" i="1"/>
  <c r="I303" i="1"/>
  <c r="I305" i="1" s="1"/>
  <c r="K135" i="1"/>
  <c r="I205" i="1"/>
  <c r="I207" i="1" s="1"/>
  <c r="K37" i="1"/>
  <c r="K184" i="1"/>
  <c r="I156" i="1"/>
  <c r="K86" i="1"/>
  <c r="K282" i="1"/>
  <c r="K233" i="1"/>
  <c r="K50" i="1"/>
  <c r="K23" i="1"/>
  <c r="K99" i="1"/>
  <c r="K72" i="1"/>
  <c r="K148" i="1"/>
  <c r="K121" i="1"/>
  <c r="K197" i="1"/>
  <c r="K170" i="1"/>
  <c r="K246" i="1"/>
  <c r="K219" i="1"/>
  <c r="K295" i="1"/>
  <c r="K268" i="1"/>
  <c r="K54" i="1"/>
  <c r="K103" i="1"/>
  <c r="K152" i="1"/>
  <c r="K201" i="1"/>
  <c r="K250" i="1"/>
  <c r="K299" i="1"/>
  <c r="J151" i="1"/>
  <c r="J145" i="1"/>
  <c r="J141" i="1"/>
  <c r="J142" i="1" s="1"/>
  <c r="J143" i="1" s="1"/>
  <c r="J138" i="1"/>
  <c r="J139" i="1" s="1"/>
  <c r="J123" i="1"/>
  <c r="J113" i="1"/>
  <c r="J102" i="1"/>
  <c r="J96" i="1"/>
  <c r="J92" i="1"/>
  <c r="J93" i="1" s="1"/>
  <c r="J94" i="1" s="1"/>
  <c r="J89" i="1"/>
  <c r="J90" i="1" s="1"/>
  <c r="J74" i="1"/>
  <c r="J64" i="1"/>
  <c r="J47" i="1"/>
  <c r="J43" i="1"/>
  <c r="J44" i="1" s="1"/>
  <c r="J45" i="1" s="1"/>
  <c r="J25" i="1"/>
  <c r="J15" i="1"/>
  <c r="J200" i="1"/>
  <c r="J194" i="1"/>
  <c r="J190" i="1"/>
  <c r="J191" i="1" s="1"/>
  <c r="J192" i="1" s="1"/>
  <c r="J187" i="1"/>
  <c r="J188" i="1" s="1"/>
  <c r="J172" i="1"/>
  <c r="J162" i="1"/>
  <c r="J243" i="1"/>
  <c r="J239" i="1"/>
  <c r="J240" i="1" s="1"/>
  <c r="J241" i="1" s="1"/>
  <c r="J221" i="1"/>
  <c r="J211" i="1"/>
  <c r="J292" i="1"/>
  <c r="J288" i="1"/>
  <c r="J289" i="1" s="1"/>
  <c r="J290" i="1" s="1"/>
  <c r="J285" i="1"/>
  <c r="J286" i="1" s="1"/>
  <c r="J270" i="1"/>
  <c r="J260" i="1"/>
  <c r="I267" i="1"/>
  <c r="I261" i="1"/>
  <c r="I281" i="1"/>
  <c r="I280" i="1"/>
  <c r="I277" i="1"/>
  <c r="I272" i="1"/>
  <c r="I271" i="1"/>
  <c r="I218" i="1"/>
  <c r="I212" i="1"/>
  <c r="I232" i="1"/>
  <c r="I231" i="1"/>
  <c r="I228" i="1"/>
  <c r="I223" i="1"/>
  <c r="I222" i="1"/>
  <c r="I169" i="1"/>
  <c r="I163" i="1"/>
  <c r="I183" i="1"/>
  <c r="I182" i="1"/>
  <c r="I179" i="1"/>
  <c r="I174" i="1"/>
  <c r="I173" i="1"/>
  <c r="I120" i="1"/>
  <c r="I114" i="1"/>
  <c r="I134" i="1"/>
  <c r="I133" i="1"/>
  <c r="I130" i="1"/>
  <c r="I125" i="1"/>
  <c r="I124" i="1"/>
  <c r="I71" i="1"/>
  <c r="I65" i="1"/>
  <c r="I85" i="1"/>
  <c r="I84" i="1"/>
  <c r="I81" i="1"/>
  <c r="I76" i="1"/>
  <c r="I75" i="1"/>
  <c r="I22" i="1"/>
  <c r="I16" i="1"/>
  <c r="I26" i="1"/>
  <c r="I27" i="1"/>
  <c r="I36" i="1"/>
  <c r="I35" i="1"/>
  <c r="I32" i="1"/>
  <c r="P301" i="1"/>
  <c r="P252" i="1"/>
  <c r="P203" i="1"/>
  <c r="P154" i="1"/>
  <c r="P105" i="1"/>
  <c r="P56" i="1"/>
  <c r="P258" i="1"/>
  <c r="P209" i="1"/>
  <c r="P160" i="1"/>
  <c r="J308" i="1"/>
  <c r="J310" i="1" s="1"/>
  <c r="I254" i="1"/>
  <c r="I256" i="1" s="1"/>
  <c r="I107" i="1"/>
  <c r="P111" i="1"/>
  <c r="P62" i="1"/>
  <c r="P13" i="1"/>
  <c r="O12" i="1"/>
  <c r="F16" i="29"/>
  <c r="F26" i="29"/>
  <c r="F11" i="29"/>
  <c r="F28" i="29"/>
  <c r="F13" i="29"/>
  <c r="F18" i="29"/>
  <c r="F17" i="29"/>
  <c r="F27" i="29"/>
  <c r="F12" i="29"/>
  <c r="J294" i="1" l="1"/>
  <c r="J293" i="1"/>
  <c r="E33" i="28"/>
  <c r="F32" i="28"/>
  <c r="J244" i="1"/>
  <c r="J245" i="1"/>
  <c r="J195" i="1"/>
  <c r="J196" i="1"/>
  <c r="J48" i="1"/>
  <c r="J49" i="1"/>
  <c r="J146" i="1"/>
  <c r="J147" i="1"/>
  <c r="J98" i="1"/>
  <c r="J97" i="1"/>
  <c r="I23" i="1"/>
  <c r="I219" i="1"/>
  <c r="I184" i="1"/>
  <c r="I121" i="1"/>
  <c r="I37" i="1"/>
  <c r="I72" i="1"/>
  <c r="I233" i="1"/>
  <c r="I268" i="1"/>
  <c r="I86" i="1"/>
  <c r="I282" i="1"/>
  <c r="I135" i="1"/>
  <c r="I170" i="1"/>
  <c r="I54" i="1"/>
  <c r="I103" i="1"/>
  <c r="I152" i="1"/>
  <c r="I201" i="1"/>
  <c r="I250" i="1"/>
  <c r="I299" i="1"/>
  <c r="J303" i="1"/>
  <c r="J305" i="1" s="1"/>
  <c r="J205" i="1"/>
  <c r="J207" i="1" s="1"/>
  <c r="I50" i="1"/>
  <c r="I99" i="1"/>
  <c r="I148" i="1"/>
  <c r="I197" i="1"/>
  <c r="I246" i="1"/>
  <c r="I295" i="1"/>
  <c r="J267" i="1"/>
  <c r="J261" i="1"/>
  <c r="J281" i="1"/>
  <c r="J280" i="1"/>
  <c r="J277" i="1"/>
  <c r="J272" i="1"/>
  <c r="J271" i="1"/>
  <c r="J218" i="1"/>
  <c r="J212" i="1"/>
  <c r="J232" i="1"/>
  <c r="J231" i="1"/>
  <c r="J228" i="1"/>
  <c r="J223" i="1"/>
  <c r="J222" i="1"/>
  <c r="J169" i="1"/>
  <c r="J163" i="1"/>
  <c r="J183" i="1"/>
  <c r="J182" i="1"/>
  <c r="J179" i="1"/>
  <c r="J174" i="1"/>
  <c r="J173" i="1"/>
  <c r="J22" i="1"/>
  <c r="J16" i="1"/>
  <c r="J26" i="1"/>
  <c r="J27" i="1"/>
  <c r="J35" i="1"/>
  <c r="J36" i="1"/>
  <c r="J32" i="1"/>
  <c r="J71" i="1"/>
  <c r="J65" i="1"/>
  <c r="J85" i="1"/>
  <c r="J84" i="1"/>
  <c r="J81" i="1"/>
  <c r="J76" i="1"/>
  <c r="J75" i="1"/>
  <c r="J120" i="1"/>
  <c r="J114" i="1"/>
  <c r="J134" i="1"/>
  <c r="J133" i="1"/>
  <c r="J130" i="1"/>
  <c r="J125" i="1"/>
  <c r="J124" i="1"/>
  <c r="O301" i="1"/>
  <c r="O252" i="1"/>
  <c r="O203" i="1"/>
  <c r="O154" i="1"/>
  <c r="O105" i="1"/>
  <c r="O56" i="1"/>
  <c r="O258" i="1"/>
  <c r="O209" i="1"/>
  <c r="O160" i="1"/>
  <c r="P52" i="1"/>
  <c r="P47" i="1"/>
  <c r="P43" i="1"/>
  <c r="P39" i="1"/>
  <c r="P25" i="1"/>
  <c r="P15" i="1"/>
  <c r="P101" i="1"/>
  <c r="P96" i="1"/>
  <c r="P92" i="1"/>
  <c r="P88" i="1"/>
  <c r="P74" i="1"/>
  <c r="P64" i="1"/>
  <c r="P150" i="1"/>
  <c r="P145" i="1"/>
  <c r="P141" i="1"/>
  <c r="P137" i="1"/>
  <c r="P123" i="1"/>
  <c r="P113" i="1"/>
  <c r="P199" i="1"/>
  <c r="P194" i="1"/>
  <c r="P190" i="1"/>
  <c r="P186" i="1"/>
  <c r="P172" i="1"/>
  <c r="P162" i="1"/>
  <c r="P248" i="1"/>
  <c r="P243" i="1"/>
  <c r="P239" i="1"/>
  <c r="P235" i="1"/>
  <c r="P221" i="1"/>
  <c r="P211" i="1"/>
  <c r="P297" i="1"/>
  <c r="P292" i="1"/>
  <c r="P288" i="1"/>
  <c r="P284" i="1"/>
  <c r="P270" i="1"/>
  <c r="P260" i="1"/>
  <c r="P308" i="1"/>
  <c r="P310" i="1" s="1"/>
  <c r="J254" i="1"/>
  <c r="J256" i="1" s="1"/>
  <c r="J156" i="1"/>
  <c r="J107" i="1"/>
  <c r="J58" i="1"/>
  <c r="I158" i="1"/>
  <c r="O111" i="1"/>
  <c r="O62" i="1"/>
  <c r="O13" i="1"/>
  <c r="N12" i="1"/>
  <c r="F19" i="29"/>
  <c r="F30" i="23" s="1"/>
  <c r="F29" i="29"/>
  <c r="F54" i="23" s="1"/>
  <c r="F14" i="29"/>
  <c r="E34" i="28" l="1"/>
  <c r="F33" i="28"/>
  <c r="J72" i="1"/>
  <c r="J135" i="1"/>
  <c r="J233" i="1"/>
  <c r="J268" i="1"/>
  <c r="J86" i="1"/>
  <c r="J282" i="1"/>
  <c r="J37" i="1"/>
  <c r="J170" i="1"/>
  <c r="P58" i="1"/>
  <c r="J121" i="1"/>
  <c r="J184" i="1"/>
  <c r="J219" i="1"/>
  <c r="J23" i="1"/>
  <c r="J152" i="1"/>
  <c r="J103" i="1"/>
  <c r="J54" i="1"/>
  <c r="J201" i="1"/>
  <c r="J250" i="1"/>
  <c r="J299" i="1"/>
  <c r="J148" i="1"/>
  <c r="J99" i="1"/>
  <c r="J50" i="1"/>
  <c r="J197" i="1"/>
  <c r="J246" i="1"/>
  <c r="J295" i="1"/>
  <c r="F41" i="29"/>
  <c r="N301" i="1"/>
  <c r="N252" i="1"/>
  <c r="N203" i="1"/>
  <c r="N154" i="1"/>
  <c r="N105" i="1"/>
  <c r="N56" i="1"/>
  <c r="N258" i="1"/>
  <c r="N209" i="1"/>
  <c r="N160" i="1"/>
  <c r="O52" i="1"/>
  <c r="O47" i="1"/>
  <c r="O43" i="1"/>
  <c r="O44" i="1" s="1"/>
  <c r="O45" i="1" s="1"/>
  <c r="O39" i="1"/>
  <c r="O40" i="1" s="1"/>
  <c r="O41" i="1" s="1"/>
  <c r="O25" i="1"/>
  <c r="O15" i="1"/>
  <c r="O101" i="1"/>
  <c r="O96" i="1"/>
  <c r="O92" i="1"/>
  <c r="O93" i="1" s="1"/>
  <c r="O94" i="1" s="1"/>
  <c r="O88" i="1"/>
  <c r="O89" i="1" s="1"/>
  <c r="O90" i="1" s="1"/>
  <c r="O74" i="1"/>
  <c r="O64" i="1"/>
  <c r="O150" i="1"/>
  <c r="O145" i="1"/>
  <c r="O141" i="1"/>
  <c r="O142" i="1" s="1"/>
  <c r="O143" i="1" s="1"/>
  <c r="O137" i="1"/>
  <c r="O138" i="1" s="1"/>
  <c r="O139" i="1" s="1"/>
  <c r="O123" i="1"/>
  <c r="O113" i="1"/>
  <c r="O199" i="1"/>
  <c r="O194" i="1"/>
  <c r="O190" i="1"/>
  <c r="O191" i="1" s="1"/>
  <c r="O192" i="1" s="1"/>
  <c r="O186" i="1"/>
  <c r="O187" i="1" s="1"/>
  <c r="O188" i="1" s="1"/>
  <c r="O172" i="1"/>
  <c r="O162" i="1"/>
  <c r="O248" i="1"/>
  <c r="O243" i="1"/>
  <c r="O239" i="1"/>
  <c r="O240" i="1" s="1"/>
  <c r="O241" i="1" s="1"/>
  <c r="O235" i="1"/>
  <c r="O236" i="1" s="1"/>
  <c r="O237" i="1" s="1"/>
  <c r="O221" i="1"/>
  <c r="O211" i="1"/>
  <c r="O297" i="1"/>
  <c r="O292" i="1"/>
  <c r="O288" i="1"/>
  <c r="O289" i="1" s="1"/>
  <c r="O290" i="1" s="1"/>
  <c r="O284" i="1"/>
  <c r="O285" i="1" s="1"/>
  <c r="O286" i="1" s="1"/>
  <c r="O270" i="1"/>
  <c r="O260" i="1"/>
  <c r="P261" i="1"/>
  <c r="P268" i="1" s="1"/>
  <c r="P303" i="1"/>
  <c r="P305" i="1" s="1"/>
  <c r="P280" i="1"/>
  <c r="P282" i="1" s="1"/>
  <c r="P285" i="1"/>
  <c r="P286" i="1" s="1"/>
  <c r="P289" i="1"/>
  <c r="P290" i="1" s="1"/>
  <c r="P293" i="1"/>
  <c r="P294" i="1"/>
  <c r="P298" i="1"/>
  <c r="P212" i="1"/>
  <c r="P219" i="1" s="1"/>
  <c r="P254" i="1"/>
  <c r="P256" i="1" s="1"/>
  <c r="P231" i="1"/>
  <c r="P233" i="1" s="1"/>
  <c r="P236" i="1"/>
  <c r="P237" i="1" s="1"/>
  <c r="P240" i="1"/>
  <c r="P241" i="1" s="1"/>
  <c r="P244" i="1"/>
  <c r="P245" i="1"/>
  <c r="P249" i="1"/>
  <c r="P163" i="1"/>
  <c r="P170" i="1" s="1"/>
  <c r="P205" i="1"/>
  <c r="P207" i="1" s="1"/>
  <c r="P182" i="1"/>
  <c r="P184" i="1" s="1"/>
  <c r="P187" i="1"/>
  <c r="P188" i="1" s="1"/>
  <c r="P191" i="1"/>
  <c r="P192" i="1" s="1"/>
  <c r="P195" i="1"/>
  <c r="P196" i="1"/>
  <c r="P200" i="1"/>
  <c r="P114" i="1"/>
  <c r="P121" i="1" s="1"/>
  <c r="P156" i="1"/>
  <c r="P133" i="1"/>
  <c r="P135" i="1" s="1"/>
  <c r="P138" i="1"/>
  <c r="P139" i="1" s="1"/>
  <c r="P142" i="1"/>
  <c r="P143" i="1" s="1"/>
  <c r="P146" i="1"/>
  <c r="P147" i="1"/>
  <c r="P151" i="1"/>
  <c r="P65" i="1"/>
  <c r="P72" i="1" s="1"/>
  <c r="P107" i="1"/>
  <c r="P84" i="1"/>
  <c r="P86" i="1" s="1"/>
  <c r="P89" i="1"/>
  <c r="P90" i="1" s="1"/>
  <c r="P93" i="1"/>
  <c r="P94" i="1" s="1"/>
  <c r="P97" i="1"/>
  <c r="P98" i="1"/>
  <c r="P102" i="1"/>
  <c r="P103" i="1" s="1"/>
  <c r="P16" i="1"/>
  <c r="P23" i="1" s="1"/>
  <c r="P35" i="1"/>
  <c r="P37" i="1" s="1"/>
  <c r="P40" i="1"/>
  <c r="P41" i="1" s="1"/>
  <c r="P44" i="1"/>
  <c r="P45" i="1" s="1"/>
  <c r="P49" i="1"/>
  <c r="P48" i="1"/>
  <c r="P53" i="1"/>
  <c r="O308" i="1"/>
  <c r="O310" i="1" s="1"/>
  <c r="J158" i="1"/>
  <c r="N111" i="1"/>
  <c r="N62" i="1"/>
  <c r="N13" i="1"/>
  <c r="J60" i="1"/>
  <c r="M12" i="1"/>
  <c r="F18" i="23"/>
  <c r="E320" i="1"/>
  <c r="F320" i="1" s="1"/>
  <c r="E317" i="1"/>
  <c r="F317" i="1" s="1"/>
  <c r="N248" i="1" l="1"/>
  <c r="N235" i="1"/>
  <c r="N88" i="1"/>
  <c r="N101" i="1"/>
  <c r="N102" i="1" s="1"/>
  <c r="N150" i="1"/>
  <c r="N137" i="1"/>
  <c r="N284" i="1"/>
  <c r="N297" i="1"/>
  <c r="N298" i="1" s="1"/>
  <c r="N52" i="1"/>
  <c r="N39" i="1"/>
  <c r="N199" i="1"/>
  <c r="N186" i="1"/>
  <c r="E35" i="28"/>
  <c r="F34" i="28"/>
  <c r="P201" i="1"/>
  <c r="P152" i="1"/>
  <c r="P197" i="1"/>
  <c r="O58" i="1"/>
  <c r="O303" i="1"/>
  <c r="O305" i="1" s="1"/>
  <c r="P99" i="1"/>
  <c r="P299" i="1"/>
  <c r="P250" i="1"/>
  <c r="P295" i="1"/>
  <c r="P54" i="1"/>
  <c r="O205" i="1"/>
  <c r="O207" i="1" s="1"/>
  <c r="P50" i="1"/>
  <c r="P148" i="1"/>
  <c r="P246" i="1"/>
  <c r="M301" i="1"/>
  <c r="M252" i="1"/>
  <c r="M203" i="1"/>
  <c r="M154" i="1"/>
  <c r="M105" i="1"/>
  <c r="M56" i="1"/>
  <c r="M258" i="1"/>
  <c r="M209" i="1"/>
  <c r="M160" i="1"/>
  <c r="N25" i="1"/>
  <c r="N53" i="1"/>
  <c r="N47" i="1"/>
  <c r="N43" i="1"/>
  <c r="N15" i="1"/>
  <c r="N96" i="1"/>
  <c r="N92" i="1"/>
  <c r="N74" i="1"/>
  <c r="N64" i="1"/>
  <c r="N151" i="1"/>
  <c r="N145" i="1"/>
  <c r="N141" i="1"/>
  <c r="N123" i="1"/>
  <c r="N113" i="1"/>
  <c r="N200" i="1"/>
  <c r="N194" i="1"/>
  <c r="N190" i="1"/>
  <c r="N172" i="1"/>
  <c r="N162" i="1"/>
  <c r="N249" i="1"/>
  <c r="N243" i="1"/>
  <c r="N239" i="1"/>
  <c r="N221" i="1"/>
  <c r="N211" i="1"/>
  <c r="N292" i="1"/>
  <c r="N288" i="1"/>
  <c r="N270" i="1"/>
  <c r="N260" i="1"/>
  <c r="O266" i="1"/>
  <c r="O264" i="1"/>
  <c r="O279" i="1"/>
  <c r="O278" i="1"/>
  <c r="O294" i="1"/>
  <c r="O293" i="1"/>
  <c r="O298" i="1"/>
  <c r="O217" i="1"/>
  <c r="O215" i="1"/>
  <c r="O230" i="1"/>
  <c r="O229" i="1"/>
  <c r="O245" i="1"/>
  <c r="O244" i="1"/>
  <c r="O249" i="1"/>
  <c r="O168" i="1"/>
  <c r="O166" i="1"/>
  <c r="O181" i="1"/>
  <c r="O180" i="1"/>
  <c r="O196" i="1"/>
  <c r="O195" i="1"/>
  <c r="O200" i="1"/>
  <c r="O119" i="1"/>
  <c r="O117" i="1"/>
  <c r="O132" i="1"/>
  <c r="O131" i="1"/>
  <c r="O147" i="1"/>
  <c r="O146" i="1"/>
  <c r="O151" i="1"/>
  <c r="O70" i="1"/>
  <c r="O68" i="1"/>
  <c r="O83" i="1"/>
  <c r="O82" i="1"/>
  <c r="O98" i="1"/>
  <c r="O97" i="1"/>
  <c r="O102" i="1"/>
  <c r="O21" i="1"/>
  <c r="O19" i="1"/>
  <c r="O34" i="1"/>
  <c r="O33" i="1"/>
  <c r="O49" i="1"/>
  <c r="O48" i="1"/>
  <c r="O53" i="1"/>
  <c r="N308" i="1"/>
  <c r="N310" i="1" s="1"/>
  <c r="O254" i="1"/>
  <c r="O256" i="1" s="1"/>
  <c r="O107" i="1"/>
  <c r="O156" i="1"/>
  <c r="O158" i="1" s="1"/>
  <c r="P158" i="1"/>
  <c r="M62" i="1"/>
  <c r="M13" i="1"/>
  <c r="M111" i="1"/>
  <c r="L12" i="1"/>
  <c r="E36" i="28" l="1"/>
  <c r="F35" i="28"/>
  <c r="N294" i="1"/>
  <c r="N293" i="1"/>
  <c r="N245" i="1"/>
  <c r="N244" i="1"/>
  <c r="N196" i="1"/>
  <c r="N195" i="1"/>
  <c r="N147" i="1"/>
  <c r="N146" i="1"/>
  <c r="N48" i="1"/>
  <c r="N49" i="1"/>
  <c r="N97" i="1"/>
  <c r="N98" i="1"/>
  <c r="N303" i="1"/>
  <c r="N305" i="1" s="1"/>
  <c r="O50" i="1"/>
  <c r="O23" i="1"/>
  <c r="O72" i="1"/>
  <c r="O148" i="1"/>
  <c r="O121" i="1"/>
  <c r="O197" i="1"/>
  <c r="O170" i="1"/>
  <c r="O246" i="1"/>
  <c r="O219" i="1"/>
  <c r="O295" i="1"/>
  <c r="O268" i="1"/>
  <c r="O99" i="1"/>
  <c r="N156" i="1"/>
  <c r="O37" i="1"/>
  <c r="O86" i="1"/>
  <c r="O152" i="1"/>
  <c r="O135" i="1"/>
  <c r="O201" i="1"/>
  <c r="O184" i="1"/>
  <c r="O250" i="1"/>
  <c r="O233" i="1"/>
  <c r="O299" i="1"/>
  <c r="O282" i="1"/>
  <c r="N205" i="1"/>
  <c r="N207" i="1" s="1"/>
  <c r="O54" i="1"/>
  <c r="O103" i="1"/>
  <c r="L56" i="1"/>
  <c r="L301" i="1"/>
  <c r="L252" i="1"/>
  <c r="L203" i="1"/>
  <c r="L154" i="1"/>
  <c r="L105" i="1"/>
  <c r="L258" i="1"/>
  <c r="L209" i="1"/>
  <c r="L160" i="1"/>
  <c r="M123" i="1"/>
  <c r="M150" i="1"/>
  <c r="M145" i="1"/>
  <c r="M141" i="1"/>
  <c r="M142" i="1" s="1"/>
  <c r="M143" i="1" s="1"/>
  <c r="M137" i="1"/>
  <c r="M138" i="1" s="1"/>
  <c r="M139" i="1" s="1"/>
  <c r="M113" i="1"/>
  <c r="M25" i="1"/>
  <c r="M52" i="1"/>
  <c r="M47" i="1"/>
  <c r="M43" i="1"/>
  <c r="M44" i="1" s="1"/>
  <c r="M45" i="1" s="1"/>
  <c r="M39" i="1"/>
  <c r="M40" i="1" s="1"/>
  <c r="M41" i="1" s="1"/>
  <c r="M15" i="1"/>
  <c r="M74" i="1"/>
  <c r="M101" i="1"/>
  <c r="M96" i="1"/>
  <c r="M92" i="1"/>
  <c r="M93" i="1" s="1"/>
  <c r="M94" i="1" s="1"/>
  <c r="M88" i="1"/>
  <c r="M89" i="1" s="1"/>
  <c r="M90" i="1" s="1"/>
  <c r="M64" i="1"/>
  <c r="M172" i="1"/>
  <c r="M199" i="1"/>
  <c r="M194" i="1"/>
  <c r="M190" i="1"/>
  <c r="M191" i="1" s="1"/>
  <c r="M192" i="1" s="1"/>
  <c r="M186" i="1"/>
  <c r="M187" i="1" s="1"/>
  <c r="M188" i="1" s="1"/>
  <c r="M162" i="1"/>
  <c r="M221" i="1"/>
  <c r="M248" i="1"/>
  <c r="M243" i="1"/>
  <c r="M239" i="1"/>
  <c r="M240" i="1" s="1"/>
  <c r="M241" i="1" s="1"/>
  <c r="M235" i="1"/>
  <c r="M236" i="1" s="1"/>
  <c r="M237" i="1" s="1"/>
  <c r="M211" i="1"/>
  <c r="M270" i="1"/>
  <c r="M297" i="1"/>
  <c r="M292" i="1"/>
  <c r="M288" i="1"/>
  <c r="M289" i="1" s="1"/>
  <c r="M290" i="1" s="1"/>
  <c r="M284" i="1"/>
  <c r="M285" i="1" s="1"/>
  <c r="M286" i="1" s="1"/>
  <c r="M260" i="1"/>
  <c r="N266" i="1"/>
  <c r="N264" i="1"/>
  <c r="N279" i="1"/>
  <c r="N278" i="1"/>
  <c r="N285" i="1"/>
  <c r="N286" i="1" s="1"/>
  <c r="N289" i="1"/>
  <c r="N290" i="1" s="1"/>
  <c r="N217" i="1"/>
  <c r="N215" i="1"/>
  <c r="N230" i="1"/>
  <c r="N229" i="1"/>
  <c r="N236" i="1"/>
  <c r="N237" i="1" s="1"/>
  <c r="N240" i="1"/>
  <c r="N241" i="1" s="1"/>
  <c r="N168" i="1"/>
  <c r="N166" i="1"/>
  <c r="N181" i="1"/>
  <c r="N180" i="1"/>
  <c r="N187" i="1"/>
  <c r="N188" i="1" s="1"/>
  <c r="N191" i="1"/>
  <c r="N192" i="1" s="1"/>
  <c r="N119" i="1"/>
  <c r="N117" i="1"/>
  <c r="N132" i="1"/>
  <c r="N131" i="1"/>
  <c r="N138" i="1"/>
  <c r="N139" i="1" s="1"/>
  <c r="N142" i="1"/>
  <c r="N143" i="1" s="1"/>
  <c r="N70" i="1"/>
  <c r="N68" i="1"/>
  <c r="N83" i="1"/>
  <c r="N82" i="1"/>
  <c r="N89" i="1"/>
  <c r="N90" i="1" s="1"/>
  <c r="N93" i="1"/>
  <c r="N94" i="1" s="1"/>
  <c r="N19" i="1"/>
  <c r="N21" i="1"/>
  <c r="N40" i="1"/>
  <c r="N41" i="1" s="1"/>
  <c r="N44" i="1"/>
  <c r="N45" i="1" s="1"/>
  <c r="N33" i="1"/>
  <c r="N34" i="1"/>
  <c r="M308" i="1"/>
  <c r="M310" i="1" s="1"/>
  <c r="N254" i="1"/>
  <c r="N256" i="1" s="1"/>
  <c r="N107" i="1"/>
  <c r="N58" i="1"/>
  <c r="L111" i="1"/>
  <c r="L62" i="1"/>
  <c r="L13" i="1"/>
  <c r="P60" i="1"/>
  <c r="K109" i="1"/>
  <c r="P109" i="1"/>
  <c r="K60" i="1"/>
  <c r="L150" i="1" l="1"/>
  <c r="L137" i="1"/>
  <c r="L88" i="1"/>
  <c r="L101" i="1"/>
  <c r="L297" i="1"/>
  <c r="L298" i="1" s="1"/>
  <c r="L284" i="1"/>
  <c r="L199" i="1"/>
  <c r="L200" i="1" s="1"/>
  <c r="L186" i="1"/>
  <c r="L52" i="1"/>
  <c r="L39" i="1"/>
  <c r="L235" i="1"/>
  <c r="L248" i="1"/>
  <c r="E37" i="28"/>
  <c r="F36" i="28"/>
  <c r="N23" i="1"/>
  <c r="N37" i="1"/>
  <c r="M303" i="1"/>
  <c r="M305" i="1" s="1"/>
  <c r="N103" i="1"/>
  <c r="N72" i="1"/>
  <c r="N148" i="1"/>
  <c r="N135" i="1"/>
  <c r="N201" i="1"/>
  <c r="N170" i="1"/>
  <c r="N246" i="1"/>
  <c r="N233" i="1"/>
  <c r="N299" i="1"/>
  <c r="N268" i="1"/>
  <c r="N86" i="1"/>
  <c r="N152" i="1"/>
  <c r="N121" i="1"/>
  <c r="N184" i="1"/>
  <c r="N250" i="1"/>
  <c r="N219" i="1"/>
  <c r="N282" i="1"/>
  <c r="M205" i="1"/>
  <c r="M207" i="1" s="1"/>
  <c r="N54" i="1"/>
  <c r="N99" i="1"/>
  <c r="N197" i="1"/>
  <c r="N295" i="1"/>
  <c r="N50" i="1"/>
  <c r="L53" i="1"/>
  <c r="L47" i="1"/>
  <c r="L43" i="1"/>
  <c r="L25" i="1"/>
  <c r="L15" i="1"/>
  <c r="L74" i="1"/>
  <c r="L102" i="1"/>
  <c r="L96" i="1"/>
  <c r="L92" i="1"/>
  <c r="L64" i="1"/>
  <c r="L123" i="1"/>
  <c r="L151" i="1"/>
  <c r="L145" i="1"/>
  <c r="L141" i="1"/>
  <c r="L113" i="1"/>
  <c r="L172" i="1"/>
  <c r="L194" i="1"/>
  <c r="L190" i="1"/>
  <c r="L162" i="1"/>
  <c r="L221" i="1"/>
  <c r="L249" i="1"/>
  <c r="L243" i="1"/>
  <c r="L239" i="1"/>
  <c r="L211" i="1"/>
  <c r="L270" i="1"/>
  <c r="L292" i="1"/>
  <c r="L288" i="1"/>
  <c r="L260" i="1"/>
  <c r="M266" i="1"/>
  <c r="M265" i="1"/>
  <c r="M264" i="1"/>
  <c r="M263" i="1"/>
  <c r="M262" i="1"/>
  <c r="M294" i="1"/>
  <c r="M293" i="1"/>
  <c r="M298" i="1"/>
  <c r="M278" i="1"/>
  <c r="M277" i="1"/>
  <c r="M276" i="1"/>
  <c r="M275" i="1"/>
  <c r="M274" i="1"/>
  <c r="M273" i="1"/>
  <c r="M217" i="1"/>
  <c r="M216" i="1"/>
  <c r="M215" i="1"/>
  <c r="M214" i="1"/>
  <c r="M213" i="1"/>
  <c r="M245" i="1"/>
  <c r="M244" i="1"/>
  <c r="M249" i="1"/>
  <c r="M229" i="1"/>
  <c r="M228" i="1"/>
  <c r="M227" i="1"/>
  <c r="M226" i="1"/>
  <c r="M225" i="1"/>
  <c r="M224" i="1"/>
  <c r="M168" i="1"/>
  <c r="M167" i="1"/>
  <c r="M166" i="1"/>
  <c r="M165" i="1"/>
  <c r="M164" i="1"/>
  <c r="M196" i="1"/>
  <c r="M195" i="1"/>
  <c r="M200" i="1"/>
  <c r="M180" i="1"/>
  <c r="M179" i="1"/>
  <c r="M178" i="1"/>
  <c r="M177" i="1"/>
  <c r="M176" i="1"/>
  <c r="M175" i="1"/>
  <c r="M70" i="1"/>
  <c r="M69" i="1"/>
  <c r="M68" i="1"/>
  <c r="M67" i="1"/>
  <c r="M66" i="1"/>
  <c r="M98" i="1"/>
  <c r="M97" i="1"/>
  <c r="M102" i="1"/>
  <c r="M82" i="1"/>
  <c r="M81" i="1"/>
  <c r="M80" i="1"/>
  <c r="M79" i="1"/>
  <c r="M78" i="1"/>
  <c r="M77" i="1"/>
  <c r="M21" i="1"/>
  <c r="M20" i="1"/>
  <c r="M19" i="1"/>
  <c r="M18" i="1"/>
  <c r="M17" i="1"/>
  <c r="M49" i="1"/>
  <c r="M48" i="1"/>
  <c r="M53" i="1"/>
  <c r="M54" i="1" s="1"/>
  <c r="M33" i="1"/>
  <c r="M32" i="1"/>
  <c r="M31" i="1"/>
  <c r="M30" i="1"/>
  <c r="M29" i="1"/>
  <c r="M28" i="1"/>
  <c r="M119" i="1"/>
  <c r="M118" i="1"/>
  <c r="M117" i="1"/>
  <c r="M116" i="1"/>
  <c r="M115" i="1"/>
  <c r="M147" i="1"/>
  <c r="M146" i="1"/>
  <c r="M151" i="1"/>
  <c r="M131" i="1"/>
  <c r="M130" i="1"/>
  <c r="M129" i="1"/>
  <c r="M128" i="1"/>
  <c r="M127" i="1"/>
  <c r="M126" i="1"/>
  <c r="L308" i="1"/>
  <c r="L310" i="1" s="1"/>
  <c r="M254" i="1"/>
  <c r="M256" i="1" s="1"/>
  <c r="M156" i="1"/>
  <c r="M107" i="1"/>
  <c r="M58" i="1"/>
  <c r="Q62" i="1"/>
  <c r="Q13" i="1"/>
  <c r="Q111" i="1"/>
  <c r="N158" i="1"/>
  <c r="R12" i="1"/>
  <c r="E315" i="1"/>
  <c r="E316" i="1"/>
  <c r="E318" i="1"/>
  <c r="E319" i="1"/>
  <c r="E322" i="1"/>
  <c r="E323" i="1"/>
  <c r="E324" i="1"/>
  <c r="E325" i="1"/>
  <c r="E326" i="1"/>
  <c r="E329" i="1"/>
  <c r="E333" i="1"/>
  <c r="E334" i="1"/>
  <c r="F314" i="1"/>
  <c r="E38" i="28" l="1"/>
  <c r="F37" i="28"/>
  <c r="L294" i="1"/>
  <c r="L293" i="1"/>
  <c r="Q52" i="1"/>
  <c r="Q39" i="1"/>
  <c r="Q101" i="1"/>
  <c r="Q102" i="1" s="1"/>
  <c r="Q88" i="1"/>
  <c r="Q89" i="1" s="1"/>
  <c r="Q90" i="1" s="1"/>
  <c r="Q150" i="1"/>
  <c r="Q137" i="1"/>
  <c r="Q138" i="1" s="1"/>
  <c r="Q139" i="1" s="1"/>
  <c r="L244" i="1"/>
  <c r="L245" i="1"/>
  <c r="L195" i="1"/>
  <c r="L196" i="1"/>
  <c r="L48" i="1"/>
  <c r="L49" i="1"/>
  <c r="L146" i="1"/>
  <c r="L147" i="1"/>
  <c r="L98" i="1"/>
  <c r="L97" i="1"/>
  <c r="M299" i="1"/>
  <c r="L205" i="1"/>
  <c r="L207" i="1" s="1"/>
  <c r="M201" i="1"/>
  <c r="L303" i="1"/>
  <c r="L305" i="1" s="1"/>
  <c r="M23" i="1"/>
  <c r="M184" i="1"/>
  <c r="M197" i="1"/>
  <c r="M268" i="1"/>
  <c r="L156" i="1"/>
  <c r="M135" i="1"/>
  <c r="M148" i="1"/>
  <c r="M103" i="1"/>
  <c r="M72" i="1"/>
  <c r="M233" i="1"/>
  <c r="M246" i="1"/>
  <c r="M37" i="1"/>
  <c r="M50" i="1"/>
  <c r="M170" i="1"/>
  <c r="M282" i="1"/>
  <c r="M295" i="1"/>
  <c r="M152" i="1"/>
  <c r="M121" i="1"/>
  <c r="M86" i="1"/>
  <c r="M99" i="1"/>
  <c r="M250" i="1"/>
  <c r="M219" i="1"/>
  <c r="R301" i="1"/>
  <c r="R252" i="1"/>
  <c r="R203" i="1"/>
  <c r="R154" i="1"/>
  <c r="R105" i="1"/>
  <c r="R56" i="1"/>
  <c r="R258" i="1"/>
  <c r="R209" i="1"/>
  <c r="R160" i="1"/>
  <c r="Q151" i="1"/>
  <c r="Q145" i="1"/>
  <c r="Q141" i="1"/>
  <c r="Q142" i="1" s="1"/>
  <c r="Q143" i="1" s="1"/>
  <c r="Q123" i="1"/>
  <c r="Q113" i="1"/>
  <c r="Q53" i="1"/>
  <c r="Q43" i="1"/>
  <c r="Q44" i="1" s="1"/>
  <c r="Q47" i="1"/>
  <c r="Q15" i="1"/>
  <c r="Q96" i="1"/>
  <c r="Q92" i="1"/>
  <c r="Q93" i="1" s="1"/>
  <c r="Q94" i="1" s="1"/>
  <c r="Q74" i="1"/>
  <c r="Q64" i="1"/>
  <c r="L266" i="1"/>
  <c r="L265" i="1"/>
  <c r="L264" i="1"/>
  <c r="L263" i="1"/>
  <c r="L262" i="1"/>
  <c r="L285" i="1"/>
  <c r="L286" i="1" s="1"/>
  <c r="L289" i="1"/>
  <c r="L290" i="1" s="1"/>
  <c r="L278" i="1"/>
  <c r="L277" i="1"/>
  <c r="L276" i="1"/>
  <c r="L275" i="1"/>
  <c r="L274" i="1"/>
  <c r="L273" i="1"/>
  <c r="L217" i="1"/>
  <c r="L216" i="1"/>
  <c r="L215" i="1"/>
  <c r="L214" i="1"/>
  <c r="L213" i="1"/>
  <c r="L236" i="1"/>
  <c r="L237" i="1" s="1"/>
  <c r="L240" i="1"/>
  <c r="L241" i="1" s="1"/>
  <c r="L229" i="1"/>
  <c r="L228" i="1"/>
  <c r="L227" i="1"/>
  <c r="L226" i="1"/>
  <c r="L225" i="1"/>
  <c r="L224" i="1"/>
  <c r="L168" i="1"/>
  <c r="L167" i="1"/>
  <c r="L166" i="1"/>
  <c r="L165" i="1"/>
  <c r="L164" i="1"/>
  <c r="L187" i="1"/>
  <c r="L188" i="1" s="1"/>
  <c r="L191" i="1"/>
  <c r="L192" i="1" s="1"/>
  <c r="L180" i="1"/>
  <c r="L179" i="1"/>
  <c r="L178" i="1"/>
  <c r="L177" i="1"/>
  <c r="L176" i="1"/>
  <c r="L175" i="1"/>
  <c r="L119" i="1"/>
  <c r="L118" i="1"/>
  <c r="L117" i="1"/>
  <c r="L116" i="1"/>
  <c r="L115" i="1"/>
  <c r="L138" i="1"/>
  <c r="L139" i="1" s="1"/>
  <c r="L142" i="1"/>
  <c r="L143" i="1" s="1"/>
  <c r="L131" i="1"/>
  <c r="L130" i="1"/>
  <c r="L129" i="1"/>
  <c r="L128" i="1"/>
  <c r="L127" i="1"/>
  <c r="L126" i="1"/>
  <c r="L70" i="1"/>
  <c r="L69" i="1"/>
  <c r="L68" i="1"/>
  <c r="L67" i="1"/>
  <c r="L66" i="1"/>
  <c r="L89" i="1"/>
  <c r="L90" i="1" s="1"/>
  <c r="L93" i="1"/>
  <c r="L94" i="1" s="1"/>
  <c r="L82" i="1"/>
  <c r="L81" i="1"/>
  <c r="L80" i="1"/>
  <c r="L79" i="1"/>
  <c r="L78" i="1"/>
  <c r="L77" i="1"/>
  <c r="L21" i="1"/>
  <c r="L20" i="1"/>
  <c r="L19" i="1"/>
  <c r="L18" i="1"/>
  <c r="L17" i="1"/>
  <c r="L58" i="1"/>
  <c r="L60" i="1" s="1"/>
  <c r="L32" i="1"/>
  <c r="L29" i="1"/>
  <c r="L33" i="1"/>
  <c r="L28" i="1"/>
  <c r="L31" i="1"/>
  <c r="L30" i="1"/>
  <c r="L40" i="1"/>
  <c r="L44" i="1"/>
  <c r="Q308" i="1"/>
  <c r="Q310" i="1" s="1"/>
  <c r="L254" i="1"/>
  <c r="L256" i="1" s="1"/>
  <c r="L107" i="1"/>
  <c r="R62" i="1"/>
  <c r="R13" i="1"/>
  <c r="R111" i="1"/>
  <c r="M158" i="1"/>
  <c r="Q25" i="1"/>
  <c r="R235" i="1" l="1"/>
  <c r="R248" i="1"/>
  <c r="R284" i="1"/>
  <c r="R297" i="1"/>
  <c r="R298" i="1" s="1"/>
  <c r="R137" i="1"/>
  <c r="R150" i="1"/>
  <c r="R151" i="1" s="1"/>
  <c r="R39" i="1"/>
  <c r="R40" i="1" s="1"/>
  <c r="R41" i="1" s="1"/>
  <c r="R52" i="1"/>
  <c r="R88" i="1"/>
  <c r="R101" i="1"/>
  <c r="R186" i="1"/>
  <c r="R199" i="1"/>
  <c r="R200" i="1" s="1"/>
  <c r="E39" i="28"/>
  <c r="F38" i="28"/>
  <c r="Q48" i="1"/>
  <c r="Q49" i="1"/>
  <c r="Q146" i="1"/>
  <c r="Q147" i="1"/>
  <c r="Q98" i="1"/>
  <c r="Q97" i="1"/>
  <c r="L86" i="1"/>
  <c r="L99" i="1"/>
  <c r="L201" i="1"/>
  <c r="L282" i="1"/>
  <c r="L268" i="1"/>
  <c r="R308" i="1"/>
  <c r="R310" i="1" s="1"/>
  <c r="L72" i="1"/>
  <c r="L295" i="1"/>
  <c r="L152" i="1"/>
  <c r="L233" i="1"/>
  <c r="L246" i="1"/>
  <c r="L219" i="1"/>
  <c r="L103" i="1"/>
  <c r="L184" i="1"/>
  <c r="L197" i="1"/>
  <c r="L170" i="1"/>
  <c r="L299" i="1"/>
  <c r="L135" i="1"/>
  <c r="L148" i="1"/>
  <c r="L121" i="1"/>
  <c r="L250" i="1"/>
  <c r="R145" i="1"/>
  <c r="R141" i="1"/>
  <c r="R123" i="1"/>
  <c r="R113" i="1"/>
  <c r="R53" i="1"/>
  <c r="R47" i="1"/>
  <c r="R43" i="1"/>
  <c r="R25" i="1"/>
  <c r="R15" i="1"/>
  <c r="R102" i="1"/>
  <c r="R96" i="1"/>
  <c r="R92" i="1"/>
  <c r="R74" i="1"/>
  <c r="R64" i="1"/>
  <c r="R194" i="1"/>
  <c r="R190" i="1"/>
  <c r="R172" i="1"/>
  <c r="R162" i="1"/>
  <c r="R249" i="1"/>
  <c r="R243" i="1"/>
  <c r="R239" i="1"/>
  <c r="R221" i="1"/>
  <c r="R211" i="1"/>
  <c r="R292" i="1"/>
  <c r="R288" i="1"/>
  <c r="R270" i="1"/>
  <c r="R260" i="1"/>
  <c r="Q31" i="1"/>
  <c r="Q30" i="1"/>
  <c r="Q36" i="1"/>
  <c r="Q35" i="1"/>
  <c r="Q34" i="1"/>
  <c r="Q33" i="1"/>
  <c r="Q32" i="1"/>
  <c r="Q29" i="1"/>
  <c r="Q28" i="1"/>
  <c r="Q27" i="1"/>
  <c r="Q26" i="1"/>
  <c r="Q40" i="1"/>
  <c r="Q71" i="1"/>
  <c r="Q70" i="1"/>
  <c r="Q69" i="1"/>
  <c r="Q68" i="1"/>
  <c r="Q67" i="1"/>
  <c r="Q66" i="1"/>
  <c r="Q65" i="1"/>
  <c r="Q85" i="1"/>
  <c r="Q84" i="1"/>
  <c r="Q83" i="1"/>
  <c r="Q82" i="1"/>
  <c r="Q81" i="1"/>
  <c r="Q80" i="1"/>
  <c r="Q79" i="1"/>
  <c r="Q78" i="1"/>
  <c r="Q77" i="1"/>
  <c r="Q76" i="1"/>
  <c r="Q75" i="1"/>
  <c r="Q21" i="1"/>
  <c r="Q20" i="1"/>
  <c r="Q18" i="1"/>
  <c r="Q17" i="1"/>
  <c r="Q22" i="1"/>
  <c r="Q19" i="1"/>
  <c r="Q16" i="1"/>
  <c r="Q120" i="1"/>
  <c r="Q119" i="1"/>
  <c r="Q118" i="1"/>
  <c r="Q117" i="1"/>
  <c r="Q116" i="1"/>
  <c r="Q115" i="1"/>
  <c r="Q114" i="1"/>
  <c r="Q134" i="1"/>
  <c r="Q133" i="1"/>
  <c r="Q132" i="1"/>
  <c r="Q131" i="1"/>
  <c r="Q130" i="1"/>
  <c r="Q129" i="1"/>
  <c r="Q128" i="1"/>
  <c r="Q127" i="1"/>
  <c r="Q126" i="1"/>
  <c r="Q125" i="1"/>
  <c r="Q124" i="1"/>
  <c r="L37" i="1"/>
  <c r="Q156" i="1"/>
  <c r="Q107" i="1"/>
  <c r="Q58" i="1"/>
  <c r="L23" i="1"/>
  <c r="R294" i="1" l="1"/>
  <c r="R293" i="1"/>
  <c r="E40" i="28"/>
  <c r="F39" i="28"/>
  <c r="R245" i="1"/>
  <c r="R244" i="1"/>
  <c r="R196" i="1"/>
  <c r="R195" i="1"/>
  <c r="R146" i="1"/>
  <c r="R147" i="1"/>
  <c r="R48" i="1"/>
  <c r="R49" i="1"/>
  <c r="R97" i="1"/>
  <c r="R98" i="1"/>
  <c r="R303" i="1"/>
  <c r="R305" i="1" s="1"/>
  <c r="R205" i="1"/>
  <c r="R207" i="1" s="1"/>
  <c r="Q148" i="1"/>
  <c r="Q23" i="1"/>
  <c r="Q37" i="1"/>
  <c r="R107" i="1"/>
  <c r="Q152" i="1"/>
  <c r="Q103" i="1"/>
  <c r="Q86" i="1"/>
  <c r="Q135" i="1"/>
  <c r="Q72" i="1"/>
  <c r="Q121" i="1"/>
  <c r="Q99" i="1"/>
  <c r="R267" i="1"/>
  <c r="R266" i="1"/>
  <c r="R265" i="1"/>
  <c r="R264" i="1"/>
  <c r="R263" i="1"/>
  <c r="R262" i="1"/>
  <c r="R261" i="1"/>
  <c r="R281" i="1"/>
  <c r="R280" i="1"/>
  <c r="R279" i="1"/>
  <c r="R278" i="1"/>
  <c r="R277" i="1"/>
  <c r="R276" i="1"/>
  <c r="R275" i="1"/>
  <c r="R274" i="1"/>
  <c r="R273" i="1"/>
  <c r="R272" i="1"/>
  <c r="R271" i="1"/>
  <c r="R285" i="1"/>
  <c r="R286" i="1" s="1"/>
  <c r="R289" i="1"/>
  <c r="R290" i="1" s="1"/>
  <c r="R218" i="1"/>
  <c r="R217" i="1"/>
  <c r="R216" i="1"/>
  <c r="R215" i="1"/>
  <c r="R214" i="1"/>
  <c r="R213" i="1"/>
  <c r="R212" i="1"/>
  <c r="R232" i="1"/>
  <c r="R231" i="1"/>
  <c r="R230" i="1"/>
  <c r="R229" i="1"/>
  <c r="R228" i="1"/>
  <c r="R227" i="1"/>
  <c r="R226" i="1"/>
  <c r="R225" i="1"/>
  <c r="R224" i="1"/>
  <c r="R223" i="1"/>
  <c r="R222" i="1"/>
  <c r="R236" i="1"/>
  <c r="R237" i="1" s="1"/>
  <c r="R240" i="1"/>
  <c r="R241" i="1" s="1"/>
  <c r="R169" i="1"/>
  <c r="R168" i="1"/>
  <c r="R167" i="1"/>
  <c r="R166" i="1"/>
  <c r="R165" i="1"/>
  <c r="R164" i="1"/>
  <c r="R163" i="1"/>
  <c r="R183" i="1"/>
  <c r="R182" i="1"/>
  <c r="R181" i="1"/>
  <c r="R180" i="1"/>
  <c r="R179" i="1"/>
  <c r="R178" i="1"/>
  <c r="R177" i="1"/>
  <c r="R176" i="1"/>
  <c r="R175" i="1"/>
  <c r="R174" i="1"/>
  <c r="R173" i="1"/>
  <c r="R187" i="1"/>
  <c r="R188" i="1" s="1"/>
  <c r="R191" i="1"/>
  <c r="R192" i="1" s="1"/>
  <c r="R71" i="1"/>
  <c r="R70" i="1"/>
  <c r="R69" i="1"/>
  <c r="R68" i="1"/>
  <c r="R67" i="1"/>
  <c r="R66" i="1"/>
  <c r="R65" i="1"/>
  <c r="R85" i="1"/>
  <c r="R84" i="1"/>
  <c r="R83" i="1"/>
  <c r="R82" i="1"/>
  <c r="R81" i="1"/>
  <c r="R80" i="1"/>
  <c r="R79" i="1"/>
  <c r="R78" i="1"/>
  <c r="R77" i="1"/>
  <c r="R76" i="1"/>
  <c r="R75" i="1"/>
  <c r="R89" i="1"/>
  <c r="R90" i="1" s="1"/>
  <c r="R93" i="1"/>
  <c r="R94" i="1" s="1"/>
  <c r="R22" i="1"/>
  <c r="R21" i="1"/>
  <c r="R20" i="1"/>
  <c r="R19" i="1"/>
  <c r="R18" i="1"/>
  <c r="R17" i="1"/>
  <c r="R16" i="1"/>
  <c r="R36" i="1"/>
  <c r="R35" i="1"/>
  <c r="R34" i="1"/>
  <c r="R33" i="1"/>
  <c r="R32" i="1"/>
  <c r="R31" i="1"/>
  <c r="R30" i="1"/>
  <c r="R29" i="1"/>
  <c r="R28" i="1"/>
  <c r="R27" i="1"/>
  <c r="R26" i="1"/>
  <c r="R44" i="1"/>
  <c r="R45" i="1" s="1"/>
  <c r="R120" i="1"/>
  <c r="R119" i="1"/>
  <c r="R118" i="1"/>
  <c r="R117" i="1"/>
  <c r="R116" i="1"/>
  <c r="R115" i="1"/>
  <c r="R114" i="1"/>
  <c r="R134" i="1"/>
  <c r="R133" i="1"/>
  <c r="R132" i="1"/>
  <c r="R131" i="1"/>
  <c r="R130" i="1"/>
  <c r="R129" i="1"/>
  <c r="R128" i="1"/>
  <c r="R127" i="1"/>
  <c r="R126" i="1"/>
  <c r="R125" i="1"/>
  <c r="R124" i="1"/>
  <c r="R138" i="1"/>
  <c r="R139" i="1" s="1"/>
  <c r="R142" i="1"/>
  <c r="R143" i="1" s="1"/>
  <c r="R254" i="1"/>
  <c r="R256" i="1" s="1"/>
  <c r="R156" i="1"/>
  <c r="R58" i="1"/>
  <c r="L158" i="1"/>
  <c r="T12" i="1"/>
  <c r="I109" i="1"/>
  <c r="H60" i="1"/>
  <c r="G60" i="1"/>
  <c r="E41" i="28" l="1"/>
  <c r="F40" i="28"/>
  <c r="R148" i="1"/>
  <c r="R135" i="1"/>
  <c r="R50" i="1"/>
  <c r="R152" i="1"/>
  <c r="R54" i="1"/>
  <c r="R121" i="1"/>
  <c r="R37" i="1"/>
  <c r="R99" i="1"/>
  <c r="R86" i="1"/>
  <c r="R197" i="1"/>
  <c r="R184" i="1"/>
  <c r="R246" i="1"/>
  <c r="R233" i="1"/>
  <c r="R295" i="1"/>
  <c r="R282" i="1"/>
  <c r="R23" i="1"/>
  <c r="R72" i="1"/>
  <c r="R170" i="1"/>
  <c r="R219" i="1"/>
  <c r="R268" i="1"/>
  <c r="R103" i="1"/>
  <c r="R201" i="1"/>
  <c r="R250" i="1"/>
  <c r="R299" i="1"/>
  <c r="T301" i="1"/>
  <c r="T252" i="1"/>
  <c r="T203" i="1"/>
  <c r="T154" i="1"/>
  <c r="T105" i="1"/>
  <c r="T56" i="1"/>
  <c r="T258" i="1"/>
  <c r="T209" i="1"/>
  <c r="T160" i="1"/>
  <c r="T13" i="1"/>
  <c r="T111" i="1"/>
  <c r="T62" i="1"/>
  <c r="Q158" i="1"/>
  <c r="T186" i="1" l="1"/>
  <c r="T199" i="1"/>
  <c r="T88" i="1"/>
  <c r="T101" i="1"/>
  <c r="T235" i="1"/>
  <c r="T236" i="1" s="1"/>
  <c r="T237" i="1" s="1"/>
  <c r="T248" i="1"/>
  <c r="T137" i="1"/>
  <c r="T138" i="1" s="1"/>
  <c r="T139" i="1" s="1"/>
  <c r="T150" i="1"/>
  <c r="T151" i="1" s="1"/>
  <c r="T52" i="1"/>
  <c r="T39" i="1"/>
  <c r="T284" i="1"/>
  <c r="T297" i="1"/>
  <c r="T298" i="1" s="1"/>
  <c r="E42" i="28"/>
  <c r="F41" i="28"/>
  <c r="T102" i="1"/>
  <c r="T96" i="1"/>
  <c r="T92" i="1"/>
  <c r="T93" i="1" s="1"/>
  <c r="T94" i="1" s="1"/>
  <c r="T89" i="1"/>
  <c r="T90" i="1" s="1"/>
  <c r="T74" i="1"/>
  <c r="T64" i="1"/>
  <c r="T145" i="1"/>
  <c r="T141" i="1"/>
  <c r="T142" i="1" s="1"/>
  <c r="T143" i="1" s="1"/>
  <c r="T123" i="1"/>
  <c r="T113" i="1"/>
  <c r="T53" i="1"/>
  <c r="T47" i="1"/>
  <c r="T43" i="1"/>
  <c r="T44" i="1" s="1"/>
  <c r="T45" i="1" s="1"/>
  <c r="T40" i="1"/>
  <c r="T41" i="1" s="1"/>
  <c r="T25" i="1"/>
  <c r="T15" i="1"/>
  <c r="T200" i="1"/>
  <c r="T194" i="1"/>
  <c r="T190" i="1"/>
  <c r="T191" i="1" s="1"/>
  <c r="T192" i="1" s="1"/>
  <c r="T187" i="1"/>
  <c r="T188" i="1" s="1"/>
  <c r="T172" i="1"/>
  <c r="T162" i="1"/>
  <c r="T249" i="1"/>
  <c r="T243" i="1"/>
  <c r="T239" i="1"/>
  <c r="T240" i="1" s="1"/>
  <c r="T241" i="1" s="1"/>
  <c r="T221" i="1"/>
  <c r="T211" i="1"/>
  <c r="T292" i="1"/>
  <c r="T288" i="1"/>
  <c r="T289" i="1" s="1"/>
  <c r="T290" i="1" s="1"/>
  <c r="T285" i="1"/>
  <c r="T286" i="1" s="1"/>
  <c r="T270" i="1"/>
  <c r="T260" i="1"/>
  <c r="T308" i="1"/>
  <c r="T310" i="1" s="1"/>
  <c r="R158" i="1"/>
  <c r="E43" i="28" l="1"/>
  <c r="F42" i="28"/>
  <c r="T294" i="1"/>
  <c r="T293" i="1"/>
  <c r="T245" i="1"/>
  <c r="T244" i="1"/>
  <c r="T196" i="1"/>
  <c r="T195" i="1"/>
  <c r="T48" i="1"/>
  <c r="T49" i="1"/>
  <c r="T147" i="1"/>
  <c r="T146" i="1"/>
  <c r="T97" i="1"/>
  <c r="T98" i="1"/>
  <c r="T303" i="1"/>
  <c r="T305" i="1" s="1"/>
  <c r="T267" i="1"/>
  <c r="T266" i="1"/>
  <c r="T265" i="1"/>
  <c r="T264" i="1"/>
  <c r="T263" i="1"/>
  <c r="T262" i="1"/>
  <c r="T261" i="1"/>
  <c r="T281" i="1"/>
  <c r="T280" i="1"/>
  <c r="T279" i="1"/>
  <c r="T278" i="1"/>
  <c r="T277" i="1"/>
  <c r="T276" i="1"/>
  <c r="T275" i="1"/>
  <c r="T274" i="1"/>
  <c r="T273" i="1"/>
  <c r="T272" i="1"/>
  <c r="T271" i="1"/>
  <c r="T254" i="1"/>
  <c r="T256" i="1" s="1"/>
  <c r="T218" i="1"/>
  <c r="T217" i="1"/>
  <c r="T216" i="1"/>
  <c r="T215" i="1"/>
  <c r="T214" i="1"/>
  <c r="T213" i="1"/>
  <c r="T212" i="1"/>
  <c r="T232" i="1"/>
  <c r="T231" i="1"/>
  <c r="T230" i="1"/>
  <c r="T229" i="1"/>
  <c r="T228" i="1"/>
  <c r="T227" i="1"/>
  <c r="T226" i="1"/>
  <c r="T225" i="1"/>
  <c r="T224" i="1"/>
  <c r="T223" i="1"/>
  <c r="T222" i="1"/>
  <c r="T205" i="1"/>
  <c r="T207" i="1" s="1"/>
  <c r="T169" i="1"/>
  <c r="T168" i="1"/>
  <c r="T167" i="1"/>
  <c r="T166" i="1"/>
  <c r="T165" i="1"/>
  <c r="T164" i="1"/>
  <c r="T163" i="1"/>
  <c r="T183" i="1"/>
  <c r="T182" i="1"/>
  <c r="T181" i="1"/>
  <c r="T180" i="1"/>
  <c r="T179" i="1"/>
  <c r="T178" i="1"/>
  <c r="T177" i="1"/>
  <c r="T176" i="1"/>
  <c r="T175" i="1"/>
  <c r="T174" i="1"/>
  <c r="T173" i="1"/>
  <c r="T58" i="1"/>
  <c r="T60" i="1" s="1"/>
  <c r="T22" i="1"/>
  <c r="T21" i="1"/>
  <c r="T20" i="1"/>
  <c r="T19" i="1"/>
  <c r="T18" i="1"/>
  <c r="T17" i="1"/>
  <c r="T16" i="1"/>
  <c r="T36" i="1"/>
  <c r="T35" i="1"/>
  <c r="T34" i="1"/>
  <c r="T33" i="1"/>
  <c r="T32" i="1"/>
  <c r="T31" i="1"/>
  <c r="T30" i="1"/>
  <c r="T29" i="1"/>
  <c r="T28" i="1"/>
  <c r="T27" i="1"/>
  <c r="T26" i="1"/>
  <c r="T156" i="1"/>
  <c r="T158" i="1" s="1"/>
  <c r="T120" i="1"/>
  <c r="T119" i="1"/>
  <c r="T118" i="1"/>
  <c r="T117" i="1"/>
  <c r="T116" i="1"/>
  <c r="T115" i="1"/>
  <c r="T114" i="1"/>
  <c r="T134" i="1"/>
  <c r="T133" i="1"/>
  <c r="T132" i="1"/>
  <c r="T131" i="1"/>
  <c r="T130" i="1"/>
  <c r="T129" i="1"/>
  <c r="T128" i="1"/>
  <c r="T127" i="1"/>
  <c r="T126" i="1"/>
  <c r="T125" i="1"/>
  <c r="T124" i="1"/>
  <c r="T107" i="1"/>
  <c r="T109" i="1" s="1"/>
  <c r="T71" i="1"/>
  <c r="T70" i="1"/>
  <c r="T69" i="1"/>
  <c r="T68" i="1"/>
  <c r="T67" i="1"/>
  <c r="T66" i="1"/>
  <c r="T65" i="1"/>
  <c r="T85" i="1"/>
  <c r="T84" i="1"/>
  <c r="T83" i="1"/>
  <c r="T82" i="1"/>
  <c r="T81" i="1"/>
  <c r="T80" i="1"/>
  <c r="T79" i="1"/>
  <c r="T78" i="1"/>
  <c r="T77" i="1"/>
  <c r="T76" i="1"/>
  <c r="T75" i="1"/>
  <c r="M60" i="1"/>
  <c r="M109" i="1"/>
  <c r="E44" i="28" l="1"/>
  <c r="F43" i="28"/>
  <c r="T103" i="1"/>
  <c r="T250" i="1"/>
  <c r="T99" i="1"/>
  <c r="T121" i="1"/>
  <c r="T54" i="1"/>
  <c r="T37" i="1"/>
  <c r="T246" i="1"/>
  <c r="T268" i="1"/>
  <c r="T148" i="1"/>
  <c r="T23" i="1"/>
  <c r="T201" i="1"/>
  <c r="T184" i="1"/>
  <c r="T295" i="1"/>
  <c r="T86" i="1"/>
  <c r="T50" i="1"/>
  <c r="T170" i="1"/>
  <c r="T233" i="1"/>
  <c r="T72" i="1"/>
  <c r="T152" i="1"/>
  <c r="T135" i="1"/>
  <c r="T197" i="1"/>
  <c r="T219" i="1"/>
  <c r="T299" i="1"/>
  <c r="T282" i="1"/>
  <c r="F45" i="1"/>
  <c r="F54" i="1"/>
  <c r="Q54" i="1"/>
  <c r="L54" i="1"/>
  <c r="Q50" i="1"/>
  <c r="L50" i="1"/>
  <c r="Q45" i="1"/>
  <c r="L45" i="1"/>
  <c r="Q41" i="1"/>
  <c r="L41" i="1"/>
  <c r="E45" i="28" l="1"/>
  <c r="F44" i="28"/>
  <c r="F334" i="1"/>
  <c r="F333" i="1"/>
  <c r="E46" i="28" l="1"/>
  <c r="F45" i="28"/>
  <c r="H28" i="10"/>
  <c r="H27" i="10"/>
  <c r="E47" i="28" l="1"/>
  <c r="F46" i="28"/>
  <c r="G30" i="10"/>
  <c r="D9" i="10" s="1"/>
  <c r="D11" i="10" s="1"/>
  <c r="E48" i="28" l="1"/>
  <c r="F47" i="28"/>
  <c r="G78" i="23"/>
  <c r="H78" i="23" s="1"/>
  <c r="G66" i="23"/>
  <c r="H66" i="23" s="1"/>
  <c r="G42" i="23"/>
  <c r="H42" i="23" s="1"/>
  <c r="G54" i="23"/>
  <c r="H54" i="23" s="1"/>
  <c r="G30" i="23"/>
  <c r="H30" i="23" s="1"/>
  <c r="D10" i="10"/>
  <c r="E49" i="28" l="1"/>
  <c r="F48" i="28"/>
  <c r="E77" i="23"/>
  <c r="E73" i="23"/>
  <c r="E63" i="23"/>
  <c r="E51" i="23"/>
  <c r="E61" i="23"/>
  <c r="E76" i="23"/>
  <c r="E52" i="23"/>
  <c r="E74" i="23"/>
  <c r="E64" i="23"/>
  <c r="E60" i="23"/>
  <c r="E65" i="23"/>
  <c r="E53" i="23"/>
  <c r="E62" i="23"/>
  <c r="E75" i="23"/>
  <c r="E72" i="23"/>
  <c r="E41" i="23"/>
  <c r="E40" i="23"/>
  <c r="E39" i="23"/>
  <c r="E38" i="23"/>
  <c r="E37" i="23"/>
  <c r="E36" i="23"/>
  <c r="E50" i="23"/>
  <c r="E25" i="23"/>
  <c r="E26" i="23"/>
  <c r="E27" i="23"/>
  <c r="E28" i="23"/>
  <c r="E29" i="23"/>
  <c r="E24" i="23"/>
  <c r="C340" i="1"/>
  <c r="E50" i="28" l="1"/>
  <c r="F50" i="28" s="1"/>
  <c r="F49" i="28"/>
  <c r="J25" i="4"/>
  <c r="O25" i="4" s="1"/>
  <c r="F329" i="1"/>
  <c r="T25" i="4" l="1"/>
  <c r="Y25" i="4" s="1"/>
  <c r="AD25" i="4" s="1"/>
  <c r="AI25" i="4" s="1"/>
  <c r="AK26" i="4" s="1"/>
  <c r="D7" i="24"/>
  <c r="E8" i="4" l="1"/>
  <c r="H109" i="1"/>
  <c r="J109" i="1"/>
  <c r="L109" i="1"/>
  <c r="N109" i="1"/>
  <c r="O109" i="1"/>
  <c r="Q109" i="1"/>
  <c r="R109" i="1"/>
  <c r="I60" i="1"/>
  <c r="N60" i="1"/>
  <c r="O60" i="1"/>
  <c r="Q60" i="1"/>
  <c r="R60" i="1"/>
  <c r="F315" i="1" l="1"/>
  <c r="F316" i="1"/>
  <c r="F318" i="1"/>
  <c r="F319" i="1"/>
  <c r="F321" i="1"/>
  <c r="F322" i="1"/>
  <c r="F323" i="1"/>
  <c r="F324" i="1"/>
  <c r="F325" i="1"/>
  <c r="F326" i="1"/>
  <c r="O324" i="1" l="1"/>
  <c r="A44" i="29" s="1"/>
  <c r="D13" i="23"/>
  <c r="D14" i="23"/>
  <c r="D72" i="23"/>
  <c r="H72" i="23" s="1"/>
  <c r="D73" i="23"/>
  <c r="H73" i="23" s="1"/>
  <c r="D74" i="23"/>
  <c r="H74" i="23" s="1"/>
  <c r="D75" i="23"/>
  <c r="H75" i="23" s="1"/>
  <c r="D76" i="23"/>
  <c r="H76" i="23" s="1"/>
  <c r="D77" i="23"/>
  <c r="H77" i="23" s="1"/>
  <c r="D60" i="23"/>
  <c r="H60" i="23" s="1"/>
  <c r="D61" i="23"/>
  <c r="H61" i="23" s="1"/>
  <c r="D62" i="23"/>
  <c r="H62" i="23" s="1"/>
  <c r="D63" i="23"/>
  <c r="H63" i="23" s="1"/>
  <c r="D64" i="23"/>
  <c r="H64" i="23" s="1"/>
  <c r="D65" i="23"/>
  <c r="H65" i="23" s="1"/>
  <c r="D48" i="23"/>
  <c r="D49" i="23"/>
  <c r="D50" i="23"/>
  <c r="H50" i="23" s="1"/>
  <c r="D51" i="23"/>
  <c r="H51" i="23" s="1"/>
  <c r="D52" i="23"/>
  <c r="H52" i="23" s="1"/>
  <c r="D53" i="23"/>
  <c r="H53" i="23" s="1"/>
  <c r="D24" i="23"/>
  <c r="H24" i="23" s="1"/>
  <c r="D25" i="23"/>
  <c r="H25" i="23" s="1"/>
  <c r="D26" i="23"/>
  <c r="H26" i="23" s="1"/>
  <c r="D27" i="23"/>
  <c r="H27" i="23" s="1"/>
  <c r="D28" i="23"/>
  <c r="H28" i="23" s="1"/>
  <c r="D29" i="23"/>
  <c r="H29" i="23" s="1"/>
  <c r="D12" i="23"/>
  <c r="D15" i="23"/>
  <c r="D16" i="23"/>
  <c r="D17" i="23"/>
  <c r="D36" i="23"/>
  <c r="H36" i="23" s="1"/>
  <c r="D37" i="23"/>
  <c r="H37" i="23" s="1"/>
  <c r="D38" i="23"/>
  <c r="H38" i="23" s="1"/>
  <c r="D39" i="23"/>
  <c r="H39" i="23" s="1"/>
  <c r="D40" i="23"/>
  <c r="H40" i="23" s="1"/>
  <c r="D41" i="23"/>
  <c r="H41" i="23" s="1"/>
  <c r="G18" i="23"/>
  <c r="H18" i="23" s="1"/>
  <c r="E16" i="23"/>
  <c r="E15" i="23"/>
  <c r="E12" i="23"/>
  <c r="E17" i="23"/>
  <c r="E49" i="23"/>
  <c r="E14" i="23"/>
  <c r="E48" i="23"/>
  <c r="E13" i="23"/>
  <c r="H15" i="23" l="1"/>
  <c r="H48" i="23"/>
  <c r="O328" i="1"/>
  <c r="O327" i="1"/>
  <c r="I68" i="23"/>
  <c r="I80" i="23"/>
  <c r="H16" i="23"/>
  <c r="H12" i="23"/>
  <c r="I32" i="23"/>
  <c r="F12" i="24" s="1"/>
  <c r="H13" i="23"/>
  <c r="H14" i="23"/>
  <c r="H17" i="23"/>
  <c r="H49" i="23"/>
  <c r="I56" i="23" l="1"/>
  <c r="F16" i="24" s="1"/>
  <c r="AI27" i="4"/>
  <c r="F20" i="24"/>
  <c r="AD27" i="4"/>
  <c r="F18" i="24"/>
  <c r="I20" i="23"/>
  <c r="O27" i="4"/>
  <c r="Y27" i="4" l="1"/>
  <c r="F10" i="24"/>
  <c r="J27" i="4"/>
  <c r="J29" i="4" s="1"/>
  <c r="O29" i="4" s="1"/>
  <c r="F158" i="1" l="1"/>
  <c r="K158" i="1" l="1"/>
  <c r="I44" i="23"/>
  <c r="I82" i="23" l="1"/>
  <c r="Y28" i="4" s="1"/>
  <c r="T27" i="4"/>
  <c r="T29" i="4" s="1"/>
  <c r="Y29" i="4" s="1"/>
  <c r="AD29" i="4" s="1"/>
  <c r="AI29" i="4" s="1"/>
  <c r="F14" i="24"/>
  <c r="F22" i="24" s="1"/>
  <c r="AD28" i="4" l="1"/>
  <c r="T28" i="4"/>
  <c r="E20" i="24"/>
  <c r="E16" i="24"/>
  <c r="E14" i="24"/>
  <c r="E12" i="24"/>
  <c r="E10" i="24"/>
  <c r="E18" i="24"/>
  <c r="F30" i="24"/>
  <c r="AI28" i="4"/>
  <c r="O28" i="4"/>
  <c r="J28" i="4"/>
  <c r="J30" i="4" s="1"/>
  <c r="O30" i="4" l="1"/>
  <c r="T30" i="4" s="1"/>
  <c r="Y30" i="4" s="1"/>
  <c r="AD30" i="4" s="1"/>
  <c r="AI30" i="4" s="1"/>
  <c r="E22" i="24"/>
  <c r="G109" i="1"/>
  <c r="G308" i="1"/>
  <c r="G310" i="1" s="1"/>
</calcChain>
</file>

<file path=xl/sharedStrings.xml><?xml version="1.0" encoding="utf-8"?>
<sst xmlns="http://schemas.openxmlformats.org/spreadsheetml/2006/main" count="1080" uniqueCount="515">
  <si>
    <t>ORÇAMENTO SINTÉTICO</t>
  </si>
  <si>
    <t>ÓRGÃO CONTRATANTE:</t>
  </si>
  <si>
    <r>
      <t>TRIBUNAL REGIONAL FEDERAL DA 6</t>
    </r>
    <r>
      <rPr>
        <b/>
        <sz val="11"/>
        <color rgb="FF000000"/>
        <rFont val="Calibri"/>
        <family val="2"/>
      </rPr>
      <t>ª</t>
    </r>
    <r>
      <rPr>
        <b/>
        <sz val="9.35"/>
        <color rgb="FF000000"/>
        <rFont val="Calibri"/>
        <family val="2"/>
      </rPr>
      <t xml:space="preserve"> REGIÃO</t>
    </r>
  </si>
  <si>
    <t>PRAZO DE EXECUÇÃO:</t>
  </si>
  <si>
    <t>%</t>
  </si>
  <si>
    <t>R$</t>
  </si>
  <si>
    <t>EDIFÍCIO ANTÔNIO FERNANDO PINHEIRO – AFP</t>
  </si>
  <si>
    <t>EDIFÍCIO EUCLYDES REIS AGUIAR – ERA</t>
  </si>
  <si>
    <t>EDIFÍCIO OSCAR DIAS CÔRREA – ODC</t>
  </si>
  <si>
    <t>NÚCLEO JUDICIÁRIO DE CONCILIAÇÃO – NUCON (CASA)</t>
  </si>
  <si>
    <t>ARQUIVO JUDICIAL E ADMINISTRATIVO (GALPÃO)</t>
  </si>
  <si>
    <t>CASA - CENTRAL DE PERICIAS</t>
  </si>
  <si>
    <t>TOTAL</t>
  </si>
  <si>
    <t>PROJETO 100%</t>
  </si>
  <si>
    <t>ÁREA TOTAL do TRF-6</t>
  </si>
  <si>
    <t>Edifício</t>
  </si>
  <si>
    <t>Área Construída(m²)</t>
  </si>
  <si>
    <t>AFP</t>
  </si>
  <si>
    <t>m²</t>
  </si>
  <si>
    <t>ERA</t>
  </si>
  <si>
    <t>R$/m²</t>
  </si>
  <si>
    <t>ODC</t>
  </si>
  <si>
    <t>NUCON</t>
  </si>
  <si>
    <t>Arquivo</t>
  </si>
  <si>
    <t>Central de Perícias</t>
  </si>
  <si>
    <t>ORÇAMENTO POR ESCOPO</t>
  </si>
  <si>
    <t>ÓRGÃO CONTRATANTE: TRIBUNAL REGIONAL FEDERAL DA 6ª REGIÃO</t>
  </si>
  <si>
    <t>ITEM</t>
  </si>
  <si>
    <t>DESCRIÇÃO DOS PRODUTOS A SEREM ENTREGUES</t>
  </si>
  <si>
    <t>Percentual das horas</t>
  </si>
  <si>
    <t>Quantidade de hora x custo da hora</t>
  </si>
  <si>
    <t>Fator "K"</t>
  </si>
  <si>
    <t>Outros custos diretos</t>
  </si>
  <si>
    <t>Fator "TRDE"</t>
  </si>
  <si>
    <t>Preço</t>
  </si>
  <si>
    <t>Valor das Etapas</t>
  </si>
  <si>
    <t>1.0</t>
  </si>
  <si>
    <t>1.1</t>
  </si>
  <si>
    <t>1.2</t>
  </si>
  <si>
    <t>1.3</t>
  </si>
  <si>
    <t>1.4</t>
  </si>
  <si>
    <t>1.5</t>
  </si>
  <si>
    <t>1.6</t>
  </si>
  <si>
    <t>1.7</t>
  </si>
  <si>
    <t>Outros Custos Diretos - Impressões</t>
  </si>
  <si>
    <t>Total da Etapa -  Edifício AFP</t>
  </si>
  <si>
    <t>2.0</t>
  </si>
  <si>
    <t>2.1</t>
  </si>
  <si>
    <t>2.2</t>
  </si>
  <si>
    <t>2.3</t>
  </si>
  <si>
    <t>2.4</t>
  </si>
  <si>
    <t>2.5</t>
  </si>
  <si>
    <t>2.6</t>
  </si>
  <si>
    <t>2.7</t>
  </si>
  <si>
    <t>Total da Etapa - Edifício ERA</t>
  </si>
  <si>
    <t>3.0</t>
  </si>
  <si>
    <t>3.1</t>
  </si>
  <si>
    <t>3.2</t>
  </si>
  <si>
    <t>3.3</t>
  </si>
  <si>
    <t>3.4</t>
  </si>
  <si>
    <t>3.5</t>
  </si>
  <si>
    <t>3.6</t>
  </si>
  <si>
    <t>3.7</t>
  </si>
  <si>
    <t>Total da Etapa -  Edifício ODC</t>
  </si>
  <si>
    <t>4.0</t>
  </si>
  <si>
    <t>4.1</t>
  </si>
  <si>
    <t>4.2</t>
  </si>
  <si>
    <t>4.3</t>
  </si>
  <si>
    <t>4.4</t>
  </si>
  <si>
    <t>4.5</t>
  </si>
  <si>
    <t>4.6</t>
  </si>
  <si>
    <t>4.7</t>
  </si>
  <si>
    <t>Total da Etapa - Edifício NUCON</t>
  </si>
  <si>
    <t>5.0</t>
  </si>
  <si>
    <t>5.1</t>
  </si>
  <si>
    <t>5.2</t>
  </si>
  <si>
    <t>5.3</t>
  </si>
  <si>
    <t>5.4</t>
  </si>
  <si>
    <t>5.5</t>
  </si>
  <si>
    <t>5.6</t>
  </si>
  <si>
    <t>5.7</t>
  </si>
  <si>
    <t>Total da Etapa - Galpão - Arquivo Judicial</t>
  </si>
  <si>
    <t>6.0</t>
  </si>
  <si>
    <t>6.1</t>
  </si>
  <si>
    <t>6.2</t>
  </si>
  <si>
    <t>6.3</t>
  </si>
  <si>
    <t>6.4</t>
  </si>
  <si>
    <t>6.5</t>
  </si>
  <si>
    <t>6.6</t>
  </si>
  <si>
    <t>6.7</t>
  </si>
  <si>
    <t>VALOR FINAL</t>
  </si>
  <si>
    <t>ESTIMATIVA DE DE HORAS TÉCNICAS</t>
  </si>
  <si>
    <t>OBJETO: Crontratação de empresa especializada para elaboração de levantamento cadastral, com desenvolvimento em plataforma BIM (Building Information Modeling), caderno de encargos, memorial descritivo, especificações técnicas, projeto básico, planilhas orçamentárias e de quantitativos PSQ's e plano de manutenção, destinados à contratação de empresa de manutenção preventica e corretiva no âmbito das edificações pertecentes ao TRF da 6ª Região em Belo Horizonte.</t>
  </si>
  <si>
    <r>
      <rPr>
        <b/>
        <sz val="11"/>
        <color rgb="FF000000"/>
        <rFont val="Calibri"/>
      </rPr>
      <t xml:space="preserve">DATA-BASE SINAPI NÃO DESONERADO MENSALISTA: </t>
    </r>
    <r>
      <rPr>
        <b/>
        <sz val="11"/>
        <color rgb="FFFF0000"/>
        <rFont val="Calibri"/>
      </rPr>
      <t>07/2022</t>
    </r>
  </si>
  <si>
    <t>CUSTO HORAS TÉCNICAS</t>
  </si>
  <si>
    <t>Percentual</t>
  </si>
  <si>
    <t>UNID</t>
  </si>
  <si>
    <t>ESTIMATIVA DE HORAS TÉCNICAS</t>
  </si>
  <si>
    <t>EQUIPE TÉCNICA</t>
  </si>
  <si>
    <t>PROFISSIONAIS</t>
  </si>
  <si>
    <t>Engº civil júnior</t>
  </si>
  <si>
    <t>Engº civil pleno</t>
  </si>
  <si>
    <t>Engº civil sênior</t>
  </si>
  <si>
    <t>Arqº júnior</t>
  </si>
  <si>
    <t>Arqº pleno</t>
  </si>
  <si>
    <t>Arqº sênior</t>
  </si>
  <si>
    <t>Engº eletricista</t>
  </si>
  <si>
    <t>Engº eletricista / Automação pleno</t>
  </si>
  <si>
    <t>Engº mecânico junior</t>
  </si>
  <si>
    <t>Engº mecânico pleno</t>
  </si>
  <si>
    <t>Engº sanitarista / ambiental</t>
  </si>
  <si>
    <t>Auxiliar Desenhista</t>
  </si>
  <si>
    <t>Desenhista Projetista</t>
  </si>
  <si>
    <t>Auxiliar de Escritório</t>
  </si>
  <si>
    <t>Auxiliar Técnico / Assitente de engenharia</t>
  </si>
  <si>
    <t>HORAS:</t>
  </si>
  <si>
    <t>EDIFÍCIO ANTÔNIO FERNANDO PINHEIRO - AFP</t>
  </si>
  <si>
    <t>Levantamento Cadastral em BIM (Edifício AFP)</t>
  </si>
  <si>
    <t>1.1.1</t>
  </si>
  <si>
    <t>Cadastramento das Instalações Hidrossanitárias</t>
  </si>
  <si>
    <t>Horas</t>
  </si>
  <si>
    <t>1.1.2</t>
  </si>
  <si>
    <t>Cadastramento dos Sistemas Elétricos</t>
  </si>
  <si>
    <t>1.1.3</t>
  </si>
  <si>
    <t>Cadastramento dos Sistemas Eletrônicos</t>
  </si>
  <si>
    <t>1.1.4</t>
  </si>
  <si>
    <t>Cadastramento dos Sistemas Eletrômecânicos (verificar no documento TR)</t>
  </si>
  <si>
    <t>1.1.5</t>
  </si>
  <si>
    <t>Cadastramento de Telemática</t>
  </si>
  <si>
    <t>1.1.6</t>
  </si>
  <si>
    <t>Cadastramento dos Sistemas de Ar Condicionado</t>
  </si>
  <si>
    <t>1.1.7</t>
  </si>
  <si>
    <t>Cadastramento dos Elementos de Obras Civis</t>
  </si>
  <si>
    <t>1.2.1</t>
  </si>
  <si>
    <t>Arquitetônico</t>
  </si>
  <si>
    <t>1.2.2</t>
  </si>
  <si>
    <t>Estrutural</t>
  </si>
  <si>
    <t>1.2.3</t>
  </si>
  <si>
    <t>Instalações Elétricas - normal, estabilizada e SPDA</t>
  </si>
  <si>
    <t>1.2.4</t>
  </si>
  <si>
    <t>Rede Lógica - Sistema de Cabeamento Estruturado</t>
  </si>
  <si>
    <t>1.2.5</t>
  </si>
  <si>
    <t>Circuito fechado de TV (CFTV) e controle de acesso</t>
  </si>
  <si>
    <t>1.2.6</t>
  </si>
  <si>
    <t>Controle de acesso para ambiente da informática e CPD</t>
  </si>
  <si>
    <t>1.2.7</t>
  </si>
  <si>
    <t>Instalações de detecção, alarme, prevenção e combate contra incêndio</t>
  </si>
  <si>
    <t>1.2.8</t>
  </si>
  <si>
    <t>Instalações de Climatização</t>
  </si>
  <si>
    <t>1.2.9</t>
  </si>
  <si>
    <t>Instalações Mecânicas - elevadores e bombas hidráulicas</t>
  </si>
  <si>
    <t>1.2.10</t>
  </si>
  <si>
    <t>Instalações Hidrossanitárias - água fria, esgoto e pluvial</t>
  </si>
  <si>
    <t>1.2.11</t>
  </si>
  <si>
    <t>Impermeabilizações</t>
  </si>
  <si>
    <t>1.3.1</t>
  </si>
  <si>
    <t>1.4.1</t>
  </si>
  <si>
    <t>1.5.1</t>
  </si>
  <si>
    <t>1.5.2</t>
  </si>
  <si>
    <t>Especificação Técnica Geral (ETG)</t>
  </si>
  <si>
    <t>Especificação Técnica Específica (ETE)</t>
  </si>
  <si>
    <t>Plano de Manutenção, Operação e Controle (PMOC)</t>
  </si>
  <si>
    <t>Planilhas Orçamentárias e de Quantitativos PSQ's (Edifício AFP)</t>
  </si>
  <si>
    <t>1.6.1</t>
  </si>
  <si>
    <t>Planilha Orçamentária</t>
  </si>
  <si>
    <t>Planilha de Quantidades  - Memorial de Cálculo de Quantitativos</t>
  </si>
  <si>
    <t>Total de Horas - Edifício AFP</t>
  </si>
  <si>
    <t>horas</t>
  </si>
  <si>
    <t>Zerar</t>
  </si>
  <si>
    <t>EDIFÍCIO EUCLYDES REIS AGUIAR - ERA</t>
  </si>
  <si>
    <t>Levantamento Cadastral em BIM (Edifício ERA)</t>
  </si>
  <si>
    <t>2.1.1</t>
  </si>
  <si>
    <t>2.1.2</t>
  </si>
  <si>
    <t>2.1.3</t>
  </si>
  <si>
    <t>2.1.4</t>
  </si>
  <si>
    <t>2.1.5</t>
  </si>
  <si>
    <t>2.1.6</t>
  </si>
  <si>
    <t>2.1.7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</si>
  <si>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</si>
  <si>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</si>
  <si>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</si>
  <si>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</si>
  <si>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</si>
  <si>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</si>
  <si>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</si>
  <si>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</si>
  <si>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</si>
  <si>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</si>
  <si>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</si>
  <si>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2.3.1</t>
  </si>
  <si>
    <t>2.4.1</t>
  </si>
  <si>
    <t>2.5.1</t>
  </si>
  <si>
    <t>2.5.2</t>
  </si>
  <si>
    <t>Planilhas Orçamentárias e de Quantitativos PSQ's (Edifício ERA)</t>
  </si>
  <si>
    <t>2.6.1</t>
  </si>
  <si>
    <t>Total de Horas - Edifício ERA</t>
  </si>
  <si>
    <t>OSCAR DIAS CÔRREA – ODC</t>
  </si>
  <si>
    <t>Levantamento Cadastral em BIM (Edifício ODC)</t>
  </si>
  <si>
    <t>3.1.1</t>
  </si>
  <si>
    <t>3.1.2</t>
  </si>
  <si>
    <t>3.1.3</t>
  </si>
  <si>
    <t>3.1.4</t>
  </si>
  <si>
    <t>3.1.5</t>
  </si>
  <si>
    <t>3.1.6</t>
  </si>
  <si>
    <t>3.1.7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</si>
  <si>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</si>
  <si>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</si>
  <si>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</si>
  <si>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</si>
  <si>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</si>
  <si>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</si>
  <si>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</si>
  <si>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</si>
  <si>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</si>
  <si>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</si>
  <si>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</si>
  <si>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3.3.1</t>
  </si>
  <si>
    <t>3.4.1</t>
  </si>
  <si>
    <t>3.5.1</t>
  </si>
  <si>
    <t>3.5.2</t>
  </si>
  <si>
    <t>Planilhas Orçamentárias e de Quantitativos PSQ's (Edifício ODC)</t>
  </si>
  <si>
    <t>3.6.1</t>
  </si>
  <si>
    <t>Total de Horas - Edifício ODC</t>
  </si>
  <si>
    <t>Levantamento Cadastral em BIM (Edifício NUCON)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</si>
  <si>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</si>
  <si>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</si>
  <si>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</si>
  <si>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</si>
  <si>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</si>
  <si>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</si>
  <si>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</si>
  <si>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</si>
  <si>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</si>
  <si>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</si>
  <si>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</si>
  <si>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</si>
  <si>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</si>
  <si>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</si>
  <si>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</si>
  <si>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</si>
  <si>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</si>
  <si>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</si>
  <si>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4.3.1</t>
  </si>
  <si>
    <t>4.4.1</t>
  </si>
  <si>
    <t>4.5.1</t>
  </si>
  <si>
    <t>4.5.2</t>
  </si>
  <si>
    <t>Planilhas Orçamentárias e de Quantitativos PSQ's (Edifício NUCON)</t>
  </si>
  <si>
    <t>4.6.1</t>
  </si>
  <si>
    <t>Total de Horas - Edifício NUCON</t>
  </si>
  <si>
    <t>Levantamento Cadastral em BIM (Galpão - Arquivo Judicial)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</si>
  <si>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</si>
  <si>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</si>
  <si>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</si>
  <si>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</si>
  <si>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</si>
  <si>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</si>
  <si>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</si>
  <si>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</si>
  <si>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</si>
  <si>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</si>
  <si>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</si>
  <si>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</si>
  <si>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</si>
  <si>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</si>
  <si>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</si>
  <si>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</si>
  <si>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</si>
  <si>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</si>
  <si>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5.3.1</t>
  </si>
  <si>
    <t>5.4.1</t>
  </si>
  <si>
    <t>5.5.1</t>
  </si>
  <si>
    <t>5.5.2</t>
  </si>
  <si>
    <t>Planilhas Orçamentárias e de Quantitativos PSQ's (Galpão - Arquivo Judicial)</t>
  </si>
  <si>
    <t>5.6.1</t>
  </si>
  <si>
    <t>Total de Horas - Galpão - Arquivo Judicial</t>
  </si>
  <si>
    <t>Levantamento Cadastral em BIM (Casa Central de Perícias)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</si>
  <si>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</si>
  <si>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</si>
  <si>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</si>
  <si>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</si>
  <si>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</si>
  <si>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</si>
  <si>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</si>
  <si>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</si>
  <si>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</si>
  <si>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</si>
  <si>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</si>
  <si>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</si>
  <si>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</si>
  <si>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</si>
  <si>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</si>
  <si>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</si>
  <si>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</si>
  <si>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</si>
  <si>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6.3.1</t>
  </si>
  <si>
    <t>6.4.1</t>
  </si>
  <si>
    <t>6.5.1</t>
  </si>
  <si>
    <t>6.5.2</t>
  </si>
  <si>
    <t>Planilhas Orçamentárias e de Quantitativos PSQ's (Casa Central de Perícias)</t>
  </si>
  <si>
    <t>6.6.1</t>
  </si>
  <si>
    <t>Total de Horas - Casa Central de Perícias</t>
  </si>
  <si>
    <t>Total de Horas =</t>
  </si>
  <si>
    <t>CUSTO DAS HORAS TÉCNICAS</t>
  </si>
  <si>
    <t>LEVANTAMENTO DAS HORAS TÉCNICAS - Foi considerado um cronograma de 8 meses de execução, conforme proposta da RETA Engenharia</t>
  </si>
  <si>
    <t>Categoria</t>
  </si>
  <si>
    <t>Unid.</t>
  </si>
  <si>
    <t>Custo/mês com leis sociais</t>
  </si>
  <si>
    <t>Custo/mês sem leis sociais</t>
  </si>
  <si>
    <t>Custo/hora sem leis sociais</t>
  </si>
  <si>
    <t>Horas Totais</t>
  </si>
  <si>
    <t>Horas por dia</t>
  </si>
  <si>
    <t>Dias</t>
  </si>
  <si>
    <t>Meses</t>
  </si>
  <si>
    <t>Engenheiro Civil Sênior</t>
  </si>
  <si>
    <t>mês</t>
  </si>
  <si>
    <t>horas semanais</t>
  </si>
  <si>
    <t>Engenheiro Civil Pleno</t>
  </si>
  <si>
    <t>dias/semana</t>
  </si>
  <si>
    <t>Engenheiro Civil junior</t>
  </si>
  <si>
    <t>Horas/dia</t>
  </si>
  <si>
    <t>Arquiteto Sênior</t>
  </si>
  <si>
    <t>dias por mês</t>
  </si>
  <si>
    <t>Arquiteto Junior</t>
  </si>
  <si>
    <t>Horas mensal</t>
  </si>
  <si>
    <t>Arquiteto Pleno</t>
  </si>
  <si>
    <t>Engenheiro Sanitarista/Ambiental</t>
  </si>
  <si>
    <t>Engenheiro Mecânico pleno</t>
  </si>
  <si>
    <t>Engenheiro Mecânico júnior</t>
  </si>
  <si>
    <t>Engenheiro Eletricista/Automação Pleno</t>
  </si>
  <si>
    <t>Engenheiro Eletricista</t>
  </si>
  <si>
    <t>Auxiliar de Desenhista</t>
  </si>
  <si>
    <t>Desenhista Copista</t>
  </si>
  <si>
    <t>-</t>
  </si>
  <si>
    <t>Desenhista Detalhista</t>
  </si>
  <si>
    <t>Encarregado geral de obras</t>
  </si>
  <si>
    <t>Mestre de obras</t>
  </si>
  <si>
    <t>Topógrafo</t>
  </si>
  <si>
    <t>Auxiliar de Topógrafo</t>
  </si>
  <si>
    <t>Técnico de Laboratório e campo de contrução</t>
  </si>
  <si>
    <t>Técnico em Sondagem</t>
  </si>
  <si>
    <t>Total de Horas:</t>
  </si>
  <si>
    <t>Fator K</t>
  </si>
  <si>
    <t>Horas mensal x nº meses:</t>
  </si>
  <si>
    <t>Nº Equipe:</t>
  </si>
  <si>
    <t>Equipe Mínima:</t>
  </si>
  <si>
    <t>Coordenador + Eng. Civil + Arquiteto + Eng. Elet/Mec + Desenhista + Auxiliar Técnico</t>
  </si>
  <si>
    <t>CÁLCULO DO FATOR "K" E "TRDE"</t>
  </si>
  <si>
    <t>Legenda fator "K"*²</t>
  </si>
  <si>
    <t>K1</t>
  </si>
  <si>
    <t>K2</t>
  </si>
  <si>
    <t>(valor estimado 20%, conforme "Orientações para Elaboração de Planilhas Orçamentárias Obras Públicas")</t>
  </si>
  <si>
    <t>K3</t>
  </si>
  <si>
    <t>(valor estimado 10%, conforme "Orientações para Elaboração de Planilhas Orçamentárias Obras Públicas")</t>
  </si>
  <si>
    <t>K4</t>
  </si>
  <si>
    <t>fator "K"</t>
  </si>
  <si>
    <t>TRDE</t>
  </si>
  <si>
    <t>Legenda e fórmulas utilizadas conforme "Orientações para Elaboração de Planilhas Orçamentárias Obras Públicas" TCU.</t>
  </si>
  <si>
    <t>PV = CDsal x K + Cdoutros</t>
  </si>
  <si>
    <t>K = (1+k1+k2)(1+k3)(1+k4)</t>
  </si>
  <si>
    <t>sendo:</t>
  </si>
  <si>
    <t>PV: preço de venda total praticado pela empresa de engenharia consultiva.</t>
  </si>
  <si>
    <t>Cdsal: custo direto de salários.</t>
  </si>
  <si>
    <t>K: fator "K"</t>
  </si>
  <si>
    <t>CDoutros: demais custos diretos</t>
  </si>
  <si>
    <t>TRDE: taxa de ressarcimento de despesas e encargos</t>
  </si>
  <si>
    <r>
      <t xml:space="preserve">K2: administração central da empresa de consultoria (ou </t>
    </r>
    <r>
      <rPr>
        <i/>
        <sz val="11"/>
        <color theme="1"/>
        <rFont val="Calibri"/>
        <family val="2"/>
        <scheme val="minor"/>
      </rPr>
      <t>overhead</t>
    </r>
    <r>
      <rPr>
        <sz val="11"/>
        <color theme="1"/>
        <rFont val="Calibri"/>
        <family val="2"/>
        <scheme val="minor"/>
      </rPr>
      <t>)</t>
    </r>
  </si>
  <si>
    <t>K3: remuneração bruta da empresa de consultoria</t>
  </si>
  <si>
    <t>K4: fator relativo aos tributos incidentes sobre o preço de venda, dado pela equação K4 = I/(1-I), em que “I” são os referidos tributos.</t>
  </si>
  <si>
    <t>PIS - considerar 80 % da taxa</t>
  </si>
  <si>
    <t>Cofins - Considerar 80 % da taxa</t>
  </si>
  <si>
    <t>ISS</t>
  </si>
  <si>
    <t xml:space="preserve">K4: </t>
  </si>
  <si>
    <t>Notas:</t>
  </si>
  <si>
    <t>*¹ Não foram incluídas passagens nos cálculos dos custos considerando a estimativa do preço mais vantajoso para a Administração.</t>
  </si>
  <si>
    <t>CRONOGRAMA FÍSICO-FINANCEIRO</t>
  </si>
  <si>
    <r>
      <t>TRIBUNAL REGIONAL FEDERAL DA 6</t>
    </r>
    <r>
      <rPr>
        <sz val="11"/>
        <color rgb="FF000000"/>
        <rFont val="Calibri"/>
        <family val="2"/>
      </rPr>
      <t>ª</t>
    </r>
    <r>
      <rPr>
        <sz val="9.35"/>
        <color rgb="FF000000"/>
        <rFont val="Calibri"/>
        <family val="2"/>
      </rPr>
      <t xml:space="preserve"> REGIÃO</t>
    </r>
  </si>
  <si>
    <t>DIAS</t>
  </si>
  <si>
    <t>ETAPA</t>
  </si>
  <si>
    <t>DESCRIÇÃO</t>
  </si>
  <si>
    <t>REUNIÃO INICIAL</t>
  </si>
  <si>
    <t>PLANEJAMENTO</t>
  </si>
  <si>
    <t>EXECUÇÃO</t>
  </si>
  <si>
    <t>ANÁLISE</t>
  </si>
  <si>
    <t>CORREÇÃO</t>
  </si>
  <si>
    <t>REUNIÃO DE APROVAÇÃO</t>
  </si>
  <si>
    <t>Levantamento Cadastral em BIM</t>
  </si>
  <si>
    <t>Caderno de Encargos</t>
  </si>
  <si>
    <t>Memorial de Descritivo</t>
  </si>
  <si>
    <t>Especificações Técnicas</t>
  </si>
  <si>
    <t xml:space="preserve">Projeto Básico </t>
  </si>
  <si>
    <t>Planilhas Orçamentárias e de Quantitativos PSQ's</t>
  </si>
  <si>
    <t>Etapas dias</t>
  </si>
  <si>
    <t>TOTAL dias</t>
  </si>
  <si>
    <t>VALOR SIMPLES (R$)</t>
  </si>
  <si>
    <t>PERCENTUAL SIMPLES</t>
  </si>
  <si>
    <t>VALOR ACUMULADO (R$)</t>
  </si>
  <si>
    <t>PERCENTUAL ACUMULADO</t>
  </si>
  <si>
    <t>ESTIMATIVA DE OUTROS CUSTOS DIRETOS</t>
  </si>
  <si>
    <t>ÓRGÃO CONTRATANTE: TRIBUNAL REGIONAL FEDERAL DA 6º REGIÃO</t>
  </si>
  <si>
    <t>UNID.</t>
  </si>
  <si>
    <t>QUANT.</t>
  </si>
  <si>
    <t>PR. UNIT. S/"TRDE"</t>
  </si>
  <si>
    <t>SUBTOTAL S/ "TRDE"</t>
  </si>
  <si>
    <t>pesquisa de merc.</t>
  </si>
  <si>
    <t>Encadernações</t>
  </si>
  <si>
    <t>Cópia/ impressão A4</t>
  </si>
  <si>
    <t>Impressão A1</t>
  </si>
  <si>
    <t>SUBTOTAL:</t>
  </si>
  <si>
    <t>63.0</t>
  </si>
  <si>
    <t>TOTAL:</t>
  </si>
  <si>
    <t>Observações:</t>
  </si>
  <si>
    <t>Foi considerado 10 folhas A4 por encardenação e 5 pranchas A1 por disciplina.</t>
  </si>
  <si>
    <t>Verificar preço unitário. (ver aba "Pesquisa de Mercado")</t>
  </si>
  <si>
    <t>CURVA ABC</t>
  </si>
  <si>
    <t xml:space="preserve"> DISCIPLINAS</t>
  </si>
  <si>
    <t>VALOR</t>
  </si>
  <si>
    <t>% ACUMULADO</t>
  </si>
  <si>
    <t>CONCEITO</t>
  </si>
  <si>
    <t>A</t>
  </si>
  <si>
    <t>B</t>
  </si>
  <si>
    <t>C</t>
  </si>
  <si>
    <t>SEPOB - JFMG</t>
  </si>
  <si>
    <t>Item</t>
  </si>
  <si>
    <t>Qtde Total</t>
  </si>
  <si>
    <t>Wind Gráfica Copiadora BH</t>
  </si>
  <si>
    <t>Paginar Copiadora</t>
  </si>
  <si>
    <t>Delivery Print</t>
  </si>
  <si>
    <t>Copia Express</t>
  </si>
  <si>
    <t xml:space="preserve">Lancopy </t>
  </si>
  <si>
    <t>Copiadora Vitoria</t>
  </si>
  <si>
    <t>Copiadora Exata</t>
  </si>
  <si>
    <t>BH Copiadora</t>
  </si>
  <si>
    <t>FINAL</t>
  </si>
  <si>
    <t>INCC Setembro 22</t>
  </si>
  <si>
    <t>Valor corrigido para Janeiro</t>
  </si>
  <si>
    <t>Data</t>
  </si>
  <si>
    <t>Link das cotações:</t>
  </si>
  <si>
    <t>http://windgrafica.com.br/categor%C3%ADa-producto/plotagem-de-engenharia/</t>
  </si>
  <si>
    <t>https://sindusconpr.com.br/incc-di-fgv-310-p</t>
  </si>
  <si>
    <t>http://windgrafica.com.br/categor%C3%ADa-producto/encadernacao-2/</t>
  </si>
  <si>
    <t>https://www.paginar.com.br/</t>
  </si>
  <si>
    <t>https://deliveryprint.com.br/impressao-a4</t>
  </si>
  <si>
    <t>https://deliveryprint.com.br/encadernacao-espiral</t>
  </si>
  <si>
    <t>https://www.copiaexpress.com.br/servicos-e-produtos</t>
  </si>
  <si>
    <t>Sites:</t>
  </si>
  <si>
    <t>Enviar propostas para:</t>
  </si>
  <si>
    <t>imprimir@paginar.com.br</t>
  </si>
  <si>
    <t>https://www.copiaexpress.com.br/contato</t>
  </si>
  <si>
    <t>copiaexpressbh@gmail.com</t>
  </si>
  <si>
    <t>http://www.bhplotagem.com.br/nossos-servicos</t>
  </si>
  <si>
    <t>bhplotagem@bhplotagem.com.br</t>
  </si>
  <si>
    <t>https://bhcopiadora.com.br/contato/</t>
  </si>
  <si>
    <t>contato@bhcopiadora.com.br</t>
  </si>
  <si>
    <t>http://copiar.com.br/#servicos</t>
  </si>
  <si>
    <t>copiar@copiar.com.br</t>
  </si>
  <si>
    <t>http://www.copiadoraexata.com.br/#servicos</t>
  </si>
  <si>
    <t>rcaldas@copiadoraexata.com.br</t>
  </si>
  <si>
    <t>https://lancopy.com.br/plotagens-de-engenharia/</t>
  </si>
  <si>
    <t>lancopy@gmail.com</t>
  </si>
  <si>
    <t>https://copiadoravitoria.com/contato/</t>
  </si>
  <si>
    <t>contato@copiadoravitoria.com</t>
  </si>
  <si>
    <t>https://www.conceitocopiadora.com.br/</t>
  </si>
  <si>
    <t>CONCEITO@CONCEITOCOPIADORA.COM.BR</t>
  </si>
  <si>
    <t>TABELA DE HONÁRIOS E SERVIÇOS DE ENGENHARIA 2022</t>
  </si>
  <si>
    <t>https://imecmg.org.br/tabela-de-honorarios-e-servicos/</t>
  </si>
  <si>
    <t>Serviços</t>
  </si>
  <si>
    <t>Valor por m²par aobras acima de 400 m²</t>
  </si>
  <si>
    <t>1 - Projeto Arquitetônico</t>
  </si>
  <si>
    <t>2 - Projeto Executivo</t>
  </si>
  <si>
    <t>3 - Projeto Estrutural</t>
  </si>
  <si>
    <t>4 - Proejto de Instalações Elétrica de Baixa Tensão</t>
  </si>
  <si>
    <t>5 - Projeto de Padrão de Entrada de Energia</t>
  </si>
  <si>
    <t>6 - Projeto de Instalações Telefônica</t>
  </si>
  <si>
    <t>7 - Projeto de Instalação de Comunicação</t>
  </si>
  <si>
    <t>8 - Projeto de Instalação Hidráulicas, Sanitárias, Pluviais e Gás</t>
  </si>
  <si>
    <t>9 - Projeto de Instalação de Prevenção e Combate à Incêndio</t>
  </si>
  <si>
    <t>etc.</t>
  </si>
  <si>
    <t>Valor Total por m²</t>
  </si>
  <si>
    <t>Área Total (m²) =</t>
  </si>
  <si>
    <t xml:space="preserve">Valor Estimado = </t>
  </si>
  <si>
    <t>Cadastramento dos Sistemas Eletrômecânicos</t>
  </si>
  <si>
    <t>Especificação Técnica Geral - ETG (Edifício AFP)</t>
  </si>
  <si>
    <t>Especificação Técnica Específica - ETE (Edifício AFP)</t>
  </si>
  <si>
    <t>Plano de Manutenção, Operação e Controle - PMOC (Edifício AFP)</t>
  </si>
  <si>
    <t>Especificação Técnica Geral - ETG (Edifício ERA)</t>
  </si>
  <si>
    <t>Especificação Técnica Específica - ETE (Edifício ERA)</t>
  </si>
  <si>
    <t>Memorial de Descritivo e Justificado (Edifício ERA)</t>
  </si>
  <si>
    <t>Memorial de Descritivo e Justificado (Edifício AFP)</t>
  </si>
  <si>
    <t>Plano de Manutenção, Operação e Controle - PMOC (Edifício ERA)</t>
  </si>
  <si>
    <t>Memorial de Descritivo e Justificado (Edifício ODC)</t>
  </si>
  <si>
    <t>Especificação Técnica Geral - ETG (Edifício ODC)</t>
  </si>
  <si>
    <t>Especificação Técnica Específica - ETE (Edifício ODC)</t>
  </si>
  <si>
    <t>Plano de Manutenção, Operação e Controle - PMOC (Edifício ODC)</t>
  </si>
  <si>
    <t>Memorial Descritivo e Justificativo (Edifício NUCON)</t>
  </si>
  <si>
    <t>Especificação Técnica Geral - ETG (Edifício NUCON)</t>
  </si>
  <si>
    <t>Especificação Técnica Específica - ETE (Edifício NUCON)</t>
  </si>
  <si>
    <t>Plano de Manutenção, Operação e Controle - PMOC (Edifício NUCON)</t>
  </si>
  <si>
    <t>Memorial Descritivo e Justificativo (Galpão - Arquivo Judicial)</t>
  </si>
  <si>
    <t>Especificação Técnica Geral - ETG (Galpão - Arquivo Judicial)</t>
  </si>
  <si>
    <t>Especificação Técnica Específica - ETE (Galpão - Arquivo Judicial)</t>
  </si>
  <si>
    <t>Plano de Manutenção, Operação e Controle - PMOC (Galpão - Arquivo Judicial)</t>
  </si>
  <si>
    <t>Memorial Descritivo e Justificativo (Casa Central de Perícias)</t>
  </si>
  <si>
    <t>Especificação Técnica Geral - ETG (Casa Central de Perícias)</t>
  </si>
  <si>
    <t>Especificação Técnica Específica - ETE (Casa Central de Perícias)</t>
  </si>
  <si>
    <t>Plano de Manutenção, Operação e Controle - PMOC (Casa Central de Perícias)</t>
  </si>
  <si>
    <r>
      <rPr>
        <b/>
        <sz val="11"/>
        <color rgb="FF000000"/>
        <rFont val="Calibri"/>
      </rPr>
      <t xml:space="preserve">SINAPI </t>
    </r>
    <r>
      <rPr>
        <b/>
        <sz val="11"/>
        <color rgb="FFFF0000"/>
        <rFont val="Calibri"/>
        <family val="2"/>
      </rPr>
      <t>10</t>
    </r>
    <r>
      <rPr>
        <b/>
        <sz val="11"/>
        <color rgb="FFFF0000"/>
        <rFont val="Calibri"/>
      </rPr>
      <t>/2022</t>
    </r>
  </si>
  <si>
    <r>
      <rPr>
        <sz val="11"/>
        <color rgb="FF000000"/>
        <rFont val="Calibri"/>
      </rPr>
      <t xml:space="preserve">Encargos Sociais SINAPI em Belo Horizonte a partir de </t>
    </r>
    <r>
      <rPr>
        <sz val="11"/>
        <color rgb="FFFF0000"/>
        <rFont val="Calibri"/>
      </rPr>
      <t>10/2022</t>
    </r>
    <r>
      <rPr>
        <sz val="11"/>
        <color rgb="FF000000"/>
        <rFont val="Calibri"/>
      </rPr>
      <t>. Sem desoneração - Mensalista =</t>
    </r>
    <r>
      <rPr>
        <b/>
        <sz val="11"/>
        <color rgb="FF000000"/>
        <rFont val="Calibri"/>
      </rPr>
      <t xml:space="preserve"> 73,23%</t>
    </r>
  </si>
  <si>
    <r>
      <rPr>
        <b/>
        <sz val="11"/>
        <color rgb="FF000000"/>
        <rFont val="Calibri"/>
      </rPr>
      <t>DATA-BASE SINAPI NÃO DESONERADO MENSALISTA</t>
    </r>
    <r>
      <rPr>
        <b/>
        <sz val="11"/>
        <rFont val="Calibri"/>
        <family val="2"/>
      </rPr>
      <t>: 10/2022</t>
    </r>
  </si>
  <si>
    <r>
      <rPr>
        <sz val="11"/>
        <color rgb="FF000000"/>
        <rFont val="Calibri"/>
      </rPr>
      <t xml:space="preserve">K1: encargos sociais incidentes sobre a mão de obra mensalista - SINAPI </t>
    </r>
    <r>
      <rPr>
        <sz val="11"/>
        <color rgb="FFFF0000"/>
        <rFont val="Calibri"/>
      </rPr>
      <t>outubro/2022</t>
    </r>
    <r>
      <rPr>
        <sz val="11"/>
        <color rgb="FF000000"/>
        <rFont val="Calibri"/>
      </rPr>
      <t xml:space="preserve"> = 73,23%</t>
    </r>
  </si>
  <si>
    <r>
      <rPr>
        <sz val="11"/>
        <color rgb="FF000000"/>
        <rFont val="Calibri"/>
      </rPr>
      <t xml:space="preserve">*² Os valores de K2 a K4 foram definidos conforme exemplo "Orientações para Elaboração de Planilhas Orçamentárias Obras Públicas" TCU. E o de K1 foi retirado do SINAPI, sendo os Encargos Sociais em </t>
    </r>
    <r>
      <rPr>
        <b/>
        <sz val="11"/>
        <color rgb="FF000000"/>
        <rFont val="Calibri"/>
      </rPr>
      <t>Minas Gerais</t>
    </r>
    <r>
      <rPr>
        <sz val="11"/>
        <color rgb="FF000000"/>
        <rFont val="Calibri"/>
      </rPr>
      <t xml:space="preserve"> a partir de </t>
    </r>
    <r>
      <rPr>
        <sz val="11"/>
        <color rgb="FFFF0000"/>
        <rFont val="Calibri"/>
      </rPr>
      <t>10/2022</t>
    </r>
    <r>
      <rPr>
        <sz val="11"/>
        <color rgb="FF000000"/>
        <rFont val="Calibri"/>
      </rPr>
      <t>, sem a desoneração da folha de pagamentos, para profissionais mensalistas, igual a 73,23%.</t>
    </r>
  </si>
  <si>
    <r>
      <rPr>
        <b/>
        <sz val="11"/>
        <color rgb="FF000000"/>
        <rFont val="Calibri"/>
      </rPr>
      <t xml:space="preserve">DATA-BASE SINAPI NÃO DESONERADO MENSALISTA: </t>
    </r>
    <r>
      <rPr>
        <b/>
        <sz val="11"/>
        <color rgb="FFFF0000"/>
        <rFont val="Calibri"/>
        <family val="2"/>
      </rPr>
      <t>10</t>
    </r>
    <r>
      <rPr>
        <b/>
        <sz val="11"/>
        <color rgb="FFFF0000"/>
        <rFont val="Calibri"/>
      </rPr>
      <t>/2022</t>
    </r>
  </si>
  <si>
    <r>
      <rPr>
        <b/>
        <sz val="11"/>
        <color rgb="FF000000"/>
        <rFont val="Calibri"/>
      </rPr>
      <t xml:space="preserve">DATA-BASE: </t>
    </r>
    <r>
      <rPr>
        <b/>
        <sz val="11"/>
        <color rgb="FFFF0000"/>
        <rFont val="Calibri"/>
      </rPr>
      <t>10/2022</t>
    </r>
  </si>
  <si>
    <t>OBJETO: Contratação de empresa especializada para levantamento cadastral, com desenvolvimento em plataforma BIM (Building Information Modeling) e elaboração de Projeto Básico, destinados à contratação de empresa de manutenção preventiva e corretiva no âmbito dos Edifícios SEDE da seccional de Belo Horizonte-MG.</t>
  </si>
  <si>
    <r>
      <t>OBJETO: Contratação de empresa especializada para levantamento cadastral, com desenvolvimento em plataforma BIM (</t>
    </r>
    <r>
      <rPr>
        <b/>
        <i/>
        <sz val="11"/>
        <color rgb="FF000000"/>
        <rFont val="Calibri"/>
        <family val="2"/>
      </rPr>
      <t>Building Information Modeling</t>
    </r>
    <r>
      <rPr>
        <b/>
        <sz val="11"/>
        <color rgb="FF000000"/>
        <rFont val="Calibri"/>
      </rPr>
      <t>) e elaboração de Projeto Básico, destinados à contratação de empresa de manutenção preventiva e corretiva no âmbito dos Edifícios SEDE da seccional de Belo Horizonte-MG.</t>
    </r>
  </si>
  <si>
    <t>OBJETO:  Contratação de empresa especializada para levantamento cadastral, com desenvolvimento em plataforma BIM (Building Information Modeling) e elaboração de Projeto Básico, destinados à contratação de empresa de manutenção preventiva e corretiva no âmbito dos Edifícios SEDE da seccional de Belo Horizonte-MG.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</si>
</sst>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&quot;* #,##0.00_);_(&quot;R$&quot;* \(#,##0.00\);_(&quot;R$&quot;* &quot;-&quot;??_);_(@_)"/>
    <numFmt numFmtId="166" formatCode="_(* #,##0.00_);_(* \(#,##0.00\);_(* &quot;-&quot;??_);_(@_)"/>
    <numFmt numFmtId="167" formatCode="0.0000%"/>
    <numFmt numFmtId="168" formatCode="_(&quot;R$ &quot;* #,##0.00_);_(&quot;R$ &quot;* \(#,##0.00\);_(&quot;R$ &quot;* &quot;-&quot;??_);_(@_)"/>
    <numFmt numFmtId="169" formatCode="0.000"/>
    <numFmt numFmtId="170" formatCode="0.0000"/>
    <numFmt numFmtId="171" formatCode="#,##0.0000"/>
    <numFmt numFmtId="172" formatCode="#,##0.00;[Red]#,##0.00"/>
    <numFmt numFmtId="173" formatCode="0.0%"/>
  </numFmts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u/>
      <sz val="11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</font>
    <font>
      <b/>
      <sz val="11"/>
      <color rgb="FFFF0000"/>
      <name val="Calibri"/>
    </font>
    <font>
      <b/>
      <sz val="11"/>
      <color theme="1"/>
      <name val="Calibri"/>
    </font>
    <font>
      <b/>
      <sz val="11"/>
      <color rgb="FF000000"/>
      <name val="Calibri"/>
      <family val="2"/>
    </font>
    <font>
      <b/>
      <sz val="9.35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</font>
    <font>
      <sz val="11"/>
      <color rgb="FFFF0000"/>
      <name val="Calibri"/>
    </font>
    <font>
      <b/>
      <sz val="11"/>
      <color rgb="FF808080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</font>
    <font>
      <sz val="9.35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808080"/>
      <name val="Arial"/>
      <charset val="1"/>
    </font>
    <font>
      <b/>
      <sz val="10"/>
      <color rgb="FF808080"/>
      <name val="Arial"/>
      <charset val="1"/>
    </font>
    <font>
      <sz val="10"/>
      <color rgb="FF000000"/>
      <name val="Arial"/>
      <charset val="1"/>
    </font>
    <font>
      <b/>
      <sz val="11"/>
      <name val="Calibri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i/>
      <sz val="11"/>
      <color rgb="FF0000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9D9D9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0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3" borderId="46" applyNumberFormat="0" applyFont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722">
    <xf numFmtId="0" fontId="0" fillId="0" borderId="0" xfId="0"/>
    <xf numFmtId="43" fontId="0" fillId="0" borderId="0" xfId="1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3" fontId="1" fillId="0" borderId="0" xfId="1" applyFont="1"/>
    <xf numFmtId="43" fontId="1" fillId="0" borderId="0" xfId="0" applyNumberFormat="1" applyFont="1"/>
    <xf numFmtId="10" fontId="0" fillId="0" borderId="0" xfId="2" applyNumberFormat="1" applyFont="1"/>
    <xf numFmtId="0" fontId="0" fillId="0" borderId="32" xfId="0" applyBorder="1"/>
    <xf numFmtId="0" fontId="0" fillId="0" borderId="36" xfId="0" applyBorder="1"/>
    <xf numFmtId="0" fontId="0" fillId="2" borderId="9" xfId="0" applyFill="1" applyBorder="1"/>
    <xf numFmtId="0" fontId="0" fillId="0" borderId="13" xfId="0" applyBorder="1"/>
    <xf numFmtId="0" fontId="0" fillId="2" borderId="11" xfId="0" applyFill="1" applyBorder="1"/>
    <xf numFmtId="0" fontId="0" fillId="2" borderId="44" xfId="0" applyFill="1" applyBorder="1"/>
    <xf numFmtId="0" fontId="0" fillId="2" borderId="43" xfId="0" applyFill="1" applyBorder="1"/>
    <xf numFmtId="0" fontId="0" fillId="2" borderId="30" xfId="0" applyFill="1" applyBorder="1"/>
    <xf numFmtId="0" fontId="0" fillId="0" borderId="27" xfId="0" applyBorder="1"/>
    <xf numFmtId="1" fontId="1" fillId="2" borderId="3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0" fillId="2" borderId="12" xfId="0" applyFill="1" applyBorder="1"/>
    <xf numFmtId="0" fontId="0" fillId="0" borderId="22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2" borderId="39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9" xfId="0" applyBorder="1"/>
    <xf numFmtId="1" fontId="0" fillId="2" borderId="26" xfId="0" applyNumberFormat="1" applyFill="1" applyBorder="1"/>
    <xf numFmtId="4" fontId="1" fillId="2" borderId="25" xfId="0" applyNumberFormat="1" applyFont="1" applyFill="1" applyBorder="1"/>
    <xf numFmtId="4" fontId="1" fillId="0" borderId="37" xfId="0" applyNumberFormat="1" applyFont="1" applyBorder="1" applyAlignment="1">
      <alignment horizontal="center" vertical="center"/>
    </xf>
    <xf numFmtId="10" fontId="1" fillId="2" borderId="4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1" xfId="0" applyBorder="1"/>
    <xf numFmtId="0" fontId="0" fillId="2" borderId="0" xfId="0" applyFill="1"/>
    <xf numFmtId="0" fontId="0" fillId="2" borderId="24" xfId="0" applyFill="1" applyBorder="1"/>
    <xf numFmtId="0" fontId="0" fillId="2" borderId="25" xfId="0" applyFill="1" applyBorder="1"/>
    <xf numFmtId="1" fontId="0" fillId="2" borderId="25" xfId="0" applyNumberFormat="1" applyFill="1" applyBorder="1"/>
    <xf numFmtId="0" fontId="0" fillId="2" borderId="26" xfId="0" applyFill="1" applyBorder="1"/>
    <xf numFmtId="17" fontId="0" fillId="0" borderId="0" xfId="0" applyNumberFormat="1"/>
    <xf numFmtId="0" fontId="0" fillId="16" borderId="21" xfId="0" applyFill="1" applyBorder="1" applyAlignment="1">
      <alignment horizontal="center"/>
    </xf>
    <xf numFmtId="0" fontId="10" fillId="16" borderId="1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8" xfId="0" applyBorder="1"/>
    <xf numFmtId="0" fontId="1" fillId="0" borderId="0" xfId="0" applyFont="1"/>
    <xf numFmtId="0" fontId="10" fillId="16" borderId="1" xfId="0" applyFon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" fillId="16" borderId="44" xfId="0" applyFont="1" applyFill="1" applyBorder="1"/>
    <xf numFmtId="10" fontId="1" fillId="0" borderId="0" xfId="2" applyNumberFormat="1" applyFont="1" applyBorder="1" applyAlignment="1">
      <alignment horizontal="center" vertical="center"/>
    </xf>
    <xf numFmtId="10" fontId="1" fillId="2" borderId="44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2" borderId="22" xfId="0" applyFill="1" applyBorder="1"/>
    <xf numFmtId="0" fontId="0" fillId="0" borderId="4" xfId="0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0" borderId="12" xfId="2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10" fontId="1" fillId="2" borderId="43" xfId="0" applyNumberFormat="1" applyFont="1" applyFill="1" applyBorder="1" applyAlignment="1">
      <alignment horizontal="center" vertical="center"/>
    </xf>
    <xf numFmtId="43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3" fontId="0" fillId="0" borderId="9" xfId="0" applyNumberFormat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9" fontId="1" fillId="2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2" borderId="25" xfId="0" applyNumberFormat="1" applyFill="1" applyBorder="1"/>
    <xf numFmtId="0" fontId="0" fillId="2" borderId="42" xfId="0" applyFill="1" applyBorder="1"/>
    <xf numFmtId="1" fontId="1" fillId="16" borderId="44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54" xfId="0" applyBorder="1"/>
    <xf numFmtId="10" fontId="0" fillId="0" borderId="25" xfId="0" applyNumberFormat="1" applyBorder="1" applyAlignment="1">
      <alignment horizontal="right"/>
    </xf>
    <xf numFmtId="171" fontId="1" fillId="0" borderId="26" xfId="0" applyNumberFormat="1" applyFont="1" applyBorder="1" applyAlignment="1">
      <alignment horizontal="right"/>
    </xf>
    <xf numFmtId="4" fontId="1" fillId="2" borderId="37" xfId="0" applyNumberFormat="1" applyFont="1" applyFill="1" applyBorder="1"/>
    <xf numFmtId="4" fontId="0" fillId="2" borderId="37" xfId="0" applyNumberFormat="1" applyFill="1" applyBorder="1"/>
    <xf numFmtId="9" fontId="0" fillId="0" borderId="0" xfId="2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4" fontId="1" fillId="0" borderId="50" xfId="0" applyNumberFormat="1" applyFont="1" applyBorder="1" applyAlignment="1">
      <alignment horizontal="center" vertical="center"/>
    </xf>
    <xf numFmtId="10" fontId="1" fillId="0" borderId="37" xfId="2" applyNumberFormat="1" applyFont="1" applyBorder="1" applyAlignment="1">
      <alignment horizontal="center" vertical="center"/>
    </xf>
    <xf numFmtId="0" fontId="0" fillId="0" borderId="8" xfId="0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2" borderId="42" xfId="0" applyFont="1" applyFill="1" applyBorder="1" applyAlignment="1">
      <alignment horizontal="right"/>
    </xf>
    <xf numFmtId="0" fontId="1" fillId="0" borderId="8" xfId="0" applyFont="1" applyBorder="1" applyAlignment="1">
      <alignment horizontal="center" vertical="center"/>
    </xf>
    <xf numFmtId="10" fontId="1" fillId="0" borderId="11" xfId="2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0" fontId="1" fillId="2" borderId="42" xfId="0" applyNumberFormat="1" applyFont="1" applyFill="1" applyBorder="1" applyAlignment="1">
      <alignment horizontal="center" vertical="center"/>
    </xf>
    <xf numFmtId="10" fontId="1" fillId="0" borderId="26" xfId="2" applyNumberFormat="1" applyFont="1" applyBorder="1" applyAlignment="1">
      <alignment horizontal="center" vertical="center"/>
    </xf>
    <xf numFmtId="0" fontId="0" fillId="0" borderId="6" xfId="0" applyBorder="1"/>
    <xf numFmtId="4" fontId="1" fillId="0" borderId="7" xfId="2" applyNumberFormat="1" applyFont="1" applyFill="1" applyBorder="1" applyAlignment="1">
      <alignment horizontal="center"/>
    </xf>
    <xf numFmtId="0" fontId="10" fillId="17" borderId="1" xfId="0" applyFont="1" applyFill="1" applyBorder="1" applyAlignment="1">
      <alignment horizontal="center"/>
    </xf>
    <xf numFmtId="1" fontId="10" fillId="17" borderId="2" xfId="0" applyNumberFormat="1" applyFont="1" applyFill="1" applyBorder="1" applyAlignment="1">
      <alignment horizontal="center"/>
    </xf>
    <xf numFmtId="0" fontId="1" fillId="17" borderId="0" xfId="0" applyFont="1" applyFill="1"/>
    <xf numFmtId="0" fontId="13" fillId="16" borderId="1" xfId="0" applyFont="1" applyFill="1" applyBorder="1" applyAlignment="1">
      <alignment horizontal="center"/>
    </xf>
    <xf numFmtId="1" fontId="13" fillId="16" borderId="2" xfId="0" applyNumberFormat="1" applyFont="1" applyFill="1" applyBorder="1" applyAlignment="1">
      <alignment horizontal="center"/>
    </xf>
    <xf numFmtId="0" fontId="6" fillId="0" borderId="0" xfId="0" applyFont="1"/>
    <xf numFmtId="1" fontId="10" fillId="16" borderId="2" xfId="0" applyNumberFormat="1" applyFont="1" applyFill="1" applyBorder="1" applyAlignment="1">
      <alignment horizontal="center"/>
    </xf>
    <xf numFmtId="1" fontId="10" fillId="18" borderId="2" xfId="0" applyNumberFormat="1" applyFont="1" applyFill="1" applyBorder="1" applyAlignment="1">
      <alignment horizontal="center"/>
    </xf>
    <xf numFmtId="0" fontId="1" fillId="18" borderId="0" xfId="0" applyFont="1" applyFill="1"/>
    <xf numFmtId="0" fontId="16" fillId="17" borderId="1" xfId="0" applyFont="1" applyFill="1" applyBorder="1"/>
    <xf numFmtId="0" fontId="16" fillId="17" borderId="1" xfId="0" applyFont="1" applyFill="1" applyBorder="1" applyAlignment="1">
      <alignment horizontal="center"/>
    </xf>
    <xf numFmtId="1" fontId="16" fillId="17" borderId="2" xfId="0" applyNumberFormat="1" applyFont="1" applyFill="1" applyBorder="1" applyAlignment="1">
      <alignment horizontal="center"/>
    </xf>
    <xf numFmtId="0" fontId="15" fillId="17" borderId="0" xfId="0" applyFont="1" applyFill="1"/>
    <xf numFmtId="0" fontId="14" fillId="19" borderId="1" xfId="0" applyFont="1" applyFill="1" applyBorder="1" applyAlignment="1">
      <alignment horizontal="center"/>
    </xf>
    <xf numFmtId="0" fontId="12" fillId="19" borderId="0" xfId="0" applyFont="1" applyFill="1"/>
    <xf numFmtId="2" fontId="10" fillId="16" borderId="1" xfId="0" applyNumberFormat="1" applyFont="1" applyFill="1" applyBorder="1"/>
    <xf numFmtId="0" fontId="0" fillId="20" borderId="0" xfId="0" applyFill="1"/>
    <xf numFmtId="0" fontId="0" fillId="0" borderId="9" xfId="0" applyBorder="1" applyAlignment="1">
      <alignment horizontal="center"/>
    </xf>
    <xf numFmtId="0" fontId="1" fillId="16" borderId="44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16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2" fontId="0" fillId="0" borderId="0" xfId="0" applyNumberFormat="1" applyAlignment="1">
      <alignment horizontal="center"/>
    </xf>
    <xf numFmtId="43" fontId="1" fillId="0" borderId="16" xfId="0" applyNumberFormat="1" applyFont="1" applyBorder="1" applyAlignment="1">
      <alignment horizontal="right"/>
    </xf>
    <xf numFmtId="43" fontId="1" fillId="0" borderId="23" xfId="0" applyNumberFormat="1" applyFont="1" applyBorder="1"/>
    <xf numFmtId="43" fontId="0" fillId="0" borderId="0" xfId="0" applyNumberFormat="1"/>
    <xf numFmtId="4" fontId="0" fillId="0" borderId="0" xfId="0" applyNumberFormat="1"/>
    <xf numFmtId="0" fontId="0" fillId="21" borderId="0" xfId="0" applyFill="1"/>
    <xf numFmtId="0" fontId="11" fillId="21" borderId="1" xfId="0" applyFont="1" applyFill="1" applyBorder="1"/>
    <xf numFmtId="10" fontId="11" fillId="21" borderId="1" xfId="2" applyNumberFormat="1" applyFont="1" applyFill="1" applyBorder="1" applyAlignment="1">
      <alignment horizontal="right" vertical="center"/>
    </xf>
    <xf numFmtId="2" fontId="11" fillId="21" borderId="2" xfId="2" applyNumberFormat="1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/>
    </xf>
    <xf numFmtId="1" fontId="11" fillId="18" borderId="2" xfId="0" applyNumberFormat="1" applyFont="1" applyFill="1" applyBorder="1" applyAlignment="1">
      <alignment horizontal="center"/>
    </xf>
    <xf numFmtId="0" fontId="0" fillId="18" borderId="0" xfId="0" applyFill="1"/>
    <xf numFmtId="4" fontId="0" fillId="18" borderId="0" xfId="0" applyNumberFormat="1" applyFill="1"/>
    <xf numFmtId="0" fontId="10" fillId="19" borderId="1" xfId="0" applyFont="1" applyFill="1" applyBorder="1"/>
    <xf numFmtId="0" fontId="11" fillId="19" borderId="1" xfId="0" applyFont="1" applyFill="1" applyBorder="1" applyAlignment="1">
      <alignment horizontal="center"/>
    </xf>
    <xf numFmtId="0" fontId="0" fillId="19" borderId="0" xfId="0" applyFill="1"/>
    <xf numFmtId="4" fontId="0" fillId="19" borderId="0" xfId="0" applyNumberFormat="1" applyFill="1"/>
    <xf numFmtId="9" fontId="10" fillId="20" borderId="1" xfId="0" applyNumberFormat="1" applyFont="1" applyFill="1" applyBorder="1" applyAlignment="1">
      <alignment horizontal="center"/>
    </xf>
    <xf numFmtId="0" fontId="10" fillId="22" borderId="2" xfId="0" applyFont="1" applyFill="1" applyBorder="1"/>
    <xf numFmtId="43" fontId="1" fillId="22" borderId="16" xfId="0" applyNumberFormat="1" applyFont="1" applyFill="1" applyBorder="1"/>
    <xf numFmtId="0" fontId="10" fillId="22" borderId="1" xfId="0" applyFont="1" applyFill="1" applyBorder="1"/>
    <xf numFmtId="0" fontId="1" fillId="22" borderId="1" xfId="0" applyFont="1" applyFill="1" applyBorder="1"/>
    <xf numFmtId="0" fontId="14" fillId="16" borderId="1" xfId="0" applyFont="1" applyFill="1" applyBorder="1"/>
    <xf numFmtId="0" fontId="10" fillId="18" borderId="1" xfId="0" applyFont="1" applyFill="1" applyBorder="1"/>
    <xf numFmtId="0" fontId="1" fillId="0" borderId="0" xfId="0" applyFont="1" applyAlignment="1">
      <alignment horizontal="center"/>
    </xf>
    <xf numFmtId="0" fontId="14" fillId="19" borderId="1" xfId="0" applyFont="1" applyFill="1" applyBorder="1"/>
    <xf numFmtId="1" fontId="13" fillId="19" borderId="2" xfId="0" applyNumberFormat="1" applyFont="1" applyFill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 vertical="center"/>
    </xf>
    <xf numFmtId="10" fontId="0" fillId="0" borderId="0" xfId="0" applyNumberFormat="1"/>
    <xf numFmtId="43" fontId="0" fillId="0" borderId="0" xfId="2" applyNumberFormat="1" applyFont="1"/>
    <xf numFmtId="4" fontId="0" fillId="20" borderId="0" xfId="0" applyNumberFormat="1" applyFill="1"/>
    <xf numFmtId="0" fontId="10" fillId="17" borderId="1" xfId="0" applyFont="1" applyFill="1" applyBorder="1"/>
    <xf numFmtId="0" fontId="10" fillId="21" borderId="17" xfId="0" applyFont="1" applyFill="1" applyBorder="1" applyAlignment="1">
      <alignment horizontal="center" vertical="center"/>
    </xf>
    <xf numFmtId="9" fontId="11" fillId="0" borderId="2" xfId="2" applyFont="1" applyFill="1" applyBorder="1" applyAlignment="1">
      <alignment horizontal="center"/>
    </xf>
    <xf numFmtId="43" fontId="1" fillId="0" borderId="16" xfId="0" applyNumberFormat="1" applyFont="1" applyBorder="1"/>
    <xf numFmtId="10" fontId="11" fillId="16" borderId="1" xfId="2" applyNumberFormat="1" applyFont="1" applyFill="1" applyBorder="1" applyAlignment="1">
      <alignment horizontal="right" vertical="center"/>
    </xf>
    <xf numFmtId="2" fontId="11" fillId="16" borderId="2" xfId="2" applyNumberFormat="1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horizontal="center"/>
    </xf>
    <xf numFmtId="1" fontId="11" fillId="21" borderId="2" xfId="0" applyNumberFormat="1" applyFont="1" applyFill="1" applyBorder="1" applyAlignment="1">
      <alignment horizontal="center"/>
    </xf>
    <xf numFmtId="0" fontId="10" fillId="16" borderId="1" xfId="0" applyFont="1" applyFill="1" applyBorder="1"/>
    <xf numFmtId="1" fontId="11" fillId="16" borderId="2" xfId="0" applyNumberFormat="1" applyFont="1" applyFill="1" applyBorder="1" applyAlignment="1">
      <alignment horizontal="center"/>
    </xf>
    <xf numFmtId="4" fontId="1" fillId="0" borderId="0" xfId="2" applyNumberFormat="1" applyFont="1" applyFill="1" applyBorder="1" applyAlignment="1">
      <alignment horizontal="center"/>
    </xf>
    <xf numFmtId="4" fontId="1" fillId="0" borderId="0" xfId="0" applyNumberFormat="1" applyFont="1"/>
    <xf numFmtId="0" fontId="10" fillId="16" borderId="2" xfId="0" applyFont="1" applyFill="1" applyBorder="1"/>
    <xf numFmtId="10" fontId="11" fillId="16" borderId="2" xfId="2" applyNumberFormat="1" applyFont="1" applyFill="1" applyBorder="1" applyAlignment="1">
      <alignment horizontal="right" vertical="center"/>
    </xf>
    <xf numFmtId="43" fontId="0" fillId="0" borderId="1" xfId="0" applyNumberFormat="1" applyBorder="1"/>
    <xf numFmtId="0" fontId="11" fillId="20" borderId="1" xfId="0" applyFont="1" applyFill="1" applyBorder="1" applyAlignment="1">
      <alignment horizontal="center"/>
    </xf>
    <xf numFmtId="1" fontId="11" fillId="20" borderId="2" xfId="0" applyNumberFormat="1" applyFont="1" applyFill="1" applyBorder="1" applyAlignment="1">
      <alignment horizontal="center"/>
    </xf>
    <xf numFmtId="0" fontId="10" fillId="21" borderId="1" xfId="0" applyFont="1" applyFill="1" applyBorder="1" applyAlignment="1">
      <alignment horizontal="center"/>
    </xf>
    <xf numFmtId="2" fontId="10" fillId="0" borderId="1" xfId="0" applyNumberFormat="1" applyFont="1" applyBorder="1"/>
    <xf numFmtId="0" fontId="14" fillId="0" borderId="1" xfId="0" applyFont="1" applyBorder="1"/>
    <xf numFmtId="0" fontId="13" fillId="0" borderId="1" xfId="0" applyFont="1" applyBorder="1" applyAlignment="1">
      <alignment horizontal="center"/>
    </xf>
    <xf numFmtId="0" fontId="11" fillId="16" borderId="17" xfId="0" applyFont="1" applyFill="1" applyBorder="1" applyAlignment="1">
      <alignment horizontal="center" vertical="center"/>
    </xf>
    <xf numFmtId="0" fontId="10" fillId="21" borderId="1" xfId="0" applyFont="1" applyFill="1" applyBorder="1"/>
    <xf numFmtId="0" fontId="11" fillId="0" borderId="1" xfId="0" applyFont="1" applyBorder="1"/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10" fontId="11" fillId="0" borderId="1" xfId="2" applyNumberFormat="1" applyFont="1" applyFill="1" applyBorder="1" applyAlignment="1">
      <alignment horizontal="right" vertical="center"/>
    </xf>
    <xf numFmtId="2" fontId="11" fillId="0" borderId="2" xfId="2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/>
    </xf>
    <xf numFmtId="0" fontId="0" fillId="16" borderId="0" xfId="0" applyFill="1" applyAlignment="1">
      <alignment horizontal="center"/>
    </xf>
    <xf numFmtId="9" fontId="0" fillId="16" borderId="52" xfId="2" applyFont="1" applyFill="1" applyBorder="1" applyAlignment="1">
      <alignment horizontal="center"/>
    </xf>
    <xf numFmtId="9" fontId="10" fillId="16" borderId="2" xfId="2" applyFont="1" applyFill="1" applyBorder="1"/>
    <xf numFmtId="9" fontId="10" fillId="22" borderId="2" xfId="2" applyFont="1" applyFill="1" applyBorder="1"/>
    <xf numFmtId="9" fontId="11" fillId="21" borderId="2" xfId="2" applyFont="1" applyFill="1" applyBorder="1" applyAlignment="1">
      <alignment horizontal="center"/>
    </xf>
    <xf numFmtId="0" fontId="10" fillId="22" borderId="1" xfId="0" applyFont="1" applyFill="1" applyBorder="1" applyAlignment="1">
      <alignment horizontal="center"/>
    </xf>
    <xf numFmtId="9" fontId="11" fillId="22" borderId="2" xfId="0" applyNumberFormat="1" applyFont="1" applyFill="1" applyBorder="1" applyAlignment="1">
      <alignment horizontal="center"/>
    </xf>
    <xf numFmtId="0" fontId="0" fillId="22" borderId="1" xfId="0" applyFill="1" applyBorder="1"/>
    <xf numFmtId="0" fontId="11" fillId="16" borderId="6" xfId="0" applyFont="1" applyFill="1" applyBorder="1"/>
    <xf numFmtId="0" fontId="10" fillId="16" borderId="33" xfId="0" applyFont="1" applyFill="1" applyBorder="1"/>
    <xf numFmtId="43" fontId="1" fillId="0" borderId="51" xfId="0" applyNumberFormat="1" applyFont="1" applyBorder="1"/>
    <xf numFmtId="0" fontId="0" fillId="23" borderId="58" xfId="0" applyFill="1" applyBorder="1"/>
    <xf numFmtId="43" fontId="1" fillId="23" borderId="60" xfId="0" applyNumberFormat="1" applyFont="1" applyFill="1" applyBorder="1"/>
    <xf numFmtId="0" fontId="10" fillId="23" borderId="58" xfId="0" applyFont="1" applyFill="1" applyBorder="1"/>
    <xf numFmtId="0" fontId="1" fillId="24" borderId="47" xfId="0" applyFont="1" applyFill="1" applyBorder="1" applyAlignment="1">
      <alignment horizontal="center"/>
    </xf>
    <xf numFmtId="1" fontId="1" fillId="24" borderId="45" xfId="0" applyNumberFormat="1" applyFont="1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1" fontId="0" fillId="24" borderId="38" xfId="0" applyNumberFormat="1" applyFill="1" applyBorder="1" applyAlignment="1">
      <alignment horizontal="center"/>
    </xf>
    <xf numFmtId="0" fontId="11" fillId="16" borderId="7" xfId="0" applyFont="1" applyFill="1" applyBorder="1" applyAlignment="1">
      <alignment horizontal="center"/>
    </xf>
    <xf numFmtId="9" fontId="11" fillId="21" borderId="58" xfId="0" applyNumberFormat="1" applyFont="1" applyFill="1" applyBorder="1" applyAlignment="1">
      <alignment horizontal="center"/>
    </xf>
    <xf numFmtId="0" fontId="11" fillId="21" borderId="58" xfId="0" applyFont="1" applyFill="1" applyBorder="1" applyAlignment="1">
      <alignment horizontal="center"/>
    </xf>
    <xf numFmtId="1" fontId="11" fillId="21" borderId="60" xfId="0" applyNumberFormat="1" applyFont="1" applyFill="1" applyBorder="1" applyAlignment="1">
      <alignment horizontal="center"/>
    </xf>
    <xf numFmtId="0" fontId="1" fillId="24" borderId="49" xfId="0" applyFont="1" applyFill="1" applyBorder="1" applyAlignment="1">
      <alignment horizontal="center" vertical="center"/>
    </xf>
    <xf numFmtId="4" fontId="1" fillId="24" borderId="47" xfId="0" applyNumberFormat="1" applyFont="1" applyFill="1" applyBorder="1" applyAlignment="1">
      <alignment horizontal="center" vertical="center"/>
    </xf>
    <xf numFmtId="0" fontId="1" fillId="24" borderId="47" xfId="0" applyFont="1" applyFill="1" applyBorder="1" applyAlignment="1">
      <alignment horizontal="center" vertical="center" wrapText="1"/>
    </xf>
    <xf numFmtId="1" fontId="10" fillId="24" borderId="47" xfId="0" applyNumberFormat="1" applyFont="1" applyFill="1" applyBorder="1" applyAlignment="1">
      <alignment horizontal="center" vertical="center"/>
    </xf>
    <xf numFmtId="0" fontId="1" fillId="24" borderId="47" xfId="0" applyFont="1" applyFill="1" applyBorder="1" applyAlignment="1">
      <alignment horizontal="center" vertical="center"/>
    </xf>
    <xf numFmtId="43" fontId="1" fillId="24" borderId="38" xfId="0" applyNumberFormat="1" applyFont="1" applyFill="1" applyBorder="1" applyAlignment="1">
      <alignment horizontal="center" vertical="center" wrapText="1"/>
    </xf>
    <xf numFmtId="43" fontId="0" fillId="0" borderId="9" xfId="1" applyFont="1" applyBorder="1" applyAlignment="1">
      <alignment horizontal="center"/>
    </xf>
    <xf numFmtId="4" fontId="0" fillId="0" borderId="9" xfId="0" applyNumberFormat="1" applyBorder="1"/>
    <xf numFmtId="4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4" xfId="0" applyBorder="1"/>
    <xf numFmtId="0" fontId="1" fillId="0" borderId="44" xfId="0" applyFont="1" applyBorder="1"/>
    <xf numFmtId="1" fontId="0" fillId="0" borderId="44" xfId="0" applyNumberFormat="1" applyBorder="1" applyAlignment="1">
      <alignment horizontal="center"/>
    </xf>
    <xf numFmtId="1" fontId="0" fillId="0" borderId="0" xfId="0" applyNumberFormat="1"/>
    <xf numFmtId="0" fontId="0" fillId="0" borderId="1" xfId="0" applyBorder="1"/>
    <xf numFmtId="9" fontId="10" fillId="0" borderId="2" xfId="2" applyFont="1" applyFill="1" applyBorder="1"/>
    <xf numFmtId="0" fontId="1" fillId="24" borderId="1" xfId="0" applyFont="1" applyFill="1" applyBorder="1" applyAlignment="1">
      <alignment horizontal="center" vertical="center"/>
    </xf>
    <xf numFmtId="0" fontId="1" fillId="24" borderId="1" xfId="0" applyFont="1" applyFill="1" applyBorder="1" applyAlignment="1">
      <alignment horizontal="center" vertical="center" wrapText="1"/>
    </xf>
    <xf numFmtId="1" fontId="10" fillId="24" borderId="1" xfId="0" applyNumberFormat="1" applyFont="1" applyFill="1" applyBorder="1" applyAlignment="1">
      <alignment horizontal="center" vertical="center"/>
    </xf>
    <xf numFmtId="9" fontId="0" fillId="26" borderId="1" xfId="2" applyFont="1" applyFill="1" applyBorder="1" applyAlignment="1">
      <alignment horizontal="center"/>
    </xf>
    <xf numFmtId="9" fontId="0" fillId="20" borderId="1" xfId="2" applyFont="1" applyFill="1" applyBorder="1" applyAlignment="1">
      <alignment horizontal="center"/>
    </xf>
    <xf numFmtId="9" fontId="0" fillId="25" borderId="1" xfId="2" applyFont="1" applyFill="1" applyBorder="1" applyAlignment="1">
      <alignment horizontal="center"/>
    </xf>
    <xf numFmtId="9" fontId="0" fillId="0" borderId="0" xfId="2" applyFont="1"/>
    <xf numFmtId="9" fontId="10" fillId="24" borderId="1" xfId="2" applyFont="1" applyFill="1" applyBorder="1" applyAlignment="1">
      <alignment horizontal="center" vertical="center" wrapText="1"/>
    </xf>
    <xf numFmtId="9" fontId="0" fillId="0" borderId="1" xfId="2" applyFont="1" applyBorder="1" applyAlignment="1">
      <alignment horizontal="center"/>
    </xf>
    <xf numFmtId="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11" fillId="0" borderId="0" xfId="0" applyFont="1"/>
    <xf numFmtId="0" fontId="11" fillId="24" borderId="1" xfId="0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0" fontId="10" fillId="16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wrapText="1"/>
    </xf>
    <xf numFmtId="0" fontId="11" fillId="20" borderId="1" xfId="0" applyFont="1" applyFill="1" applyBorder="1" applyAlignment="1">
      <alignment wrapText="1"/>
    </xf>
    <xf numFmtId="0" fontId="11" fillId="19" borderId="1" xfId="0" applyFont="1" applyFill="1" applyBorder="1" applyAlignment="1">
      <alignment wrapText="1"/>
    </xf>
    <xf numFmtId="0" fontId="11" fillId="18" borderId="1" xfId="0" applyFont="1" applyFill="1" applyBorder="1" applyAlignment="1">
      <alignment wrapText="1"/>
    </xf>
    <xf numFmtId="4" fontId="10" fillId="16" borderId="1" xfId="0" applyNumberFormat="1" applyFont="1" applyFill="1" applyBorder="1" applyAlignment="1">
      <alignment horizontal="center" wrapText="1"/>
    </xf>
    <xf numFmtId="0" fontId="14" fillId="19" borderId="1" xfId="0" applyFont="1" applyFill="1" applyBorder="1" applyAlignment="1">
      <alignment wrapText="1"/>
    </xf>
    <xf numFmtId="0" fontId="10" fillId="18" borderId="1" xfId="0" applyFont="1" applyFill="1" applyBorder="1" applyAlignment="1">
      <alignment wrapText="1"/>
    </xf>
    <xf numFmtId="0" fontId="10" fillId="17" borderId="1" xfId="0" applyFont="1" applyFill="1" applyBorder="1" applyAlignment="1">
      <alignment vertical="center" wrapText="1"/>
    </xf>
    <xf numFmtId="0" fontId="16" fillId="17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16" borderId="1" xfId="0" applyFont="1" applyFill="1" applyBorder="1" applyAlignment="1">
      <alignment wrapText="1"/>
    </xf>
    <xf numFmtId="0" fontId="10" fillId="21" borderId="1" xfId="0" applyFont="1" applyFill="1" applyBorder="1" applyAlignment="1">
      <alignment horizontal="left" wrapText="1"/>
    </xf>
    <xf numFmtId="0" fontId="10" fillId="16" borderId="1" xfId="0" applyFont="1" applyFill="1" applyBorder="1" applyAlignment="1">
      <alignment horizontal="center" wrapText="1"/>
    </xf>
    <xf numFmtId="0" fontId="10" fillId="16" borderId="7" xfId="0" applyFont="1" applyFill="1" applyBorder="1" applyAlignment="1">
      <alignment horizontal="center" wrapText="1"/>
    </xf>
    <xf numFmtId="0" fontId="10" fillId="21" borderId="58" xfId="0" applyFont="1" applyFill="1" applyBorder="1" applyAlignment="1">
      <alignment horizontal="center" wrapText="1"/>
    </xf>
    <xf numFmtId="0" fontId="0" fillId="24" borderId="47" xfId="0" applyFill="1" applyBorder="1" applyAlignment="1">
      <alignment horizontal="center" wrapText="1"/>
    </xf>
    <xf numFmtId="4" fontId="1" fillId="24" borderId="47" xfId="0" applyNumberFormat="1" applyFont="1" applyFill="1" applyBorder="1" applyAlignment="1">
      <alignment horizontal="center" wrapText="1"/>
    </xf>
    <xf numFmtId="0" fontId="1" fillId="16" borderId="44" xfId="0" applyFont="1" applyFill="1" applyBorder="1" applyAlignment="1">
      <alignment wrapText="1"/>
    </xf>
    <xf numFmtId="10" fontId="1" fillId="26" borderId="24" xfId="2" applyNumberFormat="1" applyFont="1" applyFill="1" applyBorder="1" applyAlignment="1">
      <alignment horizontal="center" wrapText="1"/>
    </xf>
    <xf numFmtId="10" fontId="1" fillId="26" borderId="26" xfId="2" applyNumberFormat="1" applyFont="1" applyFill="1" applyBorder="1" applyAlignment="1">
      <alignment horizontal="center" wrapText="1"/>
    </xf>
    <xf numFmtId="10" fontId="1" fillId="26" borderId="37" xfId="2" applyNumberFormat="1" applyFont="1" applyFill="1" applyBorder="1" applyAlignment="1">
      <alignment horizontal="center" wrapText="1"/>
    </xf>
    <xf numFmtId="0" fontId="11" fillId="16" borderId="1" xfId="0" applyFont="1" applyFill="1" applyBorder="1" applyAlignment="1">
      <alignment horizontal="center"/>
    </xf>
    <xf numFmtId="4" fontId="1" fillId="0" borderId="0" xfId="0" applyNumberFormat="1" applyFont="1" applyAlignment="1">
      <alignment horizontal="center" wrapText="1"/>
    </xf>
    <xf numFmtId="0" fontId="0" fillId="16" borderId="9" xfId="0" applyFill="1" applyBorder="1" applyAlignment="1">
      <alignment horizontal="center"/>
    </xf>
    <xf numFmtId="0" fontId="0" fillId="16" borderId="44" xfId="0" applyFill="1" applyBorder="1" applyAlignment="1">
      <alignment horizontal="center"/>
    </xf>
    <xf numFmtId="0" fontId="17" fillId="0" borderId="0" xfId="0" applyFont="1" applyAlignment="1">
      <alignment wrapText="1"/>
    </xf>
    <xf numFmtId="0" fontId="11" fillId="16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17" borderId="1" xfId="0" applyFont="1" applyFill="1" applyBorder="1" applyAlignment="1">
      <alignment wrapText="1"/>
    </xf>
    <xf numFmtId="4" fontId="1" fillId="20" borderId="56" xfId="2" applyNumberFormat="1" applyFont="1" applyFill="1" applyBorder="1" applyAlignment="1">
      <alignment horizontal="center"/>
    </xf>
    <xf numFmtId="9" fontId="11" fillId="16" borderId="2" xfId="2" applyFont="1" applyFill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10" fontId="1" fillId="26" borderId="25" xfId="2" applyNumberFormat="1" applyFont="1" applyFill="1" applyBorder="1" applyAlignment="1">
      <alignment horizontal="center" wrapText="1"/>
    </xf>
    <xf numFmtId="0" fontId="0" fillId="26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43" fontId="1" fillId="0" borderId="1" xfId="0" applyNumberFormat="1" applyFont="1" applyBorder="1" applyAlignment="1">
      <alignment horizontal="right"/>
    </xf>
    <xf numFmtId="4" fontId="1" fillId="24" borderId="1" xfId="0" applyNumberFormat="1" applyFont="1" applyFill="1" applyBorder="1" applyAlignment="1">
      <alignment horizontal="center" vertical="center" wrapText="1"/>
    </xf>
    <xf numFmtId="169" fontId="0" fillId="0" borderId="0" xfId="0" applyNumberFormat="1"/>
    <xf numFmtId="44" fontId="9" fillId="0" borderId="43" xfId="395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43" fontId="0" fillId="0" borderId="2" xfId="1" applyFont="1" applyFill="1" applyBorder="1"/>
    <xf numFmtId="43" fontId="0" fillId="0" borderId="16" xfId="1" applyFont="1" applyFill="1" applyBorder="1"/>
    <xf numFmtId="1" fontId="0" fillId="0" borderId="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2" xfId="0" applyFont="1" applyFill="1" applyBorder="1"/>
    <xf numFmtId="0" fontId="1" fillId="2" borderId="6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3" fontId="0" fillId="2" borderId="16" xfId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43" fontId="0" fillId="2" borderId="16" xfId="1" applyFont="1" applyFill="1" applyBorder="1"/>
    <xf numFmtId="43" fontId="1" fillId="2" borderId="16" xfId="1" applyFont="1" applyFill="1" applyBorder="1"/>
    <xf numFmtId="0" fontId="0" fillId="2" borderId="17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43" fontId="0" fillId="2" borderId="2" xfId="1" applyFont="1" applyFill="1" applyBorder="1" applyAlignment="1">
      <alignment horizontal="center"/>
    </xf>
    <xf numFmtId="43" fontId="0" fillId="2" borderId="2" xfId="1" applyFont="1" applyFill="1" applyBorder="1"/>
    <xf numFmtId="0" fontId="1" fillId="2" borderId="13" xfId="0" applyFont="1" applyFill="1" applyBorder="1"/>
    <xf numFmtId="0" fontId="1" fillId="2" borderId="3" xfId="0" applyFont="1" applyFill="1" applyBorder="1"/>
    <xf numFmtId="43" fontId="1" fillId="2" borderId="4" xfId="0" applyNumberFormat="1" applyFont="1" applyFill="1" applyBorder="1"/>
    <xf numFmtId="0" fontId="0" fillId="0" borderId="37" xfId="0" applyBorder="1"/>
    <xf numFmtId="43" fontId="0" fillId="0" borderId="9" xfId="1" applyFont="1" applyBorder="1"/>
    <xf numFmtId="43" fontId="0" fillId="0" borderId="10" xfId="1" applyFont="1" applyBorder="1"/>
    <xf numFmtId="0" fontId="0" fillId="0" borderId="42" xfId="0" applyBorder="1"/>
    <xf numFmtId="43" fontId="0" fillId="0" borderId="44" xfId="1" applyFont="1" applyBorder="1"/>
    <xf numFmtId="43" fontId="0" fillId="0" borderId="43" xfId="1" applyFont="1" applyBorder="1"/>
    <xf numFmtId="43" fontId="0" fillId="0" borderId="3" xfId="1" applyFont="1" applyBorder="1"/>
    <xf numFmtId="1" fontId="3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11" fillId="16" borderId="1" xfId="0" applyFont="1" applyFill="1" applyBorder="1"/>
    <xf numFmtId="4" fontId="0" fillId="0" borderId="1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2" borderId="4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43" fontId="10" fillId="24" borderId="47" xfId="0" applyNumberFormat="1" applyFont="1" applyFill="1" applyBorder="1" applyAlignment="1">
      <alignment horizontal="center" vertical="center" wrapText="1"/>
    </xf>
    <xf numFmtId="43" fontId="0" fillId="0" borderId="20" xfId="0" applyNumberFormat="1" applyBorder="1"/>
    <xf numFmtId="43" fontId="0" fillId="0" borderId="17" xfId="0" applyNumberFormat="1" applyBorder="1"/>
    <xf numFmtId="43" fontId="0" fillId="0" borderId="17" xfId="0" applyNumberFormat="1" applyBorder="1" applyAlignment="1">
      <alignment horizontal="right"/>
    </xf>
    <xf numFmtId="43" fontId="1" fillId="22" borderId="17" xfId="0" applyNumberFormat="1" applyFont="1" applyFill="1" applyBorder="1"/>
    <xf numFmtId="43" fontId="0" fillId="22" borderId="17" xfId="0" applyNumberFormat="1" applyFill="1" applyBorder="1"/>
    <xf numFmtId="43" fontId="0" fillId="0" borderId="55" xfId="0" applyNumberFormat="1" applyBorder="1"/>
    <xf numFmtId="43" fontId="0" fillId="23" borderId="57" xfId="0" applyNumberFormat="1" applyFill="1" applyBorder="1"/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 wrapText="1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43" fontId="1" fillId="0" borderId="0" xfId="0" applyNumberFormat="1" applyFont="1" applyAlignment="1">
      <alignment horizontal="center"/>
    </xf>
    <xf numFmtId="10" fontId="0" fillId="0" borderId="1" xfId="2" applyNumberFormat="1" applyFont="1" applyFill="1" applyBorder="1" applyAlignment="1">
      <alignment horizontal="right"/>
    </xf>
    <xf numFmtId="0" fontId="9" fillId="0" borderId="3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10" fontId="10" fillId="23" borderId="59" xfId="0" applyNumberFormat="1" applyFont="1" applyFill="1" applyBorder="1" applyAlignment="1">
      <alignment horizontal="center"/>
    </xf>
    <xf numFmtId="0" fontId="0" fillId="16" borderId="20" xfId="0" applyFill="1" applyBorder="1" applyAlignment="1">
      <alignment horizontal="center" vertical="center"/>
    </xf>
    <xf numFmtId="0" fontId="10" fillId="22" borderId="17" xfId="0" applyFont="1" applyFill="1" applyBorder="1" applyAlignment="1">
      <alignment horizontal="center" vertical="center"/>
    </xf>
    <xf numFmtId="0" fontId="11" fillId="22" borderId="17" xfId="0" applyFont="1" applyFill="1" applyBorder="1" applyAlignment="1">
      <alignment horizontal="center" vertical="center"/>
    </xf>
    <xf numFmtId="0" fontId="11" fillId="16" borderId="55" xfId="0" applyFont="1" applyFill="1" applyBorder="1" applyAlignment="1">
      <alignment horizontal="center" vertical="center"/>
    </xf>
    <xf numFmtId="0" fontId="11" fillId="23" borderId="57" xfId="0" applyFont="1" applyFill="1" applyBorder="1" applyAlignment="1">
      <alignment horizontal="center" vertical="center"/>
    </xf>
    <xf numFmtId="4" fontId="0" fillId="0" borderId="7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 vertical="center" wrapText="1"/>
    </xf>
    <xf numFmtId="4" fontId="2" fillId="0" borderId="1" xfId="1" applyNumberFormat="1" applyFont="1" applyBorder="1" applyAlignment="1">
      <alignment vertical="center"/>
    </xf>
    <xf numFmtId="4" fontId="2" fillId="0" borderId="1" xfId="1" applyNumberFormat="1" applyFont="1" applyFill="1" applyBorder="1" applyAlignment="1">
      <alignment vertical="center"/>
    </xf>
    <xf numFmtId="43" fontId="0" fillId="0" borderId="6" xfId="1" applyFont="1" applyFill="1" applyBorder="1" applyAlignment="1">
      <alignment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4" borderId="25" xfId="0" applyFont="1" applyFill="1" applyBorder="1" applyAlignment="1">
      <alignment horizontal="center"/>
    </xf>
    <xf numFmtId="4" fontId="20" fillId="0" borderId="0" xfId="0" applyNumberFormat="1" applyFont="1" applyAlignment="1">
      <alignment horizontal="center"/>
    </xf>
    <xf numFmtId="43" fontId="19" fillId="0" borderId="0" xfId="0" applyNumberFormat="1" applyFont="1" applyAlignment="1">
      <alignment horizontal="center"/>
    </xf>
    <xf numFmtId="4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170" fontId="0" fillId="0" borderId="0" xfId="0" applyNumberFormat="1" applyAlignment="1">
      <alignment horizontal="right"/>
    </xf>
    <xf numFmtId="0" fontId="3" fillId="0" borderId="36" xfId="0" applyFont="1" applyBorder="1"/>
    <xf numFmtId="0" fontId="20" fillId="0" borderId="0" xfId="0" applyFont="1"/>
    <xf numFmtId="10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 wrapText="1"/>
    </xf>
    <xf numFmtId="4" fontId="0" fillId="0" borderId="0" xfId="0" applyNumberFormat="1" applyAlignment="1">
      <alignment horizontal="right"/>
    </xf>
    <xf numFmtId="43" fontId="19" fillId="0" borderId="0" xfId="0" applyNumberFormat="1" applyFont="1" applyAlignment="1">
      <alignment horizontal="right"/>
    </xf>
    <xf numFmtId="43" fontId="19" fillId="0" borderId="0" xfId="0" applyNumberFormat="1" applyFont="1" applyAlignment="1">
      <alignment horizontal="left"/>
    </xf>
    <xf numFmtId="4" fontId="20" fillId="0" borderId="0" xfId="0" applyNumberFormat="1" applyFont="1"/>
    <xf numFmtId="4" fontId="20" fillId="0" borderId="0" xfId="0" applyNumberFormat="1" applyFont="1" applyAlignment="1">
      <alignment horizontal="right"/>
    </xf>
    <xf numFmtId="43" fontId="20" fillId="0" borderId="0" xfId="0" applyNumberFormat="1" applyFont="1" applyAlignment="1">
      <alignment horizontal="right"/>
    </xf>
    <xf numFmtId="0" fontId="0" fillId="0" borderId="0" xfId="0" applyAlignment="1">
      <alignment horizontal="left" indent="5"/>
    </xf>
    <xf numFmtId="0" fontId="0" fillId="0" borderId="8" xfId="0" applyBorder="1" applyAlignment="1">
      <alignment horizontal="left" indent="5"/>
    </xf>
    <xf numFmtId="0" fontId="1" fillId="24" borderId="49" xfId="0" applyFont="1" applyFill="1" applyBorder="1" applyAlignment="1">
      <alignment horizontal="left" indent="5"/>
    </xf>
    <xf numFmtId="0" fontId="0" fillId="24" borderId="49" xfId="0" applyFill="1" applyBorder="1" applyAlignment="1">
      <alignment horizontal="left" indent="5"/>
    </xf>
    <xf numFmtId="0" fontId="10" fillId="21" borderId="57" xfId="0" applyFont="1" applyFill="1" applyBorder="1" applyAlignment="1">
      <alignment horizontal="left" indent="5"/>
    </xf>
    <xf numFmtId="0" fontId="10" fillId="16" borderId="31" xfId="0" applyFont="1" applyFill="1" applyBorder="1" applyAlignment="1">
      <alignment horizontal="left" indent="5"/>
    </xf>
    <xf numFmtId="0" fontId="10" fillId="20" borderId="17" xfId="0" applyFont="1" applyFill="1" applyBorder="1" applyAlignment="1">
      <alignment horizontal="left" indent="5"/>
    </xf>
    <xf numFmtId="0" fontId="11" fillId="16" borderId="17" xfId="0" applyFont="1" applyFill="1" applyBorder="1" applyAlignment="1">
      <alignment horizontal="left" indent="5"/>
    </xf>
    <xf numFmtId="0" fontId="10" fillId="21" borderId="17" xfId="0" applyFont="1" applyFill="1" applyBorder="1" applyAlignment="1">
      <alignment horizontal="left" indent="5"/>
    </xf>
    <xf numFmtId="0" fontId="11" fillId="0" borderId="17" xfId="0" applyFont="1" applyBorder="1" applyAlignment="1">
      <alignment horizontal="left" indent="5"/>
    </xf>
    <xf numFmtId="0" fontId="13" fillId="16" borderId="17" xfId="0" applyFont="1" applyFill="1" applyBorder="1" applyAlignment="1">
      <alignment horizontal="left" indent="5"/>
    </xf>
    <xf numFmtId="0" fontId="10" fillId="17" borderId="17" xfId="0" applyFont="1" applyFill="1" applyBorder="1" applyAlignment="1">
      <alignment horizontal="left" indent="5"/>
    </xf>
    <xf numFmtId="0" fontId="13" fillId="0" borderId="17" xfId="0" applyFont="1" applyBorder="1" applyAlignment="1">
      <alignment horizontal="left" indent="5"/>
    </xf>
    <xf numFmtId="0" fontId="11" fillId="0" borderId="17" xfId="0" applyFont="1" applyBorder="1" applyAlignment="1">
      <alignment horizontal="left" vertical="center" indent="5"/>
    </xf>
    <xf numFmtId="0" fontId="11" fillId="16" borderId="17" xfId="0" applyFont="1" applyFill="1" applyBorder="1" applyAlignment="1">
      <alignment horizontal="left" vertical="center" indent="5"/>
    </xf>
    <xf numFmtId="0" fontId="10" fillId="21" borderId="17" xfId="0" applyFont="1" applyFill="1" applyBorder="1" applyAlignment="1">
      <alignment horizontal="left" vertical="center" indent="5"/>
    </xf>
    <xf numFmtId="0" fontId="10" fillId="18" borderId="17" xfId="0" applyFont="1" applyFill="1" applyBorder="1" applyAlignment="1">
      <alignment horizontal="left" indent="5"/>
    </xf>
    <xf numFmtId="0" fontId="10" fillId="16" borderId="17" xfId="0" applyFont="1" applyFill="1" applyBorder="1" applyAlignment="1">
      <alignment horizontal="left" indent="5"/>
    </xf>
    <xf numFmtId="0" fontId="14" fillId="19" borderId="17" xfId="0" applyFont="1" applyFill="1" applyBorder="1" applyAlignment="1">
      <alignment horizontal="left" indent="5"/>
    </xf>
    <xf numFmtId="0" fontId="11" fillId="18" borderId="17" xfId="0" applyFont="1" applyFill="1" applyBorder="1" applyAlignment="1">
      <alignment horizontal="left" indent="5"/>
    </xf>
    <xf numFmtId="0" fontId="11" fillId="19" borderId="17" xfId="0" applyFont="1" applyFill="1" applyBorder="1" applyAlignment="1">
      <alignment horizontal="left" indent="5"/>
    </xf>
    <xf numFmtId="0" fontId="11" fillId="20" borderId="17" xfId="0" applyFont="1" applyFill="1" applyBorder="1" applyAlignment="1">
      <alignment horizontal="left" indent="5"/>
    </xf>
    <xf numFmtId="0" fontId="1" fillId="0" borderId="31" xfId="0" applyFont="1" applyBorder="1" applyAlignment="1">
      <alignment horizontal="left" vertical="center" wrapText="1" indent="5"/>
    </xf>
    <xf numFmtId="0" fontId="1" fillId="0" borderId="17" xfId="0" applyFont="1" applyBorder="1" applyAlignment="1">
      <alignment horizontal="left" vertical="center" indent="5"/>
    </xf>
    <xf numFmtId="0" fontId="1" fillId="0" borderId="56" xfId="0" applyFont="1" applyBorder="1" applyAlignment="1">
      <alignment horizontal="left" vertical="center" indent="5"/>
    </xf>
    <xf numFmtId="0" fontId="1" fillId="0" borderId="55" xfId="0" applyFont="1" applyBorder="1" applyAlignment="1">
      <alignment horizontal="left" vertical="center" indent="5"/>
    </xf>
    <xf numFmtId="0" fontId="1" fillId="0" borderId="8" xfId="0" applyFont="1" applyBorder="1" applyAlignment="1">
      <alignment horizontal="left" indent="5"/>
    </xf>
    <xf numFmtId="0" fontId="18" fillId="16" borderId="1" xfId="0" applyFont="1" applyFill="1" applyBorder="1" applyAlignment="1">
      <alignment horizontal="center"/>
    </xf>
    <xf numFmtId="0" fontId="10" fillId="20" borderId="1" xfId="0" applyFont="1" applyFill="1" applyBorder="1" applyAlignment="1">
      <alignment horizontal="left" wrapText="1"/>
    </xf>
    <xf numFmtId="173" fontId="10" fillId="20" borderId="1" xfId="0" applyNumberFormat="1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4" fontId="1" fillId="0" borderId="31" xfId="2" applyNumberFormat="1" applyFont="1" applyFill="1" applyBorder="1" applyAlignment="1">
      <alignment horizontal="center"/>
    </xf>
    <xf numFmtId="4" fontId="1" fillId="17" borderId="62" xfId="0" applyNumberFormat="1" applyFont="1" applyFill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12" fillId="0" borderId="62" xfId="0" applyNumberFormat="1" applyFont="1" applyBorder="1" applyAlignment="1">
      <alignment horizontal="center"/>
    </xf>
    <xf numFmtId="4" fontId="1" fillId="21" borderId="62" xfId="0" applyNumberFormat="1" applyFont="1" applyFill="1" applyBorder="1" applyAlignment="1">
      <alignment horizontal="center"/>
    </xf>
    <xf numFmtId="4" fontId="3" fillId="0" borderId="62" xfId="1" applyNumberFormat="1" applyFont="1" applyFill="1" applyBorder="1" applyAlignment="1">
      <alignment horizontal="center"/>
    </xf>
    <xf numFmtId="4" fontId="1" fillId="0" borderId="6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4" fontId="1" fillId="18" borderId="62" xfId="0" applyNumberFormat="1" applyFont="1" applyFill="1" applyBorder="1" applyAlignment="1">
      <alignment horizontal="center"/>
    </xf>
    <xf numFmtId="4" fontId="12" fillId="19" borderId="62" xfId="0" applyNumberFormat="1" applyFont="1" applyFill="1" applyBorder="1" applyAlignment="1">
      <alignment horizontal="center"/>
    </xf>
    <xf numFmtId="0" fontId="11" fillId="27" borderId="17" xfId="0" applyFont="1" applyFill="1" applyBorder="1" applyAlignment="1">
      <alignment horizontal="left" indent="5"/>
    </xf>
    <xf numFmtId="0" fontId="11" fillId="27" borderId="1" xfId="0" applyFont="1" applyFill="1" applyBorder="1" applyAlignment="1">
      <alignment wrapText="1"/>
    </xf>
    <xf numFmtId="0" fontId="10" fillId="27" borderId="1" xfId="0" applyFont="1" applyFill="1" applyBorder="1"/>
    <xf numFmtId="0" fontId="11" fillId="27" borderId="1" xfId="0" applyFont="1" applyFill="1" applyBorder="1" applyAlignment="1">
      <alignment horizontal="center"/>
    </xf>
    <xf numFmtId="4" fontId="1" fillId="27" borderId="62" xfId="0" applyNumberFormat="1" applyFont="1" applyFill="1" applyBorder="1" applyAlignment="1">
      <alignment horizontal="center"/>
    </xf>
    <xf numFmtId="0" fontId="0" fillId="27" borderId="0" xfId="0" applyFill="1"/>
    <xf numFmtId="4" fontId="0" fillId="27" borderId="0" xfId="0" applyNumberFormat="1" applyFill="1"/>
    <xf numFmtId="4" fontId="1" fillId="20" borderId="62" xfId="0" applyNumberFormat="1" applyFont="1" applyFill="1" applyBorder="1" applyAlignment="1">
      <alignment horizontal="center"/>
    </xf>
    <xf numFmtId="4" fontId="19" fillId="0" borderId="62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0" fontId="13" fillId="0" borderId="1" xfId="0" applyFont="1" applyBorder="1"/>
    <xf numFmtId="4" fontId="0" fillId="0" borderId="1" xfId="0" applyNumberFormat="1" applyBorder="1"/>
    <xf numFmtId="10" fontId="9" fillId="0" borderId="53" xfId="2" applyNumberFormat="1" applyFont="1" applyBorder="1" applyAlignment="1">
      <alignment horizontal="center" vertical="center"/>
    </xf>
    <xf numFmtId="10" fontId="9" fillId="0" borderId="48" xfId="2" applyNumberFormat="1" applyFont="1" applyBorder="1" applyAlignment="1">
      <alignment horizontal="center" vertical="center"/>
    </xf>
    <xf numFmtId="43" fontId="0" fillId="21" borderId="13" xfId="0" applyNumberFormat="1" applyFill="1" applyBorder="1" applyAlignment="1">
      <alignment horizontal="right"/>
    </xf>
    <xf numFmtId="172" fontId="0" fillId="21" borderId="1" xfId="0" applyNumberFormat="1" applyFill="1" applyBorder="1" applyAlignment="1">
      <alignment horizontal="right"/>
    </xf>
    <xf numFmtId="173" fontId="11" fillId="21" borderId="2" xfId="2" applyNumberFormat="1" applyFont="1" applyFill="1" applyBorder="1" applyAlignment="1">
      <alignment horizontal="center"/>
    </xf>
    <xf numFmtId="43" fontId="10" fillId="21" borderId="17" xfId="0" applyNumberFormat="1" applyFont="1" applyFill="1" applyBorder="1" applyAlignment="1">
      <alignment horizontal="center"/>
    </xf>
    <xf numFmtId="43" fontId="10" fillId="21" borderId="16" xfId="0" applyNumberFormat="1" applyFont="1" applyFill="1" applyBorder="1" applyAlignment="1">
      <alignment horizontal="center"/>
    </xf>
    <xf numFmtId="43" fontId="0" fillId="21" borderId="16" xfId="0" applyNumberFormat="1" applyFill="1" applyBorder="1" applyAlignment="1">
      <alignment horizontal="right"/>
    </xf>
    <xf numFmtId="43" fontId="1" fillId="0" borderId="12" xfId="0" applyNumberFormat="1" applyFont="1" applyBorder="1"/>
    <xf numFmtId="0" fontId="0" fillId="0" borderId="28" xfId="0" applyBorder="1"/>
    <xf numFmtId="43" fontId="0" fillId="0" borderId="22" xfId="0" applyNumberFormat="1" applyBorder="1"/>
    <xf numFmtId="0" fontId="1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left" vertical="center"/>
    </xf>
    <xf numFmtId="43" fontId="1" fillId="2" borderId="61" xfId="0" applyNumberFormat="1" applyFont="1" applyFill="1" applyBorder="1" applyAlignment="1">
      <alignment vertical="center" wrapText="1"/>
    </xf>
    <xf numFmtId="43" fontId="1" fillId="2" borderId="63" xfId="0" applyNumberFormat="1" applyFont="1" applyFill="1" applyBorder="1" applyAlignment="1">
      <alignment vertical="center" wrapText="1"/>
    </xf>
    <xf numFmtId="0" fontId="13" fillId="0" borderId="17" xfId="0" applyFont="1" applyBorder="1" applyAlignment="1">
      <alignment horizontal="center" vertical="center"/>
    </xf>
    <xf numFmtId="0" fontId="0" fillId="0" borderId="43" xfId="0" applyBorder="1"/>
    <xf numFmtId="0" fontId="22" fillId="0" borderId="0" xfId="0" applyFont="1"/>
    <xf numFmtId="9" fontId="20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6" fillId="0" borderId="26" xfId="0" applyFont="1" applyBorder="1" applyAlignment="1">
      <alignment horizontal="center" vertical="center" wrapText="1"/>
    </xf>
    <xf numFmtId="14" fontId="0" fillId="0" borderId="0" xfId="0" applyNumberFormat="1"/>
    <xf numFmtId="0" fontId="23" fillId="0" borderId="0" xfId="0" applyFont="1" applyAlignment="1">
      <alignment horizontal="center"/>
    </xf>
    <xf numFmtId="1" fontId="9" fillId="0" borderId="48" xfId="0" applyNumberFormat="1" applyFont="1" applyBorder="1" applyAlignment="1">
      <alignment horizontal="center"/>
    </xf>
    <xf numFmtId="17" fontId="20" fillId="0" borderId="0" xfId="2" applyNumberFormat="1" applyFont="1" applyAlignment="1">
      <alignment horizontal="left"/>
    </xf>
    <xf numFmtId="10" fontId="20" fillId="0" borderId="0" xfId="0" applyNumberFormat="1" applyFont="1" applyAlignment="1">
      <alignment horizontal="right"/>
    </xf>
    <xf numFmtId="0" fontId="20" fillId="0" borderId="43" xfId="0" applyFont="1" applyBorder="1" applyAlignment="1">
      <alignment horizontal="center"/>
    </xf>
    <xf numFmtId="2" fontId="20" fillId="0" borderId="43" xfId="0" applyNumberFormat="1" applyFont="1" applyBorder="1" applyAlignment="1">
      <alignment horizontal="center"/>
    </xf>
    <xf numFmtId="9" fontId="11" fillId="27" borderId="2" xfId="2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64" xfId="0" applyBorder="1" applyAlignment="1">
      <alignment horizontal="left" indent="5"/>
    </xf>
    <xf numFmtId="0" fontId="1" fillId="0" borderId="66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/>
    </xf>
    <xf numFmtId="1" fontId="1" fillId="0" borderId="66" xfId="0" applyNumberFormat="1" applyFont="1" applyBorder="1" applyAlignment="1">
      <alignment horizontal="center" vertical="center" wrapText="1"/>
    </xf>
    <xf numFmtId="1" fontId="1" fillId="0" borderId="67" xfId="0" applyNumberFormat="1" applyFont="1" applyBorder="1" applyAlignment="1">
      <alignment horizontal="center" vertical="center" wrapText="1"/>
    </xf>
    <xf numFmtId="4" fontId="1" fillId="0" borderId="63" xfId="0" applyNumberFormat="1" applyFont="1" applyBorder="1" applyAlignment="1">
      <alignment horizontal="center" wrapText="1"/>
    </xf>
    <xf numFmtId="0" fontId="0" fillId="0" borderId="36" xfId="0" applyBorder="1" applyAlignment="1">
      <alignment horizontal="left" indent="5"/>
    </xf>
    <xf numFmtId="4" fontId="19" fillId="0" borderId="0" xfId="0" applyNumberFormat="1" applyFont="1"/>
    <xf numFmtId="43" fontId="19" fillId="0" borderId="0" xfId="0" applyNumberFormat="1" applyFont="1"/>
    <xf numFmtId="43" fontId="1" fillId="2" borderId="68" xfId="0" applyNumberFormat="1" applyFont="1" applyFill="1" applyBorder="1" applyAlignment="1">
      <alignment vertical="center" wrapText="1"/>
    </xf>
    <xf numFmtId="43" fontId="1" fillId="2" borderId="40" xfId="0" applyNumberFormat="1" applyFont="1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43" fontId="0" fillId="28" borderId="69" xfId="0" applyNumberFormat="1" applyFill="1" applyBorder="1" applyAlignment="1">
      <alignment horizontal="center" vertical="center"/>
    </xf>
    <xf numFmtId="0" fontId="0" fillId="28" borderId="70" xfId="0" applyFill="1" applyBorder="1" applyAlignment="1">
      <alignment horizontal="center" vertical="center"/>
    </xf>
    <xf numFmtId="10" fontId="0" fillId="28" borderId="71" xfId="2" applyNumberFormat="1" applyFont="1" applyFill="1" applyBorder="1" applyAlignment="1">
      <alignment horizontal="center" vertical="center"/>
    </xf>
    <xf numFmtId="10" fontId="0" fillId="28" borderId="72" xfId="2" applyNumberFormat="1" applyFont="1" applyFill="1" applyBorder="1" applyAlignment="1">
      <alignment horizontal="center" vertical="center"/>
    </xf>
    <xf numFmtId="0" fontId="0" fillId="28" borderId="73" xfId="0" applyFill="1" applyBorder="1" applyAlignment="1">
      <alignment vertical="center"/>
    </xf>
    <xf numFmtId="0" fontId="0" fillId="2" borderId="74" xfId="0" applyFill="1" applyBorder="1" applyAlignment="1">
      <alignment horizontal="center" vertical="center"/>
    </xf>
    <xf numFmtId="0" fontId="0" fillId="28" borderId="0" xfId="0" applyFill="1" applyAlignment="1">
      <alignment vertical="center"/>
    </xf>
    <xf numFmtId="0" fontId="0" fillId="28" borderId="71" xfId="0" applyFill="1" applyBorder="1" applyAlignment="1">
      <alignment vertical="center"/>
    </xf>
    <xf numFmtId="0" fontId="0" fillId="28" borderId="72" xfId="0" applyFill="1" applyBorder="1" applyAlignment="1">
      <alignment vertical="center"/>
    </xf>
    <xf numFmtId="10" fontId="0" fillId="28" borderId="75" xfId="2" applyNumberFormat="1" applyFont="1" applyFill="1" applyBorder="1" applyAlignment="1">
      <alignment horizontal="center" vertical="center"/>
    </xf>
    <xf numFmtId="43" fontId="1" fillId="2" borderId="12" xfId="0" applyNumberFormat="1" applyFont="1" applyFill="1" applyBorder="1" applyAlignment="1">
      <alignment vertical="center" wrapText="1"/>
    </xf>
    <xf numFmtId="0" fontId="0" fillId="28" borderId="76" xfId="0" applyFill="1" applyBorder="1" applyAlignment="1">
      <alignment horizontal="center" vertical="center"/>
    </xf>
    <xf numFmtId="0" fontId="0" fillId="28" borderId="75" xfId="0" applyFill="1" applyBorder="1" applyAlignment="1">
      <alignment vertical="center"/>
    </xf>
    <xf numFmtId="10" fontId="0" fillId="28" borderId="70" xfId="2" applyNumberFormat="1" applyFont="1" applyFill="1" applyBorder="1" applyAlignment="1">
      <alignment horizontal="center" vertical="center"/>
    </xf>
    <xf numFmtId="0" fontId="0" fillId="28" borderId="77" xfId="0" applyFill="1" applyBorder="1" applyAlignment="1">
      <alignment horizontal="center" vertical="center"/>
    </xf>
    <xf numFmtId="0" fontId="29" fillId="0" borderId="1" xfId="0" applyFont="1" applyBorder="1" applyAlignment="1">
      <alignment horizontal="left" wrapText="1"/>
    </xf>
    <xf numFmtId="4" fontId="1" fillId="0" borderId="13" xfId="0" applyNumberFormat="1" applyFont="1" applyBorder="1" applyAlignment="1">
      <alignment horizontal="center"/>
    </xf>
    <xf numFmtId="43" fontId="9" fillId="0" borderId="1" xfId="1" applyFont="1" applyFill="1" applyBorder="1" applyAlignment="1">
      <alignment vertical="center"/>
    </xf>
    <xf numFmtId="43" fontId="9" fillId="0" borderId="6" xfId="1" applyFont="1" applyFill="1" applyBorder="1" applyAlignment="1">
      <alignment vertical="center"/>
    </xf>
    <xf numFmtId="0" fontId="32" fillId="0" borderId="0" xfId="0" applyFont="1" applyAlignment="1">
      <alignment horizontal="left"/>
    </xf>
    <xf numFmtId="3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 wrapText="1"/>
    </xf>
    <xf numFmtId="2" fontId="23" fillId="0" borderId="0" xfId="0" applyNumberFormat="1" applyFont="1" applyAlignment="1">
      <alignment horizontal="center"/>
    </xf>
    <xf numFmtId="4" fontId="33" fillId="0" borderId="0" xfId="0" applyNumberFormat="1" applyFont="1" applyAlignment="1">
      <alignment horizontal="center" wrapText="1"/>
    </xf>
    <xf numFmtId="43" fontId="33" fillId="0" borderId="82" xfId="0" applyNumberFormat="1" applyFont="1" applyBorder="1" applyAlignment="1">
      <alignment horizontal="center"/>
    </xf>
    <xf numFmtId="43" fontId="33" fillId="0" borderId="85" xfId="0" applyNumberFormat="1" applyFont="1" applyBorder="1" applyAlignment="1">
      <alignment horizontal="center"/>
    </xf>
    <xf numFmtId="3" fontId="32" fillId="0" borderId="81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43" fontId="32" fillId="0" borderId="0" xfId="0" applyNumberFormat="1" applyFont="1" applyAlignment="1">
      <alignment horizontal="left"/>
    </xf>
    <xf numFmtId="3" fontId="32" fillId="0" borderId="83" xfId="0" applyNumberFormat="1" applyFont="1" applyBorder="1" applyAlignment="1">
      <alignment horizontal="center" vertical="center" wrapText="1"/>
    </xf>
    <xf numFmtId="0" fontId="33" fillId="0" borderId="84" xfId="0" applyFont="1" applyBorder="1" applyAlignment="1">
      <alignment horizontal="center"/>
    </xf>
    <xf numFmtId="43" fontId="32" fillId="0" borderId="84" xfId="0" applyNumberFormat="1" applyFont="1" applyBorder="1" applyAlignment="1">
      <alignment horizontal="left"/>
    </xf>
    <xf numFmtId="43" fontId="32" fillId="0" borderId="86" xfId="0" applyNumberFormat="1" applyFont="1" applyBorder="1" applyAlignment="1">
      <alignment horizontal="center" wrapText="1"/>
    </xf>
    <xf numFmtId="0" fontId="33" fillId="0" borderId="87" xfId="0" applyFont="1" applyBorder="1" applyAlignment="1">
      <alignment horizontal="center"/>
    </xf>
    <xf numFmtId="43" fontId="32" fillId="0" borderId="87" xfId="0" applyNumberFormat="1" applyFont="1" applyBorder="1" applyAlignment="1">
      <alignment horizontal="center"/>
    </xf>
    <xf numFmtId="0" fontId="33" fillId="0" borderId="88" xfId="0" applyFont="1" applyBorder="1" applyAlignment="1">
      <alignment horizontal="center"/>
    </xf>
    <xf numFmtId="0" fontId="1" fillId="16" borderId="11" xfId="0" applyFont="1" applyFill="1" applyBorder="1"/>
    <xf numFmtId="0" fontId="1" fillId="16" borderId="0" xfId="0" applyFont="1" applyFill="1"/>
    <xf numFmtId="0" fontId="1" fillId="16" borderId="12" xfId="0" applyFont="1" applyFill="1" applyBorder="1"/>
    <xf numFmtId="0" fontId="26" fillId="16" borderId="42" xfId="0" applyFont="1" applyFill="1" applyBorder="1" applyAlignment="1">
      <alignment horizontal="left" indent="5"/>
    </xf>
    <xf numFmtId="0" fontId="11" fillId="29" borderId="17" xfId="0" applyFont="1" applyFill="1" applyBorder="1" applyAlignment="1">
      <alignment horizontal="left" indent="5"/>
    </xf>
    <xf numFmtId="0" fontId="11" fillId="29" borderId="1" xfId="0" applyFont="1" applyFill="1" applyBorder="1" applyAlignment="1">
      <alignment wrapText="1"/>
    </xf>
    <xf numFmtId="0" fontId="10" fillId="29" borderId="1" xfId="0" applyFont="1" applyFill="1" applyBorder="1"/>
    <xf numFmtId="0" fontId="11" fillId="29" borderId="1" xfId="0" applyFont="1" applyFill="1" applyBorder="1" applyAlignment="1">
      <alignment horizontal="center"/>
    </xf>
    <xf numFmtId="173" fontId="11" fillId="29" borderId="2" xfId="2" applyNumberFormat="1" applyFont="1" applyFill="1" applyBorder="1" applyAlignment="1">
      <alignment horizontal="center"/>
    </xf>
    <xf numFmtId="4" fontId="1" fillId="29" borderId="62" xfId="0" applyNumberFormat="1" applyFont="1" applyFill="1" applyBorder="1" applyAlignment="1">
      <alignment horizontal="center"/>
    </xf>
    <xf numFmtId="0" fontId="0" fillId="29" borderId="0" xfId="0" applyFill="1"/>
    <xf numFmtId="4" fontId="0" fillId="29" borderId="0" xfId="0" applyNumberFormat="1" applyFill="1"/>
    <xf numFmtId="9" fontId="11" fillId="29" borderId="2" xfId="2" applyFont="1" applyFill="1" applyBorder="1" applyAlignment="1">
      <alignment horizontal="center"/>
    </xf>
    <xf numFmtId="4" fontId="3" fillId="0" borderId="62" xfId="1" applyNumberFormat="1" applyFont="1" applyBorder="1" applyAlignment="1">
      <alignment horizontal="center"/>
    </xf>
    <xf numFmtId="43" fontId="0" fillId="28" borderId="76" xfId="0" applyNumberForma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/>
    </xf>
    <xf numFmtId="0" fontId="0" fillId="2" borderId="96" xfId="0" applyFill="1" applyBorder="1"/>
    <xf numFmtId="0" fontId="32" fillId="0" borderId="0" xfId="0" applyFont="1"/>
    <xf numFmtId="9" fontId="32" fillId="0" borderId="0" xfId="0" applyNumberFormat="1" applyFont="1"/>
    <xf numFmtId="0" fontId="33" fillId="0" borderId="0" xfId="0" applyFont="1"/>
    <xf numFmtId="1" fontId="33" fillId="0" borderId="0" xfId="0" applyNumberFormat="1" applyFont="1"/>
    <xf numFmtId="0" fontId="1" fillId="2" borderId="11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" fontId="0" fillId="2" borderId="9" xfId="0" applyNumberForma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94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4" fontId="11" fillId="0" borderId="0" xfId="0" applyNumberFormat="1" applyFont="1"/>
    <xf numFmtId="10" fontId="6" fillId="0" borderId="50" xfId="2" applyNumberFormat="1" applyFont="1" applyFill="1" applyBorder="1" applyAlignment="1">
      <alignment horizontal="center" vertical="center"/>
    </xf>
    <xf numFmtId="43" fontId="20" fillId="0" borderId="0" xfId="2" applyNumberFormat="1" applyFont="1" applyAlignment="1">
      <alignment horizontal="center"/>
    </xf>
    <xf numFmtId="10" fontId="1" fillId="26" borderId="108" xfId="2" applyNumberFormat="1" applyFont="1" applyFill="1" applyBorder="1" applyAlignment="1">
      <alignment horizontal="center" wrapText="1"/>
    </xf>
    <xf numFmtId="3" fontId="33" fillId="0" borderId="81" xfId="0" applyNumberFormat="1" applyFont="1" applyBorder="1" applyAlignment="1">
      <alignment horizontal="center" vertical="center" wrapText="1"/>
    </xf>
    <xf numFmtId="43" fontId="19" fillId="0" borderId="75" xfId="0" applyNumberFormat="1" applyFont="1" applyBorder="1" applyAlignment="1">
      <alignment horizontal="center"/>
    </xf>
    <xf numFmtId="4" fontId="19" fillId="0" borderId="77" xfId="0" applyNumberFormat="1" applyFont="1" applyBorder="1" applyAlignment="1">
      <alignment horizontal="center"/>
    </xf>
    <xf numFmtId="43" fontId="20" fillId="0" borderId="75" xfId="0" applyNumberFormat="1" applyFont="1" applyBorder="1" applyAlignment="1">
      <alignment horizontal="center"/>
    </xf>
    <xf numFmtId="4" fontId="20" fillId="0" borderId="77" xfId="0" applyNumberFormat="1" applyFont="1" applyBorder="1" applyAlignment="1">
      <alignment horizontal="center"/>
    </xf>
    <xf numFmtId="43" fontId="20" fillId="0" borderId="72" xfId="0" applyNumberFormat="1" applyFont="1" applyBorder="1" applyAlignment="1">
      <alignment horizontal="center"/>
    </xf>
    <xf numFmtId="4" fontId="19" fillId="0" borderId="110" xfId="0" applyNumberFormat="1" applyFont="1" applyBorder="1" applyAlignment="1">
      <alignment horizontal="center"/>
    </xf>
    <xf numFmtId="0" fontId="37" fillId="0" borderId="92" xfId="0" applyFont="1" applyBorder="1"/>
    <xf numFmtId="0" fontId="37" fillId="0" borderId="98" xfId="0" applyFont="1" applyBorder="1"/>
    <xf numFmtId="0" fontId="37" fillId="0" borderId="103" xfId="0" applyFont="1" applyBorder="1"/>
    <xf numFmtId="0" fontId="37" fillId="0" borderId="104" xfId="0" applyFont="1" applyBorder="1"/>
    <xf numFmtId="0" fontId="38" fillId="0" borderId="104" xfId="0" applyFont="1" applyBorder="1"/>
    <xf numFmtId="0" fontId="39" fillId="0" borderId="103" xfId="0" applyFont="1" applyBorder="1"/>
    <xf numFmtId="0" fontId="39" fillId="0" borderId="104" xfId="0" applyFont="1" applyBorder="1"/>
    <xf numFmtId="0" fontId="38" fillId="0" borderId="107" xfId="0" applyFont="1" applyBorder="1"/>
    <xf numFmtId="170" fontId="38" fillId="0" borderId="103" xfId="0" applyNumberFormat="1" applyFont="1" applyBorder="1"/>
    <xf numFmtId="1" fontId="38" fillId="0" borderId="105" xfId="0" applyNumberFormat="1" applyFont="1" applyBorder="1"/>
    <xf numFmtId="170" fontId="33" fillId="0" borderId="0" xfId="0" applyNumberFormat="1" applyFont="1" applyAlignment="1">
      <alignment horizontal="center"/>
    </xf>
    <xf numFmtId="0" fontId="36" fillId="0" borderId="0" xfId="399"/>
    <xf numFmtId="4" fontId="0" fillId="0" borderId="0" xfId="0" applyNumberFormat="1" applyAlignment="1">
      <alignment horizontal="left"/>
    </xf>
    <xf numFmtId="0" fontId="18" fillId="0" borderId="1" xfId="0" applyFont="1" applyBorder="1"/>
    <xf numFmtId="0" fontId="18" fillId="0" borderId="17" xfId="0" applyFont="1" applyBorder="1" applyAlignment="1">
      <alignment horizontal="center" vertical="center"/>
    </xf>
    <xf numFmtId="9" fontId="16" fillId="0" borderId="2" xfId="2" applyFont="1" applyFill="1" applyBorder="1"/>
    <xf numFmtId="43" fontId="3" fillId="0" borderId="17" xfId="0" applyNumberFormat="1" applyFont="1" applyBorder="1" applyAlignment="1">
      <alignment horizontal="right"/>
    </xf>
    <xf numFmtId="43" fontId="15" fillId="0" borderId="14" xfId="0" applyNumberFormat="1" applyFont="1" applyBorder="1" applyAlignment="1">
      <alignment horizontal="right"/>
    </xf>
    <xf numFmtId="0" fontId="3" fillId="0" borderId="0" xfId="0" applyFont="1"/>
    <xf numFmtId="9" fontId="16" fillId="16" borderId="2" xfId="2" applyFont="1" applyFill="1" applyBorder="1"/>
    <xf numFmtId="4" fontId="3" fillId="0" borderId="1" xfId="0" applyNumberFormat="1" applyFont="1" applyBorder="1"/>
    <xf numFmtId="43" fontId="15" fillId="0" borderId="16" xfId="0" applyNumberFormat="1" applyFont="1" applyBorder="1"/>
    <xf numFmtId="43" fontId="3" fillId="0" borderId="0" xfId="0" applyNumberFormat="1" applyFont="1"/>
    <xf numFmtId="0" fontId="18" fillId="16" borderId="17" xfId="0" applyFont="1" applyFill="1" applyBorder="1" applyAlignment="1">
      <alignment horizontal="center" vertical="center"/>
    </xf>
    <xf numFmtId="0" fontId="16" fillId="16" borderId="2" xfId="0" applyFont="1" applyFill="1" applyBorder="1"/>
    <xf numFmtId="43" fontId="3" fillId="0" borderId="1" xfId="0" applyNumberFormat="1" applyFont="1" applyBorder="1"/>
    <xf numFmtId="0" fontId="18" fillId="0" borderId="1" xfId="0" applyFont="1" applyBorder="1" applyAlignment="1">
      <alignment horizontal="left" wrapText="1"/>
    </xf>
    <xf numFmtId="10" fontId="0" fillId="0" borderId="0" xfId="2" applyNumberFormat="1" applyFont="1" applyFill="1" applyBorder="1" applyAlignment="1">
      <alignment horizontal="right"/>
    </xf>
    <xf numFmtId="10" fontId="11" fillId="0" borderId="0" xfId="0" applyNumberFormat="1" applyFont="1" applyAlignment="1">
      <alignment horizontal="right"/>
    </xf>
    <xf numFmtId="9" fontId="0" fillId="25" borderId="69" xfId="2" applyFont="1" applyFill="1" applyBorder="1" applyAlignment="1">
      <alignment horizontal="center"/>
    </xf>
    <xf numFmtId="9" fontId="0" fillId="20" borderId="97" xfId="2" applyFont="1" applyFill="1" applyBorder="1" applyAlignment="1">
      <alignment horizontal="center"/>
    </xf>
    <xf numFmtId="0" fontId="16" fillId="17" borderId="17" xfId="0" applyFont="1" applyFill="1" applyBorder="1" applyAlignment="1">
      <alignment horizontal="left" indent="5"/>
    </xf>
    <xf numFmtId="0" fontId="18" fillId="0" borderId="17" xfId="0" applyFont="1" applyBorder="1" applyAlignment="1">
      <alignment horizontal="left" indent="5"/>
    </xf>
    <xf numFmtId="0" fontId="18" fillId="16" borderId="1" xfId="0" applyFont="1" applyFill="1" applyBorder="1" applyAlignment="1">
      <alignment wrapText="1"/>
    </xf>
    <xf numFmtId="0" fontId="16" fillId="17" borderId="1" xfId="0" applyFont="1" applyFill="1" applyBorder="1" applyAlignment="1">
      <alignment vertical="center" wrapText="1"/>
    </xf>
    <xf numFmtId="0" fontId="42" fillId="0" borderId="65" xfId="0" applyFont="1" applyBorder="1" applyAlignment="1">
      <alignment horizontal="left" vertical="center" wrapText="1" indent="5"/>
    </xf>
    <xf numFmtId="0" fontId="45" fillId="0" borderId="36" xfId="0" applyFont="1" applyBorder="1"/>
    <xf numFmtId="0" fontId="1" fillId="24" borderId="47" xfId="0" applyFont="1" applyFill="1" applyBorder="1" applyAlignment="1">
      <alignment horizontal="right"/>
    </xf>
    <xf numFmtId="9" fontId="0" fillId="25" borderId="111" xfId="2" applyFont="1" applyFill="1" applyBorder="1" applyAlignment="1">
      <alignment horizontal="center"/>
    </xf>
    <xf numFmtId="4" fontId="19" fillId="0" borderId="71" xfId="0" applyNumberFormat="1" applyFont="1" applyBorder="1" applyAlignment="1">
      <alignment horizontal="center"/>
    </xf>
    <xf numFmtId="4" fontId="19" fillId="0" borderId="109" xfId="0" applyNumberFormat="1" applyFont="1" applyBorder="1" applyAlignment="1">
      <alignment horizontal="center"/>
    </xf>
    <xf numFmtId="0" fontId="0" fillId="0" borderId="78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79" xfId="0" applyBorder="1" applyAlignment="1">
      <alignment horizontal="center" vertical="top"/>
    </xf>
    <xf numFmtId="0" fontId="0" fillId="0" borderId="80" xfId="0" applyBorder="1" applyAlignment="1">
      <alignment horizontal="center" vertical="top"/>
    </xf>
    <xf numFmtId="0" fontId="0" fillId="28" borderId="79" xfId="0" applyFill="1" applyBorder="1" applyAlignment="1">
      <alignment horizontal="center" vertical="top"/>
    </xf>
    <xf numFmtId="0" fontId="0" fillId="28" borderId="80" xfId="0" applyFill="1" applyBorder="1" applyAlignment="1">
      <alignment horizontal="center" vertical="top"/>
    </xf>
    <xf numFmtId="43" fontId="1" fillId="0" borderId="7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0" fontId="1" fillId="0" borderId="7" xfId="2" applyNumberFormat="1" applyFont="1" applyBorder="1" applyAlignment="1">
      <alignment horizontal="center" vertical="center"/>
    </xf>
    <xf numFmtId="10" fontId="1" fillId="0" borderId="19" xfId="2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16" xfId="0" applyFont="1" applyFill="1" applyBorder="1" applyAlignment="1">
      <alignment horizontal="left" vertical="center"/>
    </xf>
    <xf numFmtId="0" fontId="27" fillId="2" borderId="1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" fontId="15" fillId="2" borderId="2" xfId="0" applyNumberFormat="1" applyFont="1" applyFill="1" applyBorder="1" applyAlignment="1">
      <alignment horizontal="center" vertical="center"/>
    </xf>
    <xf numFmtId="1" fontId="15" fillId="2" borderId="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/>
    </xf>
    <xf numFmtId="0" fontId="1" fillId="16" borderId="0" xfId="0" applyFont="1" applyFill="1" applyAlignment="1">
      <alignment horizontal="center"/>
    </xf>
    <xf numFmtId="0" fontId="5" fillId="24" borderId="8" xfId="0" applyFont="1" applyFill="1" applyBorder="1" applyAlignment="1">
      <alignment horizontal="center" vertical="center"/>
    </xf>
    <xf numFmtId="0" fontId="5" fillId="24" borderId="9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42" xfId="0" applyFont="1" applyFill="1" applyBorder="1" applyAlignment="1">
      <alignment horizontal="center" vertical="center"/>
    </xf>
    <xf numFmtId="0" fontId="5" fillId="24" borderId="44" xfId="0" applyFont="1" applyFill="1" applyBorder="1" applyAlignment="1">
      <alignment horizontal="center" vertical="center"/>
    </xf>
    <xf numFmtId="0" fontId="5" fillId="24" borderId="43" xfId="0" applyFont="1" applyFill="1" applyBorder="1" applyAlignment="1">
      <alignment horizontal="center" vertical="center"/>
    </xf>
    <xf numFmtId="0" fontId="23" fillId="24" borderId="8" xfId="0" applyFont="1" applyFill="1" applyBorder="1" applyAlignment="1">
      <alignment horizontal="left" vertical="center"/>
    </xf>
    <xf numFmtId="0" fontId="23" fillId="24" borderId="9" xfId="0" applyFont="1" applyFill="1" applyBorder="1" applyAlignment="1">
      <alignment horizontal="left" vertical="center"/>
    </xf>
    <xf numFmtId="0" fontId="23" fillId="24" borderId="10" xfId="0" applyFont="1" applyFill="1" applyBorder="1" applyAlignment="1">
      <alignment horizontal="left" vertical="center"/>
    </xf>
    <xf numFmtId="0" fontId="27" fillId="30" borderId="89" xfId="0" applyFont="1" applyFill="1" applyBorder="1" applyAlignment="1">
      <alignment horizontal="left" vertical="center" wrapText="1"/>
    </xf>
    <xf numFmtId="0" fontId="24" fillId="30" borderId="90" xfId="0" applyFont="1" applyFill="1" applyBorder="1" applyAlignment="1">
      <alignment horizontal="left" vertical="center" wrapText="1"/>
    </xf>
    <xf numFmtId="0" fontId="24" fillId="30" borderId="91" xfId="0" applyFont="1" applyFill="1" applyBorder="1" applyAlignment="1">
      <alignment horizontal="left" vertical="center" wrapText="1"/>
    </xf>
    <xf numFmtId="0" fontId="42" fillId="24" borderId="42" xfId="0" applyFont="1" applyFill="1" applyBorder="1" applyAlignment="1">
      <alignment horizontal="left" vertical="center"/>
    </xf>
    <xf numFmtId="0" fontId="1" fillId="24" borderId="44" xfId="0" applyFont="1" applyFill="1" applyBorder="1" applyAlignment="1">
      <alignment horizontal="left" vertical="center"/>
    </xf>
    <xf numFmtId="0" fontId="1" fillId="24" borderId="43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2" borderId="9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4" fillId="30" borderId="89" xfId="0" applyFont="1" applyFill="1" applyBorder="1" applyAlignment="1">
      <alignment horizontal="left" vertical="center" wrapText="1"/>
    </xf>
    <xf numFmtId="0" fontId="30" fillId="30" borderId="90" xfId="0" applyFont="1" applyFill="1" applyBorder="1" applyAlignment="1">
      <alignment horizontal="left" vertical="center" wrapText="1"/>
    </xf>
    <xf numFmtId="0" fontId="30" fillId="30" borderId="91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16" borderId="6" xfId="0" applyFill="1" applyBorder="1" applyAlignment="1">
      <alignment horizontal="center" vertical="center"/>
    </xf>
    <xf numFmtId="0" fontId="0" fillId="16" borderId="66" xfId="0" applyFill="1" applyBorder="1" applyAlignment="1">
      <alignment horizontal="center" vertical="center"/>
    </xf>
    <xf numFmtId="0" fontId="0" fillId="16" borderId="51" xfId="0" applyFill="1" applyBorder="1" applyAlignment="1">
      <alignment horizontal="center" vertical="center"/>
    </xf>
    <xf numFmtId="0" fontId="0" fillId="16" borderId="63" xfId="0" applyFill="1" applyBorder="1" applyAlignment="1">
      <alignment horizontal="center" vertical="center"/>
    </xf>
    <xf numFmtId="0" fontId="0" fillId="16" borderId="7" xfId="0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1" fontId="0" fillId="16" borderId="6" xfId="0" applyNumberFormat="1" applyFill="1" applyBorder="1" applyAlignment="1">
      <alignment horizontal="center" vertical="center"/>
    </xf>
    <xf numFmtId="1" fontId="0" fillId="16" borderId="7" xfId="0" applyNumberFormat="1" applyFill="1" applyBorder="1" applyAlignment="1">
      <alignment horizontal="center" vertical="center"/>
    </xf>
    <xf numFmtId="0" fontId="9" fillId="16" borderId="6" xfId="0" applyFont="1" applyFill="1" applyBorder="1" applyAlignment="1">
      <alignment horizontal="center" vertical="center"/>
    </xf>
    <xf numFmtId="0" fontId="9" fillId="16" borderId="66" xfId="0" applyFont="1" applyFill="1" applyBorder="1" applyAlignment="1">
      <alignment horizontal="center" vertical="center"/>
    </xf>
    <xf numFmtId="9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45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5" fillId="24" borderId="92" xfId="0" applyFont="1" applyFill="1" applyBorder="1" applyAlignment="1">
      <alignment horizontal="center" vertical="center"/>
    </xf>
    <xf numFmtId="0" fontId="5" fillId="24" borderId="93" xfId="0" applyFont="1" applyFill="1" applyBorder="1" applyAlignment="1">
      <alignment horizontal="center" vertical="center"/>
    </xf>
    <xf numFmtId="0" fontId="5" fillId="24" borderId="98" xfId="0" applyFont="1" applyFill="1" applyBorder="1" applyAlignment="1">
      <alignment horizontal="center" vertical="center"/>
    </xf>
    <xf numFmtId="0" fontId="5" fillId="24" borderId="99" xfId="0" applyFont="1" applyFill="1" applyBorder="1" applyAlignment="1">
      <alignment horizontal="center" vertical="center"/>
    </xf>
    <xf numFmtId="0" fontId="5" fillId="24" borderId="100" xfId="0" applyFont="1" applyFill="1" applyBorder="1" applyAlignment="1">
      <alignment horizontal="center" vertical="center"/>
    </xf>
    <xf numFmtId="0" fontId="1" fillId="24" borderId="101" xfId="0" applyFont="1" applyFill="1" applyBorder="1" applyAlignment="1">
      <alignment horizontal="left" vertical="center"/>
    </xf>
    <xf numFmtId="0" fontId="1" fillId="24" borderId="9" xfId="0" applyFont="1" applyFill="1" applyBorder="1" applyAlignment="1">
      <alignment horizontal="left" vertical="center"/>
    </xf>
    <xf numFmtId="0" fontId="1" fillId="24" borderId="102" xfId="0" applyFont="1" applyFill="1" applyBorder="1" applyAlignment="1">
      <alignment horizontal="left" vertical="center"/>
    </xf>
    <xf numFmtId="0" fontId="1" fillId="24" borderId="103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1" fillId="24" borderId="104" xfId="0" applyFont="1" applyFill="1" applyBorder="1" applyAlignment="1">
      <alignment horizontal="left" vertical="center" wrapText="1"/>
    </xf>
    <xf numFmtId="0" fontId="42" fillId="24" borderId="105" xfId="0" applyFont="1" applyFill="1" applyBorder="1" applyAlignment="1">
      <alignment horizontal="left" vertical="center"/>
    </xf>
    <xf numFmtId="0" fontId="1" fillId="24" borderId="106" xfId="0" applyFont="1" applyFill="1" applyBorder="1" applyAlignment="1">
      <alignment horizontal="left" vertical="center"/>
    </xf>
    <xf numFmtId="0" fontId="1" fillId="24" borderId="107" xfId="0" applyFont="1" applyFill="1" applyBorder="1" applyAlignment="1">
      <alignment horizontal="left" vertical="center"/>
    </xf>
    <xf numFmtId="0" fontId="1" fillId="16" borderId="12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4" fillId="0" borderId="42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1" fillId="24" borderId="24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40" fillId="2" borderId="42" xfId="0" applyFont="1" applyFill="1" applyBorder="1" applyAlignment="1">
      <alignment horizontal="left"/>
    </xf>
    <xf numFmtId="0" fontId="15" fillId="2" borderId="44" xfId="0" applyFont="1" applyFill="1" applyBorder="1" applyAlignment="1">
      <alignment horizontal="left"/>
    </xf>
    <xf numFmtId="0" fontId="15" fillId="2" borderId="43" xfId="0" applyFont="1" applyFill="1" applyBorder="1" applyAlignment="1">
      <alignment horizontal="left"/>
    </xf>
  </cellXfs>
  <cellStyles count="400">
    <cellStyle name="20% - Ênfase1 2" xfId="3" xr:uid="{00000000-0005-0000-0000-000000000000}"/>
    <cellStyle name="20% - Ênfase2 2" xfId="4" xr:uid="{00000000-0005-0000-0000-000001000000}"/>
    <cellStyle name="20% - Ênfase3 2" xfId="5" xr:uid="{00000000-0005-0000-0000-000002000000}"/>
    <cellStyle name="20% - Ênfase4 2" xfId="6" xr:uid="{00000000-0005-0000-0000-000003000000}"/>
    <cellStyle name="20% - Ênfase5 2" xfId="7" xr:uid="{00000000-0005-0000-0000-000004000000}"/>
    <cellStyle name="20% - Ênfase6 2" xfId="8" xr:uid="{00000000-0005-0000-0000-000005000000}"/>
    <cellStyle name="40% - Ênfase1 2" xfId="9" xr:uid="{00000000-0005-0000-0000-000006000000}"/>
    <cellStyle name="40% - Ênfase2 2" xfId="10" xr:uid="{00000000-0005-0000-0000-000007000000}"/>
    <cellStyle name="40% - Ênfase3 2" xfId="11" xr:uid="{00000000-0005-0000-0000-000008000000}"/>
    <cellStyle name="40% - Ênfase4 2" xfId="12" xr:uid="{00000000-0005-0000-0000-000009000000}"/>
    <cellStyle name="40% - Ênfase5 2" xfId="13" xr:uid="{00000000-0005-0000-0000-00000A000000}"/>
    <cellStyle name="40% - Ênfase6 2" xfId="14" xr:uid="{00000000-0005-0000-0000-00000B000000}"/>
    <cellStyle name="Comma 2" xfId="15" xr:uid="{00000000-0005-0000-0000-00000C000000}"/>
    <cellStyle name="Hyperlink" xfId="399" xr:uid="{00000000-0005-0000-0000-00000D000000}"/>
    <cellStyle name="Moeda" xfId="395" builtinId="4"/>
    <cellStyle name="Moeda 2" xfId="16" xr:uid="{00000000-0005-0000-0000-00000F000000}"/>
    <cellStyle name="Moeda 2 2" xfId="17" xr:uid="{00000000-0005-0000-0000-000010000000}"/>
    <cellStyle name="Moeda 2 2 2" xfId="388" xr:uid="{00000000-0005-0000-0000-000011000000}"/>
    <cellStyle name="Moeda 2 3" xfId="18" xr:uid="{00000000-0005-0000-0000-000012000000}"/>
    <cellStyle name="Moeda 2 4" xfId="387" xr:uid="{00000000-0005-0000-0000-000013000000}"/>
    <cellStyle name="Moeda 3" xfId="19" xr:uid="{00000000-0005-0000-0000-000014000000}"/>
    <cellStyle name="Moeda 4" xfId="397" xr:uid="{00000000-0005-0000-0000-000015000000}"/>
    <cellStyle name="Normal" xfId="0" builtinId="0"/>
    <cellStyle name="Normal 10 10" xfId="20" xr:uid="{00000000-0005-0000-0000-000017000000}"/>
    <cellStyle name="Normal 10 11" xfId="21" xr:uid="{00000000-0005-0000-0000-000018000000}"/>
    <cellStyle name="Normal 10 12" xfId="22" xr:uid="{00000000-0005-0000-0000-000019000000}"/>
    <cellStyle name="Normal 10 13" xfId="23" xr:uid="{00000000-0005-0000-0000-00001A000000}"/>
    <cellStyle name="Normal 10 14" xfId="24" xr:uid="{00000000-0005-0000-0000-00001B000000}"/>
    <cellStyle name="Normal 10 15" xfId="25" xr:uid="{00000000-0005-0000-0000-00001C000000}"/>
    <cellStyle name="Normal 10 16" xfId="26" xr:uid="{00000000-0005-0000-0000-00001D000000}"/>
    <cellStyle name="Normal 10 17" xfId="27" xr:uid="{00000000-0005-0000-0000-00001E000000}"/>
    <cellStyle name="Normal 10 18" xfId="28" xr:uid="{00000000-0005-0000-0000-00001F000000}"/>
    <cellStyle name="Normal 10 19" xfId="29" xr:uid="{00000000-0005-0000-0000-000020000000}"/>
    <cellStyle name="Normal 10 2" xfId="30" xr:uid="{00000000-0005-0000-0000-000021000000}"/>
    <cellStyle name="Normal 10 20" xfId="31" xr:uid="{00000000-0005-0000-0000-000022000000}"/>
    <cellStyle name="Normal 10 21" xfId="32" xr:uid="{00000000-0005-0000-0000-000023000000}"/>
    <cellStyle name="Normal 10 22" xfId="33" xr:uid="{00000000-0005-0000-0000-000024000000}"/>
    <cellStyle name="Normal 10 23" xfId="34" xr:uid="{00000000-0005-0000-0000-000025000000}"/>
    <cellStyle name="Normal 10 24" xfId="35" xr:uid="{00000000-0005-0000-0000-000026000000}"/>
    <cellStyle name="Normal 10 25" xfId="36" xr:uid="{00000000-0005-0000-0000-000027000000}"/>
    <cellStyle name="Normal 10 26" xfId="37" xr:uid="{00000000-0005-0000-0000-000028000000}"/>
    <cellStyle name="Normal 10 27" xfId="38" xr:uid="{00000000-0005-0000-0000-000029000000}"/>
    <cellStyle name="Normal 10 28" xfId="39" xr:uid="{00000000-0005-0000-0000-00002A000000}"/>
    <cellStyle name="Normal 10 29" xfId="40" xr:uid="{00000000-0005-0000-0000-00002B000000}"/>
    <cellStyle name="Normal 10 3" xfId="41" xr:uid="{00000000-0005-0000-0000-00002C000000}"/>
    <cellStyle name="Normal 10 30" xfId="42" xr:uid="{00000000-0005-0000-0000-00002D000000}"/>
    <cellStyle name="Normal 10 31" xfId="43" xr:uid="{00000000-0005-0000-0000-00002E000000}"/>
    <cellStyle name="Normal 10 32" xfId="44" xr:uid="{00000000-0005-0000-0000-00002F000000}"/>
    <cellStyle name="Normal 10 33" xfId="45" xr:uid="{00000000-0005-0000-0000-000030000000}"/>
    <cellStyle name="Normal 10 34" xfId="46" xr:uid="{00000000-0005-0000-0000-000031000000}"/>
    <cellStyle name="Normal 10 35" xfId="47" xr:uid="{00000000-0005-0000-0000-000032000000}"/>
    <cellStyle name="Normal 10 36" xfId="48" xr:uid="{00000000-0005-0000-0000-000033000000}"/>
    <cellStyle name="Normal 10 37" xfId="49" xr:uid="{00000000-0005-0000-0000-000034000000}"/>
    <cellStyle name="Normal 10 38" xfId="50" xr:uid="{00000000-0005-0000-0000-000035000000}"/>
    <cellStyle name="Normal 10 39" xfId="51" xr:uid="{00000000-0005-0000-0000-000036000000}"/>
    <cellStyle name="Normal 10 4" xfId="52" xr:uid="{00000000-0005-0000-0000-000037000000}"/>
    <cellStyle name="Normal 10 5" xfId="53" xr:uid="{00000000-0005-0000-0000-000038000000}"/>
    <cellStyle name="Normal 10 6" xfId="54" xr:uid="{00000000-0005-0000-0000-000039000000}"/>
    <cellStyle name="Normal 10 7" xfId="55" xr:uid="{00000000-0005-0000-0000-00003A000000}"/>
    <cellStyle name="Normal 10 8" xfId="56" xr:uid="{00000000-0005-0000-0000-00003B000000}"/>
    <cellStyle name="Normal 10 9" xfId="57" xr:uid="{00000000-0005-0000-0000-00003C000000}"/>
    <cellStyle name="Normal 11 10" xfId="58" xr:uid="{00000000-0005-0000-0000-00003D000000}"/>
    <cellStyle name="Normal 11 11" xfId="59" xr:uid="{00000000-0005-0000-0000-00003E000000}"/>
    <cellStyle name="Normal 11 12" xfId="60" xr:uid="{00000000-0005-0000-0000-00003F000000}"/>
    <cellStyle name="Normal 11 13" xfId="61" xr:uid="{00000000-0005-0000-0000-000040000000}"/>
    <cellStyle name="Normal 11 14" xfId="62" xr:uid="{00000000-0005-0000-0000-000041000000}"/>
    <cellStyle name="Normal 11 15" xfId="63" xr:uid="{00000000-0005-0000-0000-000042000000}"/>
    <cellStyle name="Normal 11 16" xfId="64" xr:uid="{00000000-0005-0000-0000-000043000000}"/>
    <cellStyle name="Normal 11 17" xfId="65" xr:uid="{00000000-0005-0000-0000-000044000000}"/>
    <cellStyle name="Normal 11 18" xfId="66" xr:uid="{00000000-0005-0000-0000-000045000000}"/>
    <cellStyle name="Normal 11 19" xfId="67" xr:uid="{00000000-0005-0000-0000-000046000000}"/>
    <cellStyle name="Normal 11 2" xfId="68" xr:uid="{00000000-0005-0000-0000-000047000000}"/>
    <cellStyle name="Normal 11 20" xfId="69" xr:uid="{00000000-0005-0000-0000-000048000000}"/>
    <cellStyle name="Normal 11 21" xfId="70" xr:uid="{00000000-0005-0000-0000-000049000000}"/>
    <cellStyle name="Normal 11 22" xfId="71" xr:uid="{00000000-0005-0000-0000-00004A000000}"/>
    <cellStyle name="Normal 11 23" xfId="72" xr:uid="{00000000-0005-0000-0000-00004B000000}"/>
    <cellStyle name="Normal 11 24" xfId="73" xr:uid="{00000000-0005-0000-0000-00004C000000}"/>
    <cellStyle name="Normal 11 25" xfId="74" xr:uid="{00000000-0005-0000-0000-00004D000000}"/>
    <cellStyle name="Normal 11 26" xfId="75" xr:uid="{00000000-0005-0000-0000-00004E000000}"/>
    <cellStyle name="Normal 11 27" xfId="76" xr:uid="{00000000-0005-0000-0000-00004F000000}"/>
    <cellStyle name="Normal 11 28" xfId="77" xr:uid="{00000000-0005-0000-0000-000050000000}"/>
    <cellStyle name="Normal 11 29" xfId="78" xr:uid="{00000000-0005-0000-0000-000051000000}"/>
    <cellStyle name="Normal 11 3" xfId="79" xr:uid="{00000000-0005-0000-0000-000052000000}"/>
    <cellStyle name="Normal 11 30" xfId="80" xr:uid="{00000000-0005-0000-0000-000053000000}"/>
    <cellStyle name="Normal 11 31" xfId="81" xr:uid="{00000000-0005-0000-0000-000054000000}"/>
    <cellStyle name="Normal 11 32" xfId="82" xr:uid="{00000000-0005-0000-0000-000055000000}"/>
    <cellStyle name="Normal 11 33" xfId="83" xr:uid="{00000000-0005-0000-0000-000056000000}"/>
    <cellStyle name="Normal 11 34" xfId="84" xr:uid="{00000000-0005-0000-0000-000057000000}"/>
    <cellStyle name="Normal 11 35" xfId="85" xr:uid="{00000000-0005-0000-0000-000058000000}"/>
    <cellStyle name="Normal 11 36" xfId="86" xr:uid="{00000000-0005-0000-0000-000059000000}"/>
    <cellStyle name="Normal 11 37" xfId="87" xr:uid="{00000000-0005-0000-0000-00005A000000}"/>
    <cellStyle name="Normal 11 38" xfId="88" xr:uid="{00000000-0005-0000-0000-00005B000000}"/>
    <cellStyle name="Normal 11 39" xfId="89" xr:uid="{00000000-0005-0000-0000-00005C000000}"/>
    <cellStyle name="Normal 11 4" xfId="90" xr:uid="{00000000-0005-0000-0000-00005D000000}"/>
    <cellStyle name="Normal 11 5" xfId="91" xr:uid="{00000000-0005-0000-0000-00005E000000}"/>
    <cellStyle name="Normal 11 6" xfId="92" xr:uid="{00000000-0005-0000-0000-00005F000000}"/>
    <cellStyle name="Normal 11 7" xfId="93" xr:uid="{00000000-0005-0000-0000-000060000000}"/>
    <cellStyle name="Normal 11 8" xfId="94" xr:uid="{00000000-0005-0000-0000-000061000000}"/>
    <cellStyle name="Normal 11 9" xfId="95" xr:uid="{00000000-0005-0000-0000-000062000000}"/>
    <cellStyle name="Normal 15" xfId="96" xr:uid="{00000000-0005-0000-0000-000063000000}"/>
    <cellStyle name="Normal 16" xfId="97" xr:uid="{00000000-0005-0000-0000-000064000000}"/>
    <cellStyle name="Normal 17" xfId="98" xr:uid="{00000000-0005-0000-0000-000065000000}"/>
    <cellStyle name="Normal 2" xfId="99" xr:uid="{00000000-0005-0000-0000-000066000000}"/>
    <cellStyle name="Normal 2 2" xfId="100" xr:uid="{00000000-0005-0000-0000-000067000000}"/>
    <cellStyle name="Normal 2 3" xfId="101" xr:uid="{00000000-0005-0000-0000-000068000000}"/>
    <cellStyle name="Normal 2 4" xfId="102" xr:uid="{00000000-0005-0000-0000-000069000000}"/>
    <cellStyle name="Normal 28" xfId="103" xr:uid="{00000000-0005-0000-0000-00006A000000}"/>
    <cellStyle name="Normal 3" xfId="104" xr:uid="{00000000-0005-0000-0000-00006B000000}"/>
    <cellStyle name="Normal 3 10" xfId="105" xr:uid="{00000000-0005-0000-0000-00006C000000}"/>
    <cellStyle name="Normal 3 11" xfId="106" xr:uid="{00000000-0005-0000-0000-00006D000000}"/>
    <cellStyle name="Normal 3 12" xfId="107" xr:uid="{00000000-0005-0000-0000-00006E000000}"/>
    <cellStyle name="Normal 3 13" xfId="108" xr:uid="{00000000-0005-0000-0000-00006F000000}"/>
    <cellStyle name="Normal 3 14" xfId="109" xr:uid="{00000000-0005-0000-0000-000070000000}"/>
    <cellStyle name="Normal 3 15" xfId="110" xr:uid="{00000000-0005-0000-0000-000071000000}"/>
    <cellStyle name="Normal 3 16" xfId="111" xr:uid="{00000000-0005-0000-0000-000072000000}"/>
    <cellStyle name="Normal 3 17" xfId="112" xr:uid="{00000000-0005-0000-0000-000073000000}"/>
    <cellStyle name="Normal 3 18" xfId="113" xr:uid="{00000000-0005-0000-0000-000074000000}"/>
    <cellStyle name="Normal 3 19" xfId="114" xr:uid="{00000000-0005-0000-0000-000075000000}"/>
    <cellStyle name="Normal 3 2" xfId="115" xr:uid="{00000000-0005-0000-0000-000076000000}"/>
    <cellStyle name="Normal 3 20" xfId="116" xr:uid="{00000000-0005-0000-0000-000077000000}"/>
    <cellStyle name="Normal 3 21" xfId="117" xr:uid="{00000000-0005-0000-0000-000078000000}"/>
    <cellStyle name="Normal 3 22" xfId="118" xr:uid="{00000000-0005-0000-0000-000079000000}"/>
    <cellStyle name="Normal 3 23" xfId="119" xr:uid="{00000000-0005-0000-0000-00007A000000}"/>
    <cellStyle name="Normal 3 24" xfId="120" xr:uid="{00000000-0005-0000-0000-00007B000000}"/>
    <cellStyle name="Normal 3 25" xfId="121" xr:uid="{00000000-0005-0000-0000-00007C000000}"/>
    <cellStyle name="Normal 3 26" xfId="122" xr:uid="{00000000-0005-0000-0000-00007D000000}"/>
    <cellStyle name="Normal 3 27" xfId="123" xr:uid="{00000000-0005-0000-0000-00007E000000}"/>
    <cellStyle name="Normal 3 28" xfId="124" xr:uid="{00000000-0005-0000-0000-00007F000000}"/>
    <cellStyle name="Normal 3 29" xfId="125" xr:uid="{00000000-0005-0000-0000-000080000000}"/>
    <cellStyle name="Normal 3 3" xfId="126" xr:uid="{00000000-0005-0000-0000-000081000000}"/>
    <cellStyle name="Normal 3 30" xfId="127" xr:uid="{00000000-0005-0000-0000-000082000000}"/>
    <cellStyle name="Normal 3 31" xfId="128" xr:uid="{00000000-0005-0000-0000-000083000000}"/>
    <cellStyle name="Normal 3 32" xfId="129" xr:uid="{00000000-0005-0000-0000-000084000000}"/>
    <cellStyle name="Normal 3 33" xfId="130" xr:uid="{00000000-0005-0000-0000-000085000000}"/>
    <cellStyle name="Normal 3 34" xfId="131" xr:uid="{00000000-0005-0000-0000-000086000000}"/>
    <cellStyle name="Normal 3 35" xfId="132" xr:uid="{00000000-0005-0000-0000-000087000000}"/>
    <cellStyle name="Normal 3 36" xfId="133" xr:uid="{00000000-0005-0000-0000-000088000000}"/>
    <cellStyle name="Normal 3 37" xfId="134" xr:uid="{00000000-0005-0000-0000-000089000000}"/>
    <cellStyle name="Normal 3 38" xfId="135" xr:uid="{00000000-0005-0000-0000-00008A000000}"/>
    <cellStyle name="Normal 3 39" xfId="136" xr:uid="{00000000-0005-0000-0000-00008B000000}"/>
    <cellStyle name="Normal 3 4" xfId="137" xr:uid="{00000000-0005-0000-0000-00008C000000}"/>
    <cellStyle name="Normal 3 40" xfId="138" xr:uid="{00000000-0005-0000-0000-00008D000000}"/>
    <cellStyle name="Normal 3 5" xfId="139" xr:uid="{00000000-0005-0000-0000-00008E000000}"/>
    <cellStyle name="Normal 3 6" xfId="140" xr:uid="{00000000-0005-0000-0000-00008F000000}"/>
    <cellStyle name="Normal 3 7" xfId="141" xr:uid="{00000000-0005-0000-0000-000090000000}"/>
    <cellStyle name="Normal 3 8" xfId="142" xr:uid="{00000000-0005-0000-0000-000091000000}"/>
    <cellStyle name="Normal 3 9" xfId="143" xr:uid="{00000000-0005-0000-0000-000092000000}"/>
    <cellStyle name="Normal 4" xfId="144" xr:uid="{00000000-0005-0000-0000-000093000000}"/>
    <cellStyle name="Normal 4 10" xfId="145" xr:uid="{00000000-0005-0000-0000-000094000000}"/>
    <cellStyle name="Normal 4 11" xfId="146" xr:uid="{00000000-0005-0000-0000-000095000000}"/>
    <cellStyle name="Normal 4 12" xfId="147" xr:uid="{00000000-0005-0000-0000-000096000000}"/>
    <cellStyle name="Normal 4 13" xfId="148" xr:uid="{00000000-0005-0000-0000-000097000000}"/>
    <cellStyle name="Normal 4 14" xfId="149" xr:uid="{00000000-0005-0000-0000-000098000000}"/>
    <cellStyle name="Normal 4 15" xfId="150" xr:uid="{00000000-0005-0000-0000-000099000000}"/>
    <cellStyle name="Normal 4 16" xfId="151" xr:uid="{00000000-0005-0000-0000-00009A000000}"/>
    <cellStyle name="Normal 4 17" xfId="152" xr:uid="{00000000-0005-0000-0000-00009B000000}"/>
    <cellStyle name="Normal 4 18" xfId="153" xr:uid="{00000000-0005-0000-0000-00009C000000}"/>
    <cellStyle name="Normal 4 19" xfId="154" xr:uid="{00000000-0005-0000-0000-00009D000000}"/>
    <cellStyle name="Normal 4 2" xfId="155" xr:uid="{00000000-0005-0000-0000-00009E000000}"/>
    <cellStyle name="Normal 4 20" xfId="156" xr:uid="{00000000-0005-0000-0000-00009F000000}"/>
    <cellStyle name="Normal 4 21" xfId="157" xr:uid="{00000000-0005-0000-0000-0000A0000000}"/>
    <cellStyle name="Normal 4 22" xfId="158" xr:uid="{00000000-0005-0000-0000-0000A1000000}"/>
    <cellStyle name="Normal 4 23" xfId="159" xr:uid="{00000000-0005-0000-0000-0000A2000000}"/>
    <cellStyle name="Normal 4 24" xfId="160" xr:uid="{00000000-0005-0000-0000-0000A3000000}"/>
    <cellStyle name="Normal 4 25" xfId="161" xr:uid="{00000000-0005-0000-0000-0000A4000000}"/>
    <cellStyle name="Normal 4 26" xfId="162" xr:uid="{00000000-0005-0000-0000-0000A5000000}"/>
    <cellStyle name="Normal 4 27" xfId="163" xr:uid="{00000000-0005-0000-0000-0000A6000000}"/>
    <cellStyle name="Normal 4 28" xfId="164" xr:uid="{00000000-0005-0000-0000-0000A7000000}"/>
    <cellStyle name="Normal 4 29" xfId="165" xr:uid="{00000000-0005-0000-0000-0000A8000000}"/>
    <cellStyle name="Normal 4 3" xfId="166" xr:uid="{00000000-0005-0000-0000-0000A9000000}"/>
    <cellStyle name="Normal 4 30" xfId="167" xr:uid="{00000000-0005-0000-0000-0000AA000000}"/>
    <cellStyle name="Normal 4 31" xfId="168" xr:uid="{00000000-0005-0000-0000-0000AB000000}"/>
    <cellStyle name="Normal 4 32" xfId="169" xr:uid="{00000000-0005-0000-0000-0000AC000000}"/>
    <cellStyle name="Normal 4 33" xfId="170" xr:uid="{00000000-0005-0000-0000-0000AD000000}"/>
    <cellStyle name="Normal 4 34" xfId="171" xr:uid="{00000000-0005-0000-0000-0000AE000000}"/>
    <cellStyle name="Normal 4 35" xfId="172" xr:uid="{00000000-0005-0000-0000-0000AF000000}"/>
    <cellStyle name="Normal 4 36" xfId="173" xr:uid="{00000000-0005-0000-0000-0000B0000000}"/>
    <cellStyle name="Normal 4 37" xfId="174" xr:uid="{00000000-0005-0000-0000-0000B1000000}"/>
    <cellStyle name="Normal 4 38" xfId="175" xr:uid="{00000000-0005-0000-0000-0000B2000000}"/>
    <cellStyle name="Normal 4 39" xfId="176" xr:uid="{00000000-0005-0000-0000-0000B3000000}"/>
    <cellStyle name="Normal 4 4" xfId="177" xr:uid="{00000000-0005-0000-0000-0000B4000000}"/>
    <cellStyle name="Normal 4 5" xfId="178" xr:uid="{00000000-0005-0000-0000-0000B5000000}"/>
    <cellStyle name="Normal 4 6" xfId="179" xr:uid="{00000000-0005-0000-0000-0000B6000000}"/>
    <cellStyle name="Normal 4 7" xfId="180" xr:uid="{00000000-0005-0000-0000-0000B7000000}"/>
    <cellStyle name="Normal 4 8" xfId="181" xr:uid="{00000000-0005-0000-0000-0000B8000000}"/>
    <cellStyle name="Normal 4 9" xfId="182" xr:uid="{00000000-0005-0000-0000-0000B9000000}"/>
    <cellStyle name="Normal 5" xfId="183" xr:uid="{00000000-0005-0000-0000-0000BA000000}"/>
    <cellStyle name="Normal 5 10" xfId="184" xr:uid="{00000000-0005-0000-0000-0000BB000000}"/>
    <cellStyle name="Normal 5 11" xfId="185" xr:uid="{00000000-0005-0000-0000-0000BC000000}"/>
    <cellStyle name="Normal 5 12" xfId="186" xr:uid="{00000000-0005-0000-0000-0000BD000000}"/>
    <cellStyle name="Normal 5 13" xfId="187" xr:uid="{00000000-0005-0000-0000-0000BE000000}"/>
    <cellStyle name="Normal 5 14" xfId="188" xr:uid="{00000000-0005-0000-0000-0000BF000000}"/>
    <cellStyle name="Normal 5 15" xfId="189" xr:uid="{00000000-0005-0000-0000-0000C0000000}"/>
    <cellStyle name="Normal 5 16" xfId="190" xr:uid="{00000000-0005-0000-0000-0000C1000000}"/>
    <cellStyle name="Normal 5 17" xfId="191" xr:uid="{00000000-0005-0000-0000-0000C2000000}"/>
    <cellStyle name="Normal 5 18" xfId="192" xr:uid="{00000000-0005-0000-0000-0000C3000000}"/>
    <cellStyle name="Normal 5 19" xfId="193" xr:uid="{00000000-0005-0000-0000-0000C4000000}"/>
    <cellStyle name="Normal 5 2" xfId="194" xr:uid="{00000000-0005-0000-0000-0000C5000000}"/>
    <cellStyle name="Normal 5 20" xfId="195" xr:uid="{00000000-0005-0000-0000-0000C6000000}"/>
    <cellStyle name="Normal 5 21" xfId="196" xr:uid="{00000000-0005-0000-0000-0000C7000000}"/>
    <cellStyle name="Normal 5 22" xfId="197" xr:uid="{00000000-0005-0000-0000-0000C8000000}"/>
    <cellStyle name="Normal 5 23" xfId="198" xr:uid="{00000000-0005-0000-0000-0000C9000000}"/>
    <cellStyle name="Normal 5 24" xfId="199" xr:uid="{00000000-0005-0000-0000-0000CA000000}"/>
    <cellStyle name="Normal 5 25" xfId="200" xr:uid="{00000000-0005-0000-0000-0000CB000000}"/>
    <cellStyle name="Normal 5 26" xfId="201" xr:uid="{00000000-0005-0000-0000-0000CC000000}"/>
    <cellStyle name="Normal 5 27" xfId="202" xr:uid="{00000000-0005-0000-0000-0000CD000000}"/>
    <cellStyle name="Normal 5 28" xfId="203" xr:uid="{00000000-0005-0000-0000-0000CE000000}"/>
    <cellStyle name="Normal 5 29" xfId="204" xr:uid="{00000000-0005-0000-0000-0000CF000000}"/>
    <cellStyle name="Normal 5 3" xfId="205" xr:uid="{00000000-0005-0000-0000-0000D0000000}"/>
    <cellStyle name="Normal 5 30" xfId="206" xr:uid="{00000000-0005-0000-0000-0000D1000000}"/>
    <cellStyle name="Normal 5 31" xfId="207" xr:uid="{00000000-0005-0000-0000-0000D2000000}"/>
    <cellStyle name="Normal 5 32" xfId="208" xr:uid="{00000000-0005-0000-0000-0000D3000000}"/>
    <cellStyle name="Normal 5 33" xfId="209" xr:uid="{00000000-0005-0000-0000-0000D4000000}"/>
    <cellStyle name="Normal 5 34" xfId="210" xr:uid="{00000000-0005-0000-0000-0000D5000000}"/>
    <cellStyle name="Normal 5 35" xfId="211" xr:uid="{00000000-0005-0000-0000-0000D6000000}"/>
    <cellStyle name="Normal 5 36" xfId="212" xr:uid="{00000000-0005-0000-0000-0000D7000000}"/>
    <cellStyle name="Normal 5 37" xfId="213" xr:uid="{00000000-0005-0000-0000-0000D8000000}"/>
    <cellStyle name="Normal 5 38" xfId="214" xr:uid="{00000000-0005-0000-0000-0000D9000000}"/>
    <cellStyle name="Normal 5 39" xfId="215" xr:uid="{00000000-0005-0000-0000-0000DA000000}"/>
    <cellStyle name="Normal 5 4" xfId="216" xr:uid="{00000000-0005-0000-0000-0000DB000000}"/>
    <cellStyle name="Normal 5 40" xfId="217" xr:uid="{00000000-0005-0000-0000-0000DC000000}"/>
    <cellStyle name="Normal 5 5" xfId="218" xr:uid="{00000000-0005-0000-0000-0000DD000000}"/>
    <cellStyle name="Normal 5 6" xfId="219" xr:uid="{00000000-0005-0000-0000-0000DE000000}"/>
    <cellStyle name="Normal 5 7" xfId="220" xr:uid="{00000000-0005-0000-0000-0000DF000000}"/>
    <cellStyle name="Normal 5 8" xfId="221" xr:uid="{00000000-0005-0000-0000-0000E0000000}"/>
    <cellStyle name="Normal 5 9" xfId="222" xr:uid="{00000000-0005-0000-0000-0000E1000000}"/>
    <cellStyle name="Normal 50" xfId="223" xr:uid="{00000000-0005-0000-0000-0000E2000000}"/>
    <cellStyle name="Normal 6" xfId="396" xr:uid="{00000000-0005-0000-0000-0000E3000000}"/>
    <cellStyle name="Normal 6 10" xfId="224" xr:uid="{00000000-0005-0000-0000-0000E4000000}"/>
    <cellStyle name="Normal 6 11" xfId="225" xr:uid="{00000000-0005-0000-0000-0000E5000000}"/>
    <cellStyle name="Normal 6 12" xfId="226" xr:uid="{00000000-0005-0000-0000-0000E6000000}"/>
    <cellStyle name="Normal 6 13" xfId="227" xr:uid="{00000000-0005-0000-0000-0000E7000000}"/>
    <cellStyle name="Normal 6 14" xfId="228" xr:uid="{00000000-0005-0000-0000-0000E8000000}"/>
    <cellStyle name="Normal 6 15" xfId="229" xr:uid="{00000000-0005-0000-0000-0000E9000000}"/>
    <cellStyle name="Normal 6 16" xfId="230" xr:uid="{00000000-0005-0000-0000-0000EA000000}"/>
    <cellStyle name="Normal 6 17" xfId="231" xr:uid="{00000000-0005-0000-0000-0000EB000000}"/>
    <cellStyle name="Normal 6 18" xfId="232" xr:uid="{00000000-0005-0000-0000-0000EC000000}"/>
    <cellStyle name="Normal 6 19" xfId="233" xr:uid="{00000000-0005-0000-0000-0000ED000000}"/>
    <cellStyle name="Normal 6 2" xfId="234" xr:uid="{00000000-0005-0000-0000-0000EE000000}"/>
    <cellStyle name="Normal 6 20" xfId="235" xr:uid="{00000000-0005-0000-0000-0000EF000000}"/>
    <cellStyle name="Normal 6 21" xfId="236" xr:uid="{00000000-0005-0000-0000-0000F0000000}"/>
    <cellStyle name="Normal 6 22" xfId="237" xr:uid="{00000000-0005-0000-0000-0000F1000000}"/>
    <cellStyle name="Normal 6 23" xfId="238" xr:uid="{00000000-0005-0000-0000-0000F2000000}"/>
    <cellStyle name="Normal 6 24" xfId="239" xr:uid="{00000000-0005-0000-0000-0000F3000000}"/>
    <cellStyle name="Normal 6 25" xfId="240" xr:uid="{00000000-0005-0000-0000-0000F4000000}"/>
    <cellStyle name="Normal 6 26" xfId="241" xr:uid="{00000000-0005-0000-0000-0000F5000000}"/>
    <cellStyle name="Normal 6 27" xfId="242" xr:uid="{00000000-0005-0000-0000-0000F6000000}"/>
    <cellStyle name="Normal 6 28" xfId="243" xr:uid="{00000000-0005-0000-0000-0000F7000000}"/>
    <cellStyle name="Normal 6 29" xfId="244" xr:uid="{00000000-0005-0000-0000-0000F8000000}"/>
    <cellStyle name="Normal 6 3" xfId="245" xr:uid="{00000000-0005-0000-0000-0000F9000000}"/>
    <cellStyle name="Normal 6 30" xfId="246" xr:uid="{00000000-0005-0000-0000-0000FA000000}"/>
    <cellStyle name="Normal 6 31" xfId="247" xr:uid="{00000000-0005-0000-0000-0000FB000000}"/>
    <cellStyle name="Normal 6 32" xfId="248" xr:uid="{00000000-0005-0000-0000-0000FC000000}"/>
    <cellStyle name="Normal 6 33" xfId="249" xr:uid="{00000000-0005-0000-0000-0000FD000000}"/>
    <cellStyle name="Normal 6 34" xfId="250" xr:uid="{00000000-0005-0000-0000-0000FE000000}"/>
    <cellStyle name="Normal 6 35" xfId="251" xr:uid="{00000000-0005-0000-0000-0000FF000000}"/>
    <cellStyle name="Normal 6 36" xfId="252" xr:uid="{00000000-0005-0000-0000-000000010000}"/>
    <cellStyle name="Normal 6 37" xfId="253" xr:uid="{00000000-0005-0000-0000-000001010000}"/>
    <cellStyle name="Normal 6 38" xfId="254" xr:uid="{00000000-0005-0000-0000-000002010000}"/>
    <cellStyle name="Normal 6 39" xfId="255" xr:uid="{00000000-0005-0000-0000-000003010000}"/>
    <cellStyle name="Normal 6 4" xfId="256" xr:uid="{00000000-0005-0000-0000-000004010000}"/>
    <cellStyle name="Normal 6 5" xfId="257" xr:uid="{00000000-0005-0000-0000-000005010000}"/>
    <cellStyle name="Normal 6 6" xfId="258" xr:uid="{00000000-0005-0000-0000-000006010000}"/>
    <cellStyle name="Normal 6 7" xfId="259" xr:uid="{00000000-0005-0000-0000-000007010000}"/>
    <cellStyle name="Normal 6 8" xfId="260" xr:uid="{00000000-0005-0000-0000-000008010000}"/>
    <cellStyle name="Normal 6 9" xfId="261" xr:uid="{00000000-0005-0000-0000-000009010000}"/>
    <cellStyle name="Normal 7" xfId="262" xr:uid="{00000000-0005-0000-0000-00000A010000}"/>
    <cellStyle name="Normal 7 10" xfId="263" xr:uid="{00000000-0005-0000-0000-00000B010000}"/>
    <cellStyle name="Normal 7 11" xfId="264" xr:uid="{00000000-0005-0000-0000-00000C010000}"/>
    <cellStyle name="Normal 7 12" xfId="265" xr:uid="{00000000-0005-0000-0000-00000D010000}"/>
    <cellStyle name="Normal 7 13" xfId="266" xr:uid="{00000000-0005-0000-0000-00000E010000}"/>
    <cellStyle name="Normal 7 14" xfId="267" xr:uid="{00000000-0005-0000-0000-00000F010000}"/>
    <cellStyle name="Normal 7 15" xfId="268" xr:uid="{00000000-0005-0000-0000-000010010000}"/>
    <cellStyle name="Normal 7 16" xfId="269" xr:uid="{00000000-0005-0000-0000-000011010000}"/>
    <cellStyle name="Normal 7 17" xfId="270" xr:uid="{00000000-0005-0000-0000-000012010000}"/>
    <cellStyle name="Normal 7 18" xfId="271" xr:uid="{00000000-0005-0000-0000-000013010000}"/>
    <cellStyle name="Normal 7 19" xfId="272" xr:uid="{00000000-0005-0000-0000-000014010000}"/>
    <cellStyle name="Normal 7 2" xfId="273" xr:uid="{00000000-0005-0000-0000-000015010000}"/>
    <cellStyle name="Normal 7 20" xfId="274" xr:uid="{00000000-0005-0000-0000-000016010000}"/>
    <cellStyle name="Normal 7 21" xfId="275" xr:uid="{00000000-0005-0000-0000-000017010000}"/>
    <cellStyle name="Normal 7 22" xfId="276" xr:uid="{00000000-0005-0000-0000-000018010000}"/>
    <cellStyle name="Normal 7 23" xfId="277" xr:uid="{00000000-0005-0000-0000-000019010000}"/>
    <cellStyle name="Normal 7 24" xfId="278" xr:uid="{00000000-0005-0000-0000-00001A010000}"/>
    <cellStyle name="Normal 7 25" xfId="279" xr:uid="{00000000-0005-0000-0000-00001B010000}"/>
    <cellStyle name="Normal 7 26" xfId="280" xr:uid="{00000000-0005-0000-0000-00001C010000}"/>
    <cellStyle name="Normal 7 27" xfId="281" xr:uid="{00000000-0005-0000-0000-00001D010000}"/>
    <cellStyle name="Normal 7 28" xfId="282" xr:uid="{00000000-0005-0000-0000-00001E010000}"/>
    <cellStyle name="Normal 7 29" xfId="283" xr:uid="{00000000-0005-0000-0000-00001F010000}"/>
    <cellStyle name="Normal 7 3" xfId="284" xr:uid="{00000000-0005-0000-0000-000020010000}"/>
    <cellStyle name="Normal 7 30" xfId="285" xr:uid="{00000000-0005-0000-0000-000021010000}"/>
    <cellStyle name="Normal 7 31" xfId="286" xr:uid="{00000000-0005-0000-0000-000022010000}"/>
    <cellStyle name="Normal 7 32" xfId="287" xr:uid="{00000000-0005-0000-0000-000023010000}"/>
    <cellStyle name="Normal 7 33" xfId="288" xr:uid="{00000000-0005-0000-0000-000024010000}"/>
    <cellStyle name="Normal 7 34" xfId="289" xr:uid="{00000000-0005-0000-0000-000025010000}"/>
    <cellStyle name="Normal 7 35" xfId="290" xr:uid="{00000000-0005-0000-0000-000026010000}"/>
    <cellStyle name="Normal 7 36" xfId="291" xr:uid="{00000000-0005-0000-0000-000027010000}"/>
    <cellStyle name="Normal 7 37" xfId="292" xr:uid="{00000000-0005-0000-0000-000028010000}"/>
    <cellStyle name="Normal 7 38" xfId="293" xr:uid="{00000000-0005-0000-0000-000029010000}"/>
    <cellStyle name="Normal 7 39" xfId="294" xr:uid="{00000000-0005-0000-0000-00002A010000}"/>
    <cellStyle name="Normal 7 4" xfId="295" xr:uid="{00000000-0005-0000-0000-00002B010000}"/>
    <cellStyle name="Normal 7 5" xfId="296" xr:uid="{00000000-0005-0000-0000-00002C010000}"/>
    <cellStyle name="Normal 7 6" xfId="297" xr:uid="{00000000-0005-0000-0000-00002D010000}"/>
    <cellStyle name="Normal 7 7" xfId="298" xr:uid="{00000000-0005-0000-0000-00002E010000}"/>
    <cellStyle name="Normal 7 8" xfId="299" xr:uid="{00000000-0005-0000-0000-00002F010000}"/>
    <cellStyle name="Normal 7 9" xfId="300" xr:uid="{00000000-0005-0000-0000-000030010000}"/>
    <cellStyle name="Normal 8 10" xfId="301" xr:uid="{00000000-0005-0000-0000-000031010000}"/>
    <cellStyle name="Normal 8 11" xfId="302" xr:uid="{00000000-0005-0000-0000-000032010000}"/>
    <cellStyle name="Normal 8 12" xfId="303" xr:uid="{00000000-0005-0000-0000-000033010000}"/>
    <cellStyle name="Normal 8 13" xfId="304" xr:uid="{00000000-0005-0000-0000-000034010000}"/>
    <cellStyle name="Normal 8 14" xfId="305" xr:uid="{00000000-0005-0000-0000-000035010000}"/>
    <cellStyle name="Normal 8 15" xfId="306" xr:uid="{00000000-0005-0000-0000-000036010000}"/>
    <cellStyle name="Normal 8 16" xfId="307" xr:uid="{00000000-0005-0000-0000-000037010000}"/>
    <cellStyle name="Normal 8 17" xfId="308" xr:uid="{00000000-0005-0000-0000-000038010000}"/>
    <cellStyle name="Normal 8 18" xfId="309" xr:uid="{00000000-0005-0000-0000-000039010000}"/>
    <cellStyle name="Normal 8 19" xfId="310" xr:uid="{00000000-0005-0000-0000-00003A010000}"/>
    <cellStyle name="Normal 8 2" xfId="311" xr:uid="{00000000-0005-0000-0000-00003B010000}"/>
    <cellStyle name="Normal 8 20" xfId="312" xr:uid="{00000000-0005-0000-0000-00003C010000}"/>
    <cellStyle name="Normal 8 21" xfId="313" xr:uid="{00000000-0005-0000-0000-00003D010000}"/>
    <cellStyle name="Normal 8 22" xfId="314" xr:uid="{00000000-0005-0000-0000-00003E010000}"/>
    <cellStyle name="Normal 8 23" xfId="315" xr:uid="{00000000-0005-0000-0000-00003F010000}"/>
    <cellStyle name="Normal 8 24" xfId="316" xr:uid="{00000000-0005-0000-0000-000040010000}"/>
    <cellStyle name="Normal 8 25" xfId="317" xr:uid="{00000000-0005-0000-0000-000041010000}"/>
    <cellStyle name="Normal 8 26" xfId="318" xr:uid="{00000000-0005-0000-0000-000042010000}"/>
    <cellStyle name="Normal 8 27" xfId="319" xr:uid="{00000000-0005-0000-0000-000043010000}"/>
    <cellStyle name="Normal 8 28" xfId="320" xr:uid="{00000000-0005-0000-0000-000044010000}"/>
    <cellStyle name="Normal 8 29" xfId="321" xr:uid="{00000000-0005-0000-0000-000045010000}"/>
    <cellStyle name="Normal 8 3" xfId="322" xr:uid="{00000000-0005-0000-0000-000046010000}"/>
    <cellStyle name="Normal 8 30" xfId="323" xr:uid="{00000000-0005-0000-0000-000047010000}"/>
    <cellStyle name="Normal 8 31" xfId="324" xr:uid="{00000000-0005-0000-0000-000048010000}"/>
    <cellStyle name="Normal 8 32" xfId="325" xr:uid="{00000000-0005-0000-0000-000049010000}"/>
    <cellStyle name="Normal 8 33" xfId="326" xr:uid="{00000000-0005-0000-0000-00004A010000}"/>
    <cellStyle name="Normal 8 34" xfId="327" xr:uid="{00000000-0005-0000-0000-00004B010000}"/>
    <cellStyle name="Normal 8 35" xfId="328" xr:uid="{00000000-0005-0000-0000-00004C010000}"/>
    <cellStyle name="Normal 8 36" xfId="329" xr:uid="{00000000-0005-0000-0000-00004D010000}"/>
    <cellStyle name="Normal 8 37" xfId="330" xr:uid="{00000000-0005-0000-0000-00004E010000}"/>
    <cellStyle name="Normal 8 38" xfId="331" xr:uid="{00000000-0005-0000-0000-00004F010000}"/>
    <cellStyle name="Normal 8 39" xfId="332" xr:uid="{00000000-0005-0000-0000-000050010000}"/>
    <cellStyle name="Normal 8 4" xfId="333" xr:uid="{00000000-0005-0000-0000-000051010000}"/>
    <cellStyle name="Normal 8 5" xfId="334" xr:uid="{00000000-0005-0000-0000-000052010000}"/>
    <cellStyle name="Normal 8 6" xfId="335" xr:uid="{00000000-0005-0000-0000-000053010000}"/>
    <cellStyle name="Normal 8 7" xfId="336" xr:uid="{00000000-0005-0000-0000-000054010000}"/>
    <cellStyle name="Normal 8 8" xfId="337" xr:uid="{00000000-0005-0000-0000-000055010000}"/>
    <cellStyle name="Normal 8 9" xfId="338" xr:uid="{00000000-0005-0000-0000-000056010000}"/>
    <cellStyle name="Normal 9 10" xfId="339" xr:uid="{00000000-0005-0000-0000-000057010000}"/>
    <cellStyle name="Normal 9 11" xfId="340" xr:uid="{00000000-0005-0000-0000-000058010000}"/>
    <cellStyle name="Normal 9 12" xfId="341" xr:uid="{00000000-0005-0000-0000-000059010000}"/>
    <cellStyle name="Normal 9 13" xfId="342" xr:uid="{00000000-0005-0000-0000-00005A010000}"/>
    <cellStyle name="Normal 9 14" xfId="343" xr:uid="{00000000-0005-0000-0000-00005B010000}"/>
    <cellStyle name="Normal 9 15" xfId="344" xr:uid="{00000000-0005-0000-0000-00005C010000}"/>
    <cellStyle name="Normal 9 16" xfId="345" xr:uid="{00000000-0005-0000-0000-00005D010000}"/>
    <cellStyle name="Normal 9 17" xfId="346" xr:uid="{00000000-0005-0000-0000-00005E010000}"/>
    <cellStyle name="Normal 9 18" xfId="347" xr:uid="{00000000-0005-0000-0000-00005F010000}"/>
    <cellStyle name="Normal 9 19" xfId="348" xr:uid="{00000000-0005-0000-0000-000060010000}"/>
    <cellStyle name="Normal 9 2" xfId="349" xr:uid="{00000000-0005-0000-0000-000061010000}"/>
    <cellStyle name="Normal 9 20" xfId="350" xr:uid="{00000000-0005-0000-0000-000062010000}"/>
    <cellStyle name="Normal 9 21" xfId="351" xr:uid="{00000000-0005-0000-0000-000063010000}"/>
    <cellStyle name="Normal 9 22" xfId="352" xr:uid="{00000000-0005-0000-0000-000064010000}"/>
    <cellStyle name="Normal 9 23" xfId="353" xr:uid="{00000000-0005-0000-0000-000065010000}"/>
    <cellStyle name="Normal 9 24" xfId="354" xr:uid="{00000000-0005-0000-0000-000066010000}"/>
    <cellStyle name="Normal 9 25" xfId="355" xr:uid="{00000000-0005-0000-0000-000067010000}"/>
    <cellStyle name="Normal 9 26" xfId="356" xr:uid="{00000000-0005-0000-0000-000068010000}"/>
    <cellStyle name="Normal 9 27" xfId="357" xr:uid="{00000000-0005-0000-0000-000069010000}"/>
    <cellStyle name="Normal 9 28" xfId="358" xr:uid="{00000000-0005-0000-0000-00006A010000}"/>
    <cellStyle name="Normal 9 29" xfId="359" xr:uid="{00000000-0005-0000-0000-00006B010000}"/>
    <cellStyle name="Normal 9 3" xfId="360" xr:uid="{00000000-0005-0000-0000-00006C010000}"/>
    <cellStyle name="Normal 9 30" xfId="361" xr:uid="{00000000-0005-0000-0000-00006D010000}"/>
    <cellStyle name="Normal 9 31" xfId="362" xr:uid="{00000000-0005-0000-0000-00006E010000}"/>
    <cellStyle name="Normal 9 32" xfId="363" xr:uid="{00000000-0005-0000-0000-00006F010000}"/>
    <cellStyle name="Normal 9 33" xfId="364" xr:uid="{00000000-0005-0000-0000-000070010000}"/>
    <cellStyle name="Normal 9 34" xfId="365" xr:uid="{00000000-0005-0000-0000-000071010000}"/>
    <cellStyle name="Normal 9 35" xfId="366" xr:uid="{00000000-0005-0000-0000-000072010000}"/>
    <cellStyle name="Normal 9 36" xfId="367" xr:uid="{00000000-0005-0000-0000-000073010000}"/>
    <cellStyle name="Normal 9 37" xfId="368" xr:uid="{00000000-0005-0000-0000-000074010000}"/>
    <cellStyle name="Normal 9 38" xfId="369" xr:uid="{00000000-0005-0000-0000-000075010000}"/>
    <cellStyle name="Normal 9 39" xfId="370" xr:uid="{00000000-0005-0000-0000-000076010000}"/>
    <cellStyle name="Normal 9 4" xfId="371" xr:uid="{00000000-0005-0000-0000-000077010000}"/>
    <cellStyle name="Normal 9 5" xfId="372" xr:uid="{00000000-0005-0000-0000-000078010000}"/>
    <cellStyle name="Normal 9 6" xfId="373" xr:uid="{00000000-0005-0000-0000-000079010000}"/>
    <cellStyle name="Normal 9 7" xfId="374" xr:uid="{00000000-0005-0000-0000-00007A010000}"/>
    <cellStyle name="Normal 9 8" xfId="375" xr:uid="{00000000-0005-0000-0000-00007B010000}"/>
    <cellStyle name="Normal 9 9" xfId="376" xr:uid="{00000000-0005-0000-0000-00007C010000}"/>
    <cellStyle name="Nota 2" xfId="377" xr:uid="{00000000-0005-0000-0000-00007D010000}"/>
    <cellStyle name="Porcentagem" xfId="2" builtinId="5"/>
    <cellStyle name="Porcentagem 2" xfId="378" xr:uid="{00000000-0005-0000-0000-00007F010000}"/>
    <cellStyle name="Porcentagem 2 2" xfId="379" xr:uid="{00000000-0005-0000-0000-000080010000}"/>
    <cellStyle name="Porcentagem 3" xfId="398" xr:uid="{00000000-0005-0000-0000-000081010000}"/>
    <cellStyle name="Separador de milhares 2" xfId="380" xr:uid="{00000000-0005-0000-0000-000083010000}"/>
    <cellStyle name="Separador de milhares 2 2" xfId="381" xr:uid="{00000000-0005-0000-0000-000084010000}"/>
    <cellStyle name="Separador de milhares 2 2 2" xfId="390" xr:uid="{00000000-0005-0000-0000-000085010000}"/>
    <cellStyle name="Separador de milhares 2 3" xfId="382" xr:uid="{00000000-0005-0000-0000-000086010000}"/>
    <cellStyle name="Separador de milhares 2 3 2" xfId="391" xr:uid="{00000000-0005-0000-0000-000087010000}"/>
    <cellStyle name="Separador de milhares 2 4" xfId="389" xr:uid="{00000000-0005-0000-0000-000088010000}"/>
    <cellStyle name="Separador de milhares 3" xfId="383" xr:uid="{00000000-0005-0000-0000-000089010000}"/>
    <cellStyle name="Separador de milhares 3 2" xfId="392" xr:uid="{00000000-0005-0000-0000-00008A010000}"/>
    <cellStyle name="Separador de milhares 4" xfId="384" xr:uid="{00000000-0005-0000-0000-00008B010000}"/>
    <cellStyle name="Separador de milhares 4 2" xfId="393" xr:uid="{00000000-0005-0000-0000-00008C010000}"/>
    <cellStyle name="Vírgula" xfId="1" builtinId="3"/>
    <cellStyle name="Vírgula 2" xfId="385" xr:uid="{00000000-0005-0000-0000-00008D010000}"/>
    <cellStyle name="Vírgula 2 2" xfId="394" xr:uid="{00000000-0005-0000-0000-00008E010000}"/>
    <cellStyle name="Vírgula 3" xfId="386" xr:uid="{00000000-0005-0000-0000-00008F010000}"/>
  </cellStyles>
  <dxfs count="0"/>
  <tableStyles count="0" defaultTableStyle="TableStyleMedium9" defaultPivotStyle="PivotStyleLight16"/>
  <colors>
    <mruColors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23710079718325"/>
          <c:y val="0.1064629400663761"/>
          <c:w val="0.79821626644495469"/>
          <c:h val="0.76096414394481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'Curva ABC'!$D$8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'Curva ABC'!$D$9:$D$20</c:f>
              <c:numCache>
                <c:formatCode>0.00%</c:formatCode>
                <c:ptCount val="12"/>
                <c:pt idx="0">
                  <c:v>0.11225532490779574</c:v>
                </c:pt>
                <c:pt idx="1">
                  <c:v>0.11225532490779574</c:v>
                </c:pt>
                <c:pt idx="2">
                  <c:v>0.11225532490779574</c:v>
                </c:pt>
                <c:pt idx="3">
                  <c:v>5.8372768952053775E-2</c:v>
                </c:pt>
                <c:pt idx="4">
                  <c:v>3.7418441635931901E-2</c:v>
                </c:pt>
                <c:pt idx="5">
                  <c:v>3.7418441635931901E-2</c:v>
                </c:pt>
                <c:pt idx="6">
                  <c:v>3.7418441635931901E-2</c:v>
                </c:pt>
                <c:pt idx="7">
                  <c:v>3.7418441635931901E-2</c:v>
                </c:pt>
                <c:pt idx="8">
                  <c:v>3.7418441635931901E-2</c:v>
                </c:pt>
                <c:pt idx="9">
                  <c:v>3.7418441635931901E-2</c:v>
                </c:pt>
                <c:pt idx="10">
                  <c:v>2.6941277977870971E-2</c:v>
                </c:pt>
                <c:pt idx="11">
                  <c:v>2.6941277977870971E-2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2-4A36-BD87-420983DE4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771520"/>
        <c:axId val="145789696"/>
      </c:barChart>
      <c:lineChart>
        <c:grouping val="standard"/>
        <c:varyColors val="0"/>
        <c:ser>
          <c:idx val="1"/>
          <c:order val="1"/>
          <c:tx>
            <c:strRef>
              <c:f>'Curva ABC'!$E$8</c:f>
              <c:strCache>
                <c:ptCount val="1"/>
                <c:pt idx="0">
                  <c:v>% ACUMULADO</c:v>
                </c:pt>
              </c:strCache>
            </c:strRef>
          </c:tx>
          <c:marker>
            <c:symbol val="none"/>
          </c:marker>
          <c:val>
            <c:numRef>
              <c:f>'Curva ABC'!$E$9:$E$20</c:f>
              <c:numCache>
                <c:formatCode>0.00%</c:formatCode>
                <c:ptCount val="12"/>
                <c:pt idx="0">
                  <c:v>0.11225532490779574</c:v>
                </c:pt>
                <c:pt idx="1">
                  <c:v>0.22451064981559149</c:v>
                </c:pt>
                <c:pt idx="2">
                  <c:v>0.33676597472338721</c:v>
                </c:pt>
                <c:pt idx="3">
                  <c:v>0.395138743675441</c:v>
                </c:pt>
                <c:pt idx="4">
                  <c:v>0.43255718531137288</c:v>
                </c:pt>
                <c:pt idx="5">
                  <c:v>0.46997562694730477</c:v>
                </c:pt>
                <c:pt idx="6">
                  <c:v>0.50739406858323666</c:v>
                </c:pt>
                <c:pt idx="7">
                  <c:v>0.54481251021916854</c:v>
                </c:pt>
                <c:pt idx="8">
                  <c:v>0.58223095185510043</c:v>
                </c:pt>
                <c:pt idx="9">
                  <c:v>0.61964939349103232</c:v>
                </c:pt>
                <c:pt idx="10">
                  <c:v>0.64659067146890326</c:v>
                </c:pt>
                <c:pt idx="11">
                  <c:v>0.67353194944677419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62-4A36-BD87-420983DE4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771520"/>
        <c:axId val="145789696"/>
      </c:lineChart>
      <c:catAx>
        <c:axId val="145771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45789696"/>
        <c:crossesAt val="0"/>
        <c:auto val="1"/>
        <c:lblAlgn val="ctr"/>
        <c:lblOffset val="100"/>
        <c:noMultiLvlLbl val="0"/>
      </c:catAx>
      <c:valAx>
        <c:axId val="145789696"/>
        <c:scaling>
          <c:orientation val="minMax"/>
          <c:max val="1"/>
          <c:min val="0"/>
        </c:scaling>
        <c:delete val="0"/>
        <c:axPos val="l"/>
        <c:numFmt formatCode="0.00%" sourceLinked="1"/>
        <c:majorTickMark val="out"/>
        <c:minorTickMark val="none"/>
        <c:tickLblPos val="nextTo"/>
        <c:crossAx val="145771520"/>
        <c:crosses val="autoZero"/>
        <c:crossBetween val="between"/>
        <c:majorUnit val="0.1"/>
        <c:minorUnit val="4.0000000000000022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42</xdr:row>
      <xdr:rowOff>123825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62650" cy="81248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58</xdr:row>
      <xdr:rowOff>158751</xdr:rowOff>
    </xdr:from>
    <xdr:to>
      <xdr:col>5</xdr:col>
      <xdr:colOff>381000</xdr:colOff>
      <xdr:row>74</xdr:row>
      <xdr:rowOff>127001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imecmg.org.br/tabela-de-honorarios-e-servico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sindusconpr.com.br/incc-di-fgv-310-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C2:K34"/>
  <sheetViews>
    <sheetView tabSelected="1" view="pageBreakPreview" zoomScale="60" zoomScaleNormal="100" workbookViewId="0">
      <selection activeCell="L65" activeCellId="1" sqref="D41 L65"/>
    </sheetView>
  </sheetViews>
  <sheetFormatPr defaultRowHeight="14.4" x14ac:dyDescent="0.3"/>
  <cols>
    <col min="3" max="3" width="27.6640625" customWidth="1"/>
    <col min="4" max="4" width="51.33203125" customWidth="1"/>
    <col min="5" max="5" width="25.33203125" customWidth="1"/>
    <col min="6" max="6" width="22.109375" customWidth="1"/>
    <col min="7" max="7" width="24.33203125" style="120" customWidth="1"/>
    <col min="10" max="10" width="18.44140625" bestFit="1" customWidth="1"/>
    <col min="11" max="11" width="19.5546875" bestFit="1" customWidth="1"/>
  </cols>
  <sheetData>
    <row r="2" spans="3:7" x14ac:dyDescent="0.3">
      <c r="C2" s="595" t="s">
        <v>0</v>
      </c>
      <c r="D2" s="596"/>
      <c r="E2" s="596"/>
      <c r="F2" s="596"/>
      <c r="G2" s="597"/>
    </row>
    <row r="3" spans="3:7" ht="15" thickBot="1" x14ac:dyDescent="0.35">
      <c r="C3" s="598"/>
      <c r="D3" s="599"/>
      <c r="E3" s="599"/>
      <c r="F3" s="599"/>
      <c r="G3" s="600"/>
    </row>
    <row r="4" spans="3:7" ht="9.75" customHeight="1" x14ac:dyDescent="0.3">
      <c r="C4" s="16"/>
      <c r="D4" s="434"/>
      <c r="E4" s="434"/>
      <c r="F4" s="434"/>
      <c r="G4" s="435"/>
    </row>
    <row r="5" spans="3:7" x14ac:dyDescent="0.3">
      <c r="C5" s="436" t="s">
        <v>1</v>
      </c>
      <c r="D5" s="601" t="s">
        <v>2</v>
      </c>
      <c r="E5" s="601"/>
      <c r="F5" s="601"/>
      <c r="G5" s="602"/>
    </row>
    <row r="6" spans="3:7" ht="80.25" customHeight="1" x14ac:dyDescent="0.3">
      <c r="C6" s="603" t="s">
        <v>512</v>
      </c>
      <c r="D6" s="604"/>
      <c r="E6" s="604"/>
      <c r="F6" s="604"/>
      <c r="G6" s="605"/>
    </row>
    <row r="7" spans="3:7" x14ac:dyDescent="0.3">
      <c r="C7" s="437" t="s">
        <v>3</v>
      </c>
      <c r="D7" s="609">
        <f>'CRONOGRAM FÍSICO-FINANCEIRO'!AI25</f>
        <v>240</v>
      </c>
      <c r="E7" s="610"/>
      <c r="F7" s="610"/>
      <c r="G7" s="611"/>
    </row>
    <row r="8" spans="3:7" ht="9.75" customHeight="1" x14ac:dyDescent="0.3">
      <c r="C8" s="606"/>
      <c r="D8" s="607"/>
      <c r="E8" s="607"/>
      <c r="F8" s="607"/>
      <c r="G8" s="608"/>
    </row>
    <row r="9" spans="3:7" x14ac:dyDescent="0.3">
      <c r="C9" s="472"/>
      <c r="D9" s="466"/>
      <c r="E9" s="466" t="s">
        <v>4</v>
      </c>
      <c r="F9" s="466" t="s">
        <v>5</v>
      </c>
      <c r="G9" s="410" t="s">
        <v>5</v>
      </c>
    </row>
    <row r="10" spans="3:7" x14ac:dyDescent="0.3">
      <c r="C10" s="582">
        <v>1</v>
      </c>
      <c r="D10" s="471" t="s">
        <v>6</v>
      </c>
      <c r="E10" s="469">
        <f>F10/$F$22</f>
        <v>0.24981875919095975</v>
      </c>
      <c r="F10" s="467">
        <f>'ORÇAMENTO POR ESCOPO'!I20</f>
        <v>225442.27883586494</v>
      </c>
      <c r="G10" s="464"/>
    </row>
    <row r="11" spans="3:7" x14ac:dyDescent="0.3">
      <c r="C11" s="583"/>
      <c r="D11" s="473"/>
      <c r="E11" s="476"/>
      <c r="F11" s="478"/>
      <c r="G11" s="465"/>
    </row>
    <row r="12" spans="3:7" x14ac:dyDescent="0.3">
      <c r="C12" s="584">
        <v>2</v>
      </c>
      <c r="D12" s="474" t="s">
        <v>7</v>
      </c>
      <c r="E12" s="469">
        <f>F12/$F$22</f>
        <v>0.24981875919095975</v>
      </c>
      <c r="F12" s="467">
        <f>'ORÇAMENTO POR ESCOPO'!I32</f>
        <v>225442.27883586494</v>
      </c>
      <c r="G12" s="477"/>
    </row>
    <row r="13" spans="3:7" x14ac:dyDescent="0.3">
      <c r="C13" s="585"/>
      <c r="D13" s="479"/>
      <c r="E13" s="480"/>
      <c r="F13" s="481"/>
      <c r="G13" s="465"/>
    </row>
    <row r="14" spans="3:7" x14ac:dyDescent="0.3">
      <c r="C14" s="586">
        <v>3</v>
      </c>
      <c r="D14" s="474" t="s">
        <v>8</v>
      </c>
      <c r="E14" s="469">
        <f>F14/$F$22</f>
        <v>0.24981875919095975</v>
      </c>
      <c r="F14" s="467">
        <f>'ORÇAMENTO POR ESCOPO'!I44</f>
        <v>225442.27883586494</v>
      </c>
      <c r="G14" s="464"/>
    </row>
    <row r="15" spans="3:7" x14ac:dyDescent="0.3">
      <c r="C15" s="587"/>
      <c r="D15" s="479"/>
      <c r="E15" s="476"/>
      <c r="F15" s="478"/>
      <c r="G15" s="465"/>
    </row>
    <row r="16" spans="3:7" x14ac:dyDescent="0.3">
      <c r="C16" s="586">
        <v>4</v>
      </c>
      <c r="D16" s="474" t="s">
        <v>9</v>
      </c>
      <c r="E16" s="469">
        <f>F16/$F$22</f>
        <v>6.0231988235571486E-2</v>
      </c>
      <c r="F16" s="467">
        <f>'ORÇAMENTO POR ESCOPO'!I56</f>
        <v>54354.751943438619</v>
      </c>
      <c r="G16" s="464"/>
    </row>
    <row r="17" spans="3:11" x14ac:dyDescent="0.3">
      <c r="C17" s="587"/>
      <c r="D17" s="475"/>
      <c r="E17" s="470"/>
      <c r="F17" s="468"/>
      <c r="G17" s="465"/>
    </row>
    <row r="18" spans="3:11" x14ac:dyDescent="0.3">
      <c r="C18" s="586">
        <v>5</v>
      </c>
      <c r="D18" s="479" t="s">
        <v>10</v>
      </c>
      <c r="E18" s="469">
        <f>F18/$F$22</f>
        <v>0.13007974595597768</v>
      </c>
      <c r="F18" s="517">
        <f>'ORÇAMENTO POR ESCOPO'!I68</f>
        <v>117386.99869327988</v>
      </c>
      <c r="G18" s="477"/>
    </row>
    <row r="19" spans="3:11" x14ac:dyDescent="0.3">
      <c r="C19" s="587"/>
      <c r="D19" s="479"/>
      <c r="E19" s="476"/>
      <c r="F19" s="478"/>
      <c r="G19" s="477"/>
    </row>
    <row r="20" spans="3:11" x14ac:dyDescent="0.3">
      <c r="C20" s="584">
        <v>6</v>
      </c>
      <c r="D20" s="474" t="s">
        <v>11</v>
      </c>
      <c r="E20" s="469">
        <f>F20/$F$22</f>
        <v>6.0231988235571486E-2</v>
      </c>
      <c r="F20" s="467">
        <f>'ORÇAMENTO POR ESCOPO'!I80</f>
        <v>54354.751943438619</v>
      </c>
      <c r="G20" s="464"/>
    </row>
    <row r="21" spans="3:11" x14ac:dyDescent="0.3">
      <c r="C21" s="585"/>
      <c r="D21" s="475"/>
      <c r="E21" s="470"/>
      <c r="F21" s="468"/>
      <c r="G21" s="465"/>
    </row>
    <row r="22" spans="3:11" x14ac:dyDescent="0.3">
      <c r="C22" s="592" t="s">
        <v>12</v>
      </c>
      <c r="D22" s="594" t="s">
        <v>13</v>
      </c>
      <c r="E22" s="590">
        <f>SUM(E10:E21)</f>
        <v>1</v>
      </c>
      <c r="F22" s="588">
        <f>SUM(F10:F21)</f>
        <v>902423.33908775204</v>
      </c>
      <c r="G22" s="438"/>
    </row>
    <row r="23" spans="3:11" ht="15" thickBot="1" x14ac:dyDescent="0.35">
      <c r="C23" s="593"/>
      <c r="D23" s="589"/>
      <c r="E23" s="591"/>
      <c r="F23" s="589"/>
      <c r="G23" s="439"/>
    </row>
    <row r="24" spans="3:11" x14ac:dyDescent="0.3">
      <c r="F24" s="1"/>
    </row>
    <row r="25" spans="3:11" x14ac:dyDescent="0.3">
      <c r="F25" s="120"/>
    </row>
    <row r="26" spans="3:11" x14ac:dyDescent="0.3">
      <c r="J26" s="580" t="s">
        <v>14</v>
      </c>
      <c r="K26" s="581"/>
    </row>
    <row r="27" spans="3:11" x14ac:dyDescent="0.3">
      <c r="J27" s="535" t="s">
        <v>15</v>
      </c>
      <c r="K27" s="536" t="s">
        <v>16</v>
      </c>
    </row>
    <row r="28" spans="3:11" x14ac:dyDescent="0.3">
      <c r="J28" s="537" t="s">
        <v>17</v>
      </c>
      <c r="K28" s="538">
        <v>11771</v>
      </c>
    </row>
    <row r="29" spans="3:11" x14ac:dyDescent="0.3">
      <c r="E29" s="120">
        <v>1200000</v>
      </c>
      <c r="F29" s="462">
        <f>K34</f>
        <v>44681.39</v>
      </c>
      <c r="G29" s="463" t="s">
        <v>18</v>
      </c>
      <c r="J29" s="537" t="s">
        <v>19</v>
      </c>
      <c r="K29" s="538">
        <v>16103.9</v>
      </c>
    </row>
    <row r="30" spans="3:11" x14ac:dyDescent="0.3">
      <c r="E30" s="120">
        <f>E29/F29</f>
        <v>26.856818912750924</v>
      </c>
      <c r="F30" s="463">
        <f>F22/F29</f>
        <v>20.196850167099814</v>
      </c>
      <c r="G30" s="463" t="s">
        <v>20</v>
      </c>
      <c r="J30" s="537" t="s">
        <v>21</v>
      </c>
      <c r="K30" s="538">
        <v>9730.7999999999993</v>
      </c>
    </row>
    <row r="31" spans="3:11" x14ac:dyDescent="0.3">
      <c r="F31" s="463"/>
      <c r="G31" s="463"/>
      <c r="J31" s="537" t="s">
        <v>22</v>
      </c>
      <c r="K31" s="538">
        <v>569</v>
      </c>
    </row>
    <row r="32" spans="3:11" x14ac:dyDescent="0.3">
      <c r="F32" s="463"/>
      <c r="G32" s="463"/>
      <c r="J32" s="537" t="s">
        <v>23</v>
      </c>
      <c r="K32" s="538">
        <v>6506.69</v>
      </c>
    </row>
    <row r="33" spans="6:11" x14ac:dyDescent="0.3">
      <c r="F33" s="463"/>
      <c r="G33" s="463"/>
      <c r="J33" s="537" t="s">
        <v>24</v>
      </c>
      <c r="K33" s="538">
        <v>0</v>
      </c>
    </row>
    <row r="34" spans="6:11" x14ac:dyDescent="0.3">
      <c r="J34" s="539"/>
      <c r="K34" s="540">
        <f>SUM(K28:K33)</f>
        <v>44681.39</v>
      </c>
    </row>
  </sheetData>
  <mergeCells count="16">
    <mergeCell ref="C2:G3"/>
    <mergeCell ref="D5:G5"/>
    <mergeCell ref="C6:G6"/>
    <mergeCell ref="C8:G8"/>
    <mergeCell ref="D7:G7"/>
    <mergeCell ref="J26:K26"/>
    <mergeCell ref="C10:C11"/>
    <mergeCell ref="C12:C13"/>
    <mergeCell ref="C16:C17"/>
    <mergeCell ref="C18:C19"/>
    <mergeCell ref="C20:C21"/>
    <mergeCell ref="F22:F23"/>
    <mergeCell ref="E22:E23"/>
    <mergeCell ref="C22:C23"/>
    <mergeCell ref="D22:D23"/>
    <mergeCell ref="C14:C15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E17"/>
  <sheetViews>
    <sheetView zoomScale="130" zoomScaleNormal="130" workbookViewId="0">
      <selection activeCell="P24" sqref="P24"/>
    </sheetView>
  </sheetViews>
  <sheetFormatPr defaultRowHeight="14.4" x14ac:dyDescent="0.3"/>
  <cols>
    <col min="1" max="1" width="27.44140625" customWidth="1"/>
    <col min="2" max="2" width="17.88671875" customWidth="1"/>
    <col min="3" max="3" width="9.5546875" customWidth="1"/>
    <col min="4" max="5" width="13.88671875" bestFit="1" customWidth="1"/>
  </cols>
  <sheetData>
    <row r="1" spans="1:5" x14ac:dyDescent="0.3">
      <c r="A1" s="45" t="s">
        <v>463</v>
      </c>
    </row>
    <row r="2" spans="1:5" x14ac:dyDescent="0.3">
      <c r="A2" s="552" t="s">
        <v>464</v>
      </c>
    </row>
    <row r="4" spans="1:5" x14ac:dyDescent="0.3">
      <c r="A4" s="45" t="s">
        <v>465</v>
      </c>
      <c r="B4" s="45"/>
      <c r="C4" s="45"/>
      <c r="D4" s="311" t="s">
        <v>466</v>
      </c>
    </row>
    <row r="5" spans="1:5" x14ac:dyDescent="0.3">
      <c r="A5" t="s">
        <v>467</v>
      </c>
      <c r="D5" s="1">
        <v>22</v>
      </c>
    </row>
    <row r="6" spans="1:5" x14ac:dyDescent="0.3">
      <c r="A6" t="s">
        <v>468</v>
      </c>
      <c r="D6" s="1">
        <v>22</v>
      </c>
    </row>
    <row r="7" spans="1:5" x14ac:dyDescent="0.3">
      <c r="A7" t="s">
        <v>469</v>
      </c>
      <c r="D7" s="1">
        <v>22</v>
      </c>
    </row>
    <row r="8" spans="1:5" x14ac:dyDescent="0.3">
      <c r="A8" t="s">
        <v>470</v>
      </c>
      <c r="D8" s="1">
        <v>12.5</v>
      </c>
    </row>
    <row r="9" spans="1:5" x14ac:dyDescent="0.3">
      <c r="A9" t="s">
        <v>471</v>
      </c>
      <c r="D9" t="s">
        <v>332</v>
      </c>
    </row>
    <row r="10" spans="1:5" x14ac:dyDescent="0.3">
      <c r="A10" t="s">
        <v>472</v>
      </c>
      <c r="D10" t="s">
        <v>332</v>
      </c>
    </row>
    <row r="11" spans="1:5" x14ac:dyDescent="0.3">
      <c r="A11" t="s">
        <v>473</v>
      </c>
      <c r="D11" s="1">
        <v>7.5</v>
      </c>
    </row>
    <row r="12" spans="1:5" x14ac:dyDescent="0.3">
      <c r="A12" t="s">
        <v>474</v>
      </c>
      <c r="D12" s="1">
        <v>12.5</v>
      </c>
    </row>
    <row r="13" spans="1:5" x14ac:dyDescent="0.3">
      <c r="A13" t="s">
        <v>475</v>
      </c>
      <c r="D13" s="1">
        <f>8.75+10</f>
        <v>18.75</v>
      </c>
    </row>
    <row r="14" spans="1:5" x14ac:dyDescent="0.3">
      <c r="A14" t="s">
        <v>476</v>
      </c>
    </row>
    <row r="15" spans="1:5" x14ac:dyDescent="0.3">
      <c r="C15" s="311" t="s">
        <v>477</v>
      </c>
      <c r="D15" s="6">
        <f>SUM(D5:D13)</f>
        <v>117.25</v>
      </c>
      <c r="E15" s="120">
        <f>D5+D8+D11+D12+D13</f>
        <v>73.25</v>
      </c>
    </row>
    <row r="16" spans="1:5" x14ac:dyDescent="0.3">
      <c r="C16" s="368" t="s">
        <v>478</v>
      </c>
      <c r="D16" s="367">
        <f>'ESTIMATIVA DE HORAS TÉCNICAS'!P318</f>
        <v>0</v>
      </c>
    </row>
    <row r="17" spans="3:5" x14ac:dyDescent="0.3">
      <c r="C17" s="311" t="s">
        <v>479</v>
      </c>
      <c r="D17" s="6">
        <f>D15*D16</f>
        <v>0</v>
      </c>
      <c r="E17" s="6">
        <f>E15*D16</f>
        <v>0</v>
      </c>
    </row>
  </sheetData>
  <hyperlinks>
    <hyperlink ref="A2" r:id="rId1" xr:uid="{00000000-0004-0000-0900-000000000000}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M84"/>
  <sheetViews>
    <sheetView view="pageBreakPreview" topLeftCell="C6" zoomScaleNormal="100" zoomScaleSheetLayoutView="100" workbookViewId="0">
      <selection activeCell="L65" activeCellId="1" sqref="L65"/>
    </sheetView>
  </sheetViews>
  <sheetFormatPr defaultRowHeight="14.4" x14ac:dyDescent="0.3"/>
  <cols>
    <col min="1" max="1" width="13.6640625" style="66" customWidth="1"/>
    <col min="2" max="2" width="84.44140625" customWidth="1"/>
    <col min="3" max="3" width="13.33203125" customWidth="1"/>
    <col min="4" max="4" width="21.6640625" style="120" customWidth="1"/>
    <col min="5" max="5" width="12.109375" customWidth="1"/>
    <col min="6" max="7" width="13.5546875" customWidth="1"/>
    <col min="8" max="8" width="13.44140625" customWidth="1"/>
    <col min="9" max="9" width="17.5546875" style="6" customWidth="1"/>
    <col min="10" max="11" width="13.33203125" bestFit="1" customWidth="1"/>
    <col min="13" max="13" width="14.44140625" customWidth="1"/>
  </cols>
  <sheetData>
    <row r="1" spans="1:12" ht="15" thickBot="1" x14ac:dyDescent="0.35">
      <c r="J1" s="120"/>
    </row>
    <row r="2" spans="1:12" ht="15" customHeight="1" x14ac:dyDescent="0.3">
      <c r="A2" s="614" t="s">
        <v>25</v>
      </c>
      <c r="B2" s="615"/>
      <c r="C2" s="615"/>
      <c r="D2" s="615"/>
      <c r="E2" s="615"/>
      <c r="F2" s="615"/>
      <c r="G2" s="615"/>
      <c r="H2" s="615"/>
      <c r="I2" s="616"/>
      <c r="J2" s="120"/>
    </row>
    <row r="3" spans="1:12" ht="15.75" customHeight="1" thickBot="1" x14ac:dyDescent="0.35">
      <c r="A3" s="617"/>
      <c r="B3" s="618"/>
      <c r="C3" s="618"/>
      <c r="D3" s="618"/>
      <c r="E3" s="618"/>
      <c r="F3" s="618"/>
      <c r="G3" s="618"/>
      <c r="H3" s="618"/>
      <c r="I3" s="619"/>
    </row>
    <row r="4" spans="1:12" x14ac:dyDescent="0.3">
      <c r="A4" s="620" t="s">
        <v>26</v>
      </c>
      <c r="B4" s="621"/>
      <c r="C4" s="621"/>
      <c r="D4" s="621"/>
      <c r="E4" s="621"/>
      <c r="F4" s="621"/>
      <c r="G4" s="621"/>
      <c r="H4" s="621"/>
      <c r="I4" s="622"/>
      <c r="J4" s="120"/>
    </row>
    <row r="5" spans="1:12" ht="48" customHeight="1" x14ac:dyDescent="0.3">
      <c r="A5" s="623" t="s">
        <v>513</v>
      </c>
      <c r="B5" s="624"/>
      <c r="C5" s="624"/>
      <c r="D5" s="624"/>
      <c r="E5" s="624"/>
      <c r="F5" s="624"/>
      <c r="G5" s="624"/>
      <c r="H5" s="624"/>
      <c r="I5" s="625"/>
    </row>
    <row r="6" spans="1:12" x14ac:dyDescent="0.3">
      <c r="A6" s="626" t="s">
        <v>507</v>
      </c>
      <c r="B6" s="627"/>
      <c r="C6" s="627"/>
      <c r="D6" s="627"/>
      <c r="E6" s="627"/>
      <c r="F6" s="627"/>
      <c r="G6" s="627"/>
      <c r="H6" s="627"/>
      <c r="I6" s="628"/>
    </row>
    <row r="7" spans="1:12" ht="15" thickBot="1" x14ac:dyDescent="0.35">
      <c r="A7" s="612"/>
      <c r="B7" s="613"/>
      <c r="C7" s="613"/>
      <c r="I7" s="433"/>
    </row>
    <row r="8" spans="1:12" ht="31.8" thickBot="1" x14ac:dyDescent="0.35">
      <c r="A8" s="202" t="s">
        <v>27</v>
      </c>
      <c r="B8" s="203" t="s">
        <v>28</v>
      </c>
      <c r="C8" s="204" t="s">
        <v>29</v>
      </c>
      <c r="D8" s="314" t="s">
        <v>30</v>
      </c>
      <c r="E8" s="205" t="s">
        <v>31</v>
      </c>
      <c r="F8" s="204" t="s">
        <v>32</v>
      </c>
      <c r="G8" s="204" t="s">
        <v>33</v>
      </c>
      <c r="H8" s="206" t="s">
        <v>34</v>
      </c>
      <c r="I8" s="207" t="s">
        <v>35</v>
      </c>
    </row>
    <row r="9" spans="1:12" x14ac:dyDescent="0.3">
      <c r="A9" s="333"/>
      <c r="B9" s="41"/>
      <c r="C9" s="181"/>
      <c r="D9" s="315"/>
      <c r="E9" s="34"/>
      <c r="F9" s="34"/>
      <c r="G9" s="34"/>
      <c r="H9" s="34"/>
      <c r="I9" s="119"/>
    </row>
    <row r="10" spans="1:12" ht="20.25" customHeight="1" x14ac:dyDescent="0.3">
      <c r="A10" s="150" t="s">
        <v>36</v>
      </c>
      <c r="B10" s="166" t="str">
        <f>'ESTIMATIVA DE HORAS TÉCNICAS'!B13</f>
        <v>EDIFÍCIO ANTÔNIO FERNANDO PINHEIRO - AFP</v>
      </c>
      <c r="C10" s="429">
        <f>'ESTIMATIVA DE HORAS TÉCNICAS'!C13</f>
        <v>0.25</v>
      </c>
      <c r="D10" s="430"/>
      <c r="E10" s="166"/>
      <c r="F10" s="166"/>
      <c r="G10" s="166"/>
      <c r="H10" s="166"/>
      <c r="I10" s="431"/>
    </row>
    <row r="11" spans="1:12" ht="20.25" customHeight="1" x14ac:dyDescent="0.3">
      <c r="A11" s="42"/>
      <c r="B11" s="46"/>
      <c r="C11" s="267"/>
      <c r="D11" s="316"/>
      <c r="E11" s="217"/>
      <c r="F11" s="217"/>
      <c r="G11" s="217"/>
      <c r="H11" s="217"/>
      <c r="I11" s="152"/>
    </row>
    <row r="12" spans="1:12" ht="15.6" x14ac:dyDescent="0.3">
      <c r="A12" s="170" t="s">
        <v>37</v>
      </c>
      <c r="B12" s="308" t="str">
        <f>'ESTIMATIVA DE HORAS TÉCNICAS'!B15</f>
        <v>Levantamento Cadastral em BIM (Edifício AFP)</v>
      </c>
      <c r="C12" s="182"/>
      <c r="D12" s="317">
        <f>'ESTIMATIVA DE HORAS TÉCNICAS'!F15*'ESTIMATIVA DE HORAS TÉCNICAS'!F$316+'ESTIMATIVA DE HORAS TÉCNICAS'!G15*'ESTIMATIVA DE HORAS TÉCNICAS'!F$315+'ESTIMATIVA DE HORAS TÉCNICAS'!H15*'ESTIMATIVA DE HORAS TÉCNICAS'!F$314+'ESTIMATIVA DE HORAS TÉCNICAS'!I15*'ESTIMATIVA DE HORAS TÉCNICAS'!F$318+'ESTIMATIVA DE HORAS TÉCNICAS'!J15*'ESTIMATIVA DE HORAS TÉCNICAS'!F$319+'ESTIMATIVA DE HORAS TÉCNICAS'!K15*'ESTIMATIVA DE HORAS TÉCNICAS'!F$317+'ESTIMATIVA DE HORAS TÉCNICAS'!L15*'ESTIMATIVA DE HORAS TÉCNICAS'!F$324+'ESTIMATIVA DE HORAS TÉCNICAS'!M15*'ESTIMATIVA DE HORAS TÉCNICAS'!F$323+'ESTIMATIVA DE HORAS TÉCNICAS'!N15*'ESTIMATIVA DE HORAS TÉCNICAS'!F$322+'ESTIMATIVA DE HORAS TÉCNICAS'!O15*'ESTIMATIVA DE HORAS TÉCNICAS'!F$321+'ESTIMATIVA DE HORAS TÉCNICAS'!P15*'ESTIMATIVA DE HORAS TÉCNICAS'!F$320+'ESTIMATIVA DE HORAS TÉCNICAS'!Q15*'ESTIMATIVA DE HORAS TÉCNICAS'!F$325+'ESTIMATIVA DE HORAS TÉCNICAS'!R15*'ESTIMATIVA DE HORAS TÉCNICAS'!F$326+'ESTIMATIVA DE HORAS TÉCNICAS'!S15*'ESTIMATIVA DE HORAS TÉCNICAS'!F329+'ESTIMATIVA DE HORAS TÉCNICAS'!T15*'ESTIMATIVA DE HORAS TÉCNICAS'!F$334</f>
        <v>41749.774793626981</v>
      </c>
      <c r="E12" s="309">
        <f>'CALCULO DO FATO K'!$D$10</f>
        <v>2.4264041095890412</v>
      </c>
      <c r="F12" s="309"/>
      <c r="G12" s="309"/>
      <c r="H12" s="309">
        <f>D12*E12</f>
        <v>101301.82513367347</v>
      </c>
      <c r="I12" s="118"/>
    </row>
    <row r="13" spans="1:12" ht="15.6" x14ac:dyDescent="0.3">
      <c r="A13" s="170" t="s">
        <v>38</v>
      </c>
      <c r="B13" s="308" t="str">
        <f>'ESTIMATIVA DE HORAS TÉCNICAS'!B25</f>
        <v>Memorial de Descritivo e Justificado (Edifício AFP)</v>
      </c>
      <c r="C13" s="182"/>
      <c r="D13" s="317">
        <f>'ESTIMATIVA DE HORAS TÉCNICAS'!F25*'ESTIMATIVA DE HORAS TÉCNICAS'!F$316+'ESTIMATIVA DE HORAS TÉCNICAS'!G25*'ESTIMATIVA DE HORAS TÉCNICAS'!F$315+'ESTIMATIVA DE HORAS TÉCNICAS'!H25*'ESTIMATIVA DE HORAS TÉCNICAS'!F$314+'ESTIMATIVA DE HORAS TÉCNICAS'!I25*'ESTIMATIVA DE HORAS TÉCNICAS'!F$318+'ESTIMATIVA DE HORAS TÉCNICAS'!J25*'ESTIMATIVA DE HORAS TÉCNICAS'!F$319+'ESTIMATIVA DE HORAS TÉCNICAS'!K25*'ESTIMATIVA DE HORAS TÉCNICAS'!F$317+'ESTIMATIVA DE HORAS TÉCNICAS'!L25*'ESTIMATIVA DE HORAS TÉCNICAS'!F$324+'ESTIMATIVA DE HORAS TÉCNICAS'!M25*'ESTIMATIVA DE HORAS TÉCNICAS'!F$323+'ESTIMATIVA DE HORAS TÉCNICAS'!N25*'ESTIMATIVA DE HORAS TÉCNICAS'!F$322+'ESTIMATIVA DE HORAS TÉCNICAS'!O25*'ESTIMATIVA DE HORAS TÉCNICAS'!F$321+'ESTIMATIVA DE HORAS TÉCNICAS'!P25*'ESTIMATIVA DE HORAS TÉCNICAS'!F$320+'ESTIMATIVA DE HORAS TÉCNICAS'!Q25*'ESTIMATIVA DE HORAS TÉCNICAS'!F$325+'ESTIMATIVA DE HORAS TÉCNICAS'!R25*'ESTIMATIVA DE HORAS TÉCNICAS'!F$326+'ESTIMATIVA DE HORAS TÉCNICAS'!S25*'ESTIMATIVA DE HORAS TÉCNICAS'!F329+'ESTIMATIVA DE HORAS TÉCNICAS'!T25*'ESTIMATIVA DE HORAS TÉCNICAS'!F$334</f>
        <v>13916.591597875657</v>
      </c>
      <c r="E13" s="309">
        <f>'CALCULO DO FATO K'!$D$10</f>
        <v>2.4264041095890412</v>
      </c>
      <c r="F13" s="309"/>
      <c r="G13" s="309"/>
      <c r="H13" s="309">
        <f t="shared" ref="H13:H17" si="0">D13*E13</f>
        <v>33767.275044557813</v>
      </c>
      <c r="I13" s="118"/>
    </row>
    <row r="14" spans="1:12" ht="15.6" x14ac:dyDescent="0.3">
      <c r="A14" s="170" t="s">
        <v>39</v>
      </c>
      <c r="B14" s="308" t="str">
        <f>'ESTIMATIVA DE HORAS TÉCNICAS'!B39</f>
        <v>Especificação Técnica Geral - ETG (Edifício AFP)</v>
      </c>
      <c r="C14" s="182"/>
      <c r="D14" s="317">
        <f>'ESTIMATIVA DE HORAS TÉCNICAS'!F39*'ESTIMATIVA DE HORAS TÉCNICAS'!F$316+'ESTIMATIVA DE HORAS TÉCNICAS'!G39*'ESTIMATIVA DE HORAS TÉCNICAS'!F$315+'ESTIMATIVA DE HORAS TÉCNICAS'!H39*'ESTIMATIVA DE HORAS TÉCNICAS'!F$314+'ESTIMATIVA DE HORAS TÉCNICAS'!I39*'ESTIMATIVA DE HORAS TÉCNICAS'!F$318+'ESTIMATIVA DE HORAS TÉCNICAS'!J39*'ESTIMATIVA DE HORAS TÉCNICAS'!F$319+'ESTIMATIVA DE HORAS TÉCNICAS'!K39*'ESTIMATIVA DE HORAS TÉCNICAS'!F$317+'ESTIMATIVA DE HORAS TÉCNICAS'!L39*'ESTIMATIVA DE HORAS TÉCNICAS'!F$324+'ESTIMATIVA DE HORAS TÉCNICAS'!M39*'ESTIMATIVA DE HORAS TÉCNICAS'!F$323+'ESTIMATIVA DE HORAS TÉCNICAS'!N39*'ESTIMATIVA DE HORAS TÉCNICAS'!F$322+'ESTIMATIVA DE HORAS TÉCNICAS'!O39*'ESTIMATIVA DE HORAS TÉCNICAS'!F$321+'ESTIMATIVA DE HORAS TÉCNICAS'!P39*'ESTIMATIVA DE HORAS TÉCNICAS'!F$320+'ESTIMATIVA DE HORAS TÉCNICAS'!Q39*'ESTIMATIVA DE HORAS TÉCNICAS'!F$325+'ESTIMATIVA DE HORAS TÉCNICAS'!R39*'ESTIMATIVA DE HORAS TÉCNICAS'!F$326+'ESTIMATIVA DE HORAS TÉCNICAS'!S39*'ESTIMATIVA DE HORAS TÉCNICAS'!F329+'ESTIMATIVA DE HORAS TÉCNICAS'!T39*'ESTIMATIVA DE HORAS TÉCNICAS'!F$334</f>
        <v>4638.8638659585531</v>
      </c>
      <c r="E14" s="309">
        <f>'CALCULO DO FATO K'!$D$10</f>
        <v>2.4264041095890412</v>
      </c>
      <c r="F14" s="309"/>
      <c r="G14" s="309"/>
      <c r="H14" s="309">
        <f t="shared" si="0"/>
        <v>11255.75834818594</v>
      </c>
      <c r="I14" s="118"/>
      <c r="L14" s="121"/>
    </row>
    <row r="15" spans="1:12" ht="15.6" x14ac:dyDescent="0.3">
      <c r="A15" s="170" t="s">
        <v>40</v>
      </c>
      <c r="B15" s="308" t="str">
        <f>'ESTIMATIVA DE HORAS TÉCNICAS'!B43</f>
        <v>Especificação Técnica Específica - ETE (Edifício AFP)</v>
      </c>
      <c r="C15" s="182"/>
      <c r="D15" s="317">
        <f>'ESTIMATIVA DE HORAS TÉCNICAS'!F43*'ESTIMATIVA DE HORAS TÉCNICAS'!F$316+'ESTIMATIVA DE HORAS TÉCNICAS'!G43*'ESTIMATIVA DE HORAS TÉCNICAS'!F$315+'ESTIMATIVA DE HORAS TÉCNICAS'!H43*'ESTIMATIVA DE HORAS TÉCNICAS'!F$314+'ESTIMATIVA DE HORAS TÉCNICAS'!I43*'ESTIMATIVA DE HORAS TÉCNICAS'!F$318+'ESTIMATIVA DE HORAS TÉCNICAS'!J43*'ESTIMATIVA DE HORAS TÉCNICAS'!F$319+'ESTIMATIVA DE HORAS TÉCNICAS'!K43*'ESTIMATIVA DE HORAS TÉCNICAS'!F$317+'ESTIMATIVA DE HORAS TÉCNICAS'!L43*'ESTIMATIVA DE HORAS TÉCNICAS'!F$324+'ESTIMATIVA DE HORAS TÉCNICAS'!M43*'ESTIMATIVA DE HORAS TÉCNICAS'!F$323+'ESTIMATIVA DE HORAS TÉCNICAS'!N43*'ESTIMATIVA DE HORAS TÉCNICAS'!F$322+'ESTIMATIVA DE HORAS TÉCNICAS'!O43*'ESTIMATIVA DE HORAS TÉCNICAS'!F$321+'ESTIMATIVA DE HORAS TÉCNICAS'!P43*'ESTIMATIVA DE HORAS TÉCNICAS'!F$320+'ESTIMATIVA DE HORAS TÉCNICAS'!Q43*'ESTIMATIVA DE HORAS TÉCNICAS'!F$325+'ESTIMATIVA DE HORAS TÉCNICAS'!R43*'ESTIMATIVA DE HORAS TÉCNICAS'!F$326+'ESTIMATIVA DE HORAS TÉCNICAS'!S43*'ESTIMATIVA DE HORAS TÉCNICAS'!F329+'ESTIMATIVA DE HORAS TÉCNICAS'!T43*'ESTIMATIVA DE HORAS TÉCNICAS'!F$334</f>
        <v>9277.7277319171062</v>
      </c>
      <c r="E15" s="309">
        <f>'CALCULO DO FATO K'!$D$10</f>
        <v>2.4264041095890412</v>
      </c>
      <c r="F15" s="309"/>
      <c r="G15" s="309"/>
      <c r="H15" s="309">
        <f t="shared" si="0"/>
        <v>22511.51669637188</v>
      </c>
      <c r="I15" s="118"/>
    </row>
    <row r="16" spans="1:12" ht="15.6" x14ac:dyDescent="0.3">
      <c r="A16" s="170" t="s">
        <v>41</v>
      </c>
      <c r="B16" s="308" t="str">
        <f>'ESTIMATIVA DE HORAS TÉCNICAS'!B47</f>
        <v>Planilhas Orçamentárias e de Quantitativos PSQ's (Edifício AFP)</v>
      </c>
      <c r="C16" s="182"/>
      <c r="D16" s="317">
        <f>'ESTIMATIVA DE HORAS TÉCNICAS'!F47*'ESTIMATIVA DE HORAS TÉCNICAS'!F$316+'ESTIMATIVA DE HORAS TÉCNICAS'!G47*'ESTIMATIVA DE HORAS TÉCNICAS'!F$315+'ESTIMATIVA DE HORAS TÉCNICAS'!H47*'ESTIMATIVA DE HORAS TÉCNICAS'!F$314+'ESTIMATIVA DE HORAS TÉCNICAS'!I47*'ESTIMATIVA DE HORAS TÉCNICAS'!F$318+'ESTIMATIVA DE HORAS TÉCNICAS'!J47*'ESTIMATIVA DE HORAS TÉCNICAS'!F$319+'ESTIMATIVA DE HORAS TÉCNICAS'!K47*'ESTIMATIVA DE HORAS TÉCNICAS'!F$317+'ESTIMATIVA DE HORAS TÉCNICAS'!L47*'ESTIMATIVA DE HORAS TÉCNICAS'!F$324+'ESTIMATIVA DE HORAS TÉCNICAS'!M47*'ESTIMATIVA DE HORAS TÉCNICAS'!F$323+'ESTIMATIVA DE HORAS TÉCNICAS'!N47*'ESTIMATIVA DE HORAS TÉCNICAS'!F$322+'ESTIMATIVA DE HORAS TÉCNICAS'!O47*'ESTIMATIVA DE HORAS TÉCNICAS'!F$321+'ESTIMATIVA DE HORAS TÉCNICAS'!P47*'ESTIMATIVA DE HORAS TÉCNICAS'!F$320+'ESTIMATIVA DE HORAS TÉCNICAS'!Q47*'ESTIMATIVA DE HORAS TÉCNICAS'!F$325+'ESTIMATIVA DE HORAS TÉCNICAS'!R47*'ESTIMATIVA DE HORAS TÉCNICAS'!F$326+'ESTIMATIVA DE HORAS TÉCNICAS'!S47*'ESTIMATIVA DE HORAS TÉCNICAS'!F329+'ESTIMATIVA DE HORAS TÉCNICAS'!T47*'ESTIMATIVA DE HORAS TÉCNICAS'!F$334</f>
        <v>9277.7277319171062</v>
      </c>
      <c r="E16" s="309">
        <f>'CALCULO DO FATO K'!$D$10</f>
        <v>2.4264041095890412</v>
      </c>
      <c r="F16" s="309"/>
      <c r="G16" s="309"/>
      <c r="H16" s="309">
        <f t="shared" si="0"/>
        <v>22511.51669637188</v>
      </c>
      <c r="I16" s="118"/>
    </row>
    <row r="17" spans="1:13" ht="15.6" x14ac:dyDescent="0.3">
      <c r="A17" s="176" t="s">
        <v>42</v>
      </c>
      <c r="B17" s="172" t="str">
        <f>'ESTIMATIVA DE HORAS TÉCNICAS'!B52</f>
        <v>Plano de Manutenção, Operação e Controle - PMOC (Edifício AFP)</v>
      </c>
      <c r="C17" s="218"/>
      <c r="D17" s="317">
        <f>'ESTIMATIVA DE HORAS TÉCNICAS'!F52*'ESTIMATIVA DE HORAS TÉCNICAS'!F$316+'ESTIMATIVA DE HORAS TÉCNICAS'!G52*'ESTIMATIVA DE HORAS TÉCNICAS'!F$315+'ESTIMATIVA DE HORAS TÉCNICAS'!H52*'ESTIMATIVA DE HORAS TÉCNICAS'!F$314+'ESTIMATIVA DE HORAS TÉCNICAS'!I52*'ESTIMATIVA DE HORAS TÉCNICAS'!F$318+'ESTIMATIVA DE HORAS TÉCNICAS'!J52*'ESTIMATIVA DE HORAS TÉCNICAS'!F$319+'ESTIMATIVA DE HORAS TÉCNICAS'!K52*'ESTIMATIVA DE HORAS TÉCNICAS'!F$317+'ESTIMATIVA DE HORAS TÉCNICAS'!L52*'ESTIMATIVA DE HORAS TÉCNICAS'!F$324+'ESTIMATIVA DE HORAS TÉCNICAS'!M52*'ESTIMATIVA DE HORAS TÉCNICAS'!F$323+'ESTIMATIVA DE HORAS TÉCNICAS'!N52*'ESTIMATIVA DE HORAS TÉCNICAS'!F$322+'ESTIMATIVA DE HORAS TÉCNICAS'!O52*'ESTIMATIVA DE HORAS TÉCNICAS'!F$321+'ESTIMATIVA DE HORAS TÉCNICAS'!P52*'ESTIMATIVA DE HORAS TÉCNICAS'!F$320+'ESTIMATIVA DE HORAS TÉCNICAS'!Q52*'ESTIMATIVA DE HORAS TÉCNICAS'!F$325+'ESTIMATIVA DE HORAS TÉCNICAS'!R52*'ESTIMATIVA DE HORAS TÉCNICAS'!F$326+'ESTIMATIVA DE HORAS TÉCNICAS'!S52*'ESTIMATIVA DE HORAS TÉCNICAS'!F329+'ESTIMATIVA DE HORAS TÉCNICAS'!T52*'ESTIMATIVA DE HORAS TÉCNICAS'!F$334</f>
        <v>13916.591597875657</v>
      </c>
      <c r="E17" s="309">
        <f>'CALCULO DO FATO K'!$D$10</f>
        <v>2.4264041095890412</v>
      </c>
      <c r="F17" s="309"/>
      <c r="G17" s="309"/>
      <c r="H17" s="309">
        <f t="shared" si="0"/>
        <v>33767.275044557813</v>
      </c>
      <c r="I17" s="118"/>
    </row>
    <row r="18" spans="1:13" s="559" customFormat="1" ht="16.5" customHeight="1" x14ac:dyDescent="0.3">
      <c r="A18" s="555" t="s">
        <v>43</v>
      </c>
      <c r="B18" s="554" t="s">
        <v>44</v>
      </c>
      <c r="C18" s="556"/>
      <c r="D18" s="557"/>
      <c r="E18" s="444"/>
      <c r="F18" s="444">
        <f>'OUTROS CUSTOS DIRETOS'!F14</f>
        <v>260.5</v>
      </c>
      <c r="G18" s="444">
        <f>'CALCULO DO FATO K'!$D$11</f>
        <v>1.2557077625570778</v>
      </c>
      <c r="H18" s="444">
        <f>F18*G18</f>
        <v>327.1118721461188</v>
      </c>
      <c r="I18" s="558"/>
    </row>
    <row r="19" spans="1:13" ht="16.5" customHeight="1" x14ac:dyDescent="0.3">
      <c r="A19" s="170"/>
      <c r="B19" s="308"/>
      <c r="C19" s="182"/>
      <c r="D19" s="317"/>
      <c r="E19" s="309"/>
      <c r="F19" s="309"/>
      <c r="G19" s="309"/>
      <c r="H19" s="309"/>
      <c r="I19" s="118"/>
    </row>
    <row r="20" spans="1:13" ht="16.5" customHeight="1" x14ac:dyDescent="0.3">
      <c r="A20" s="334"/>
      <c r="B20" s="137" t="s">
        <v>45</v>
      </c>
      <c r="C20" s="183"/>
      <c r="D20" s="318"/>
      <c r="E20" s="138"/>
      <c r="F20" s="138"/>
      <c r="G20" s="138"/>
      <c r="H20" s="138"/>
      <c r="I20" s="136">
        <f>SUM(H11:H19)</f>
        <v>225442.27883586494</v>
      </c>
      <c r="K20" s="120"/>
      <c r="M20" s="120"/>
    </row>
    <row r="21" spans="1:13" ht="15.6" x14ac:dyDescent="0.3">
      <c r="A21" s="170"/>
      <c r="B21" s="308"/>
      <c r="C21" s="182"/>
      <c r="D21" s="317"/>
      <c r="E21" s="309"/>
      <c r="F21" s="217"/>
      <c r="G21" s="217"/>
      <c r="H21" s="217"/>
      <c r="I21" s="152"/>
    </row>
    <row r="22" spans="1:13" ht="15.6" x14ac:dyDescent="0.3">
      <c r="A22" s="150" t="s">
        <v>46</v>
      </c>
      <c r="B22" s="166" t="str">
        <f>'ESTIMATIVA DE HORAS TÉCNICAS'!B62</f>
        <v>EDIFÍCIO EUCLYDES REIS AGUIAR - ERA</v>
      </c>
      <c r="C22" s="184">
        <f>'ESTIMATIVA DE HORAS TÉCNICAS'!C62</f>
        <v>0.25</v>
      </c>
      <c r="D22" s="427"/>
      <c r="E22" s="428"/>
      <c r="F22" s="428"/>
      <c r="G22" s="428"/>
      <c r="H22" s="428"/>
      <c r="I22" s="432"/>
      <c r="J22" s="120"/>
    </row>
    <row r="23" spans="1:13" ht="15.6" x14ac:dyDescent="0.3">
      <c r="A23" s="170"/>
      <c r="B23" s="46"/>
      <c r="C23" s="182"/>
      <c r="D23" s="317"/>
      <c r="E23" s="309"/>
      <c r="F23" s="217"/>
      <c r="G23" s="217"/>
      <c r="H23" s="217"/>
      <c r="I23" s="152"/>
    </row>
    <row r="24" spans="1:13" ht="15.6" x14ac:dyDescent="0.3">
      <c r="A24" s="176" t="s">
        <v>47</v>
      </c>
      <c r="B24" s="234" t="str">
        <f>'ESTIMATIVA DE HORAS TÉCNICAS'!B64</f>
        <v>Levantamento Cadastral em BIM (Edifício ERA)</v>
      </c>
      <c r="C24" s="182"/>
      <c r="D24" s="317">
        <f>'ESTIMATIVA DE HORAS TÉCNICAS'!F64*'ESTIMATIVA DE HORAS TÉCNICAS'!F$316+'ESTIMATIVA DE HORAS TÉCNICAS'!G64*'ESTIMATIVA DE HORAS TÉCNICAS'!F$315+'ESTIMATIVA DE HORAS TÉCNICAS'!H64*'ESTIMATIVA DE HORAS TÉCNICAS'!F$314+'ESTIMATIVA DE HORAS TÉCNICAS'!I64*'ESTIMATIVA DE HORAS TÉCNICAS'!F$318+'ESTIMATIVA DE HORAS TÉCNICAS'!J64*'ESTIMATIVA DE HORAS TÉCNICAS'!F$319+'ESTIMATIVA DE HORAS TÉCNICAS'!K64*'ESTIMATIVA DE HORAS TÉCNICAS'!F$317+'ESTIMATIVA DE HORAS TÉCNICAS'!L64*'ESTIMATIVA DE HORAS TÉCNICAS'!F$324+'ESTIMATIVA DE HORAS TÉCNICAS'!M64*'ESTIMATIVA DE HORAS TÉCNICAS'!F$323+'ESTIMATIVA DE HORAS TÉCNICAS'!N64*'ESTIMATIVA DE HORAS TÉCNICAS'!F$322+'ESTIMATIVA DE HORAS TÉCNICAS'!O64*'ESTIMATIVA DE HORAS TÉCNICAS'!F$321+'ESTIMATIVA DE HORAS TÉCNICAS'!P64*'ESTIMATIVA DE HORAS TÉCNICAS'!F$320+'ESTIMATIVA DE HORAS TÉCNICAS'!Q64*'ESTIMATIVA DE HORAS TÉCNICAS'!F$325+'ESTIMATIVA DE HORAS TÉCNICAS'!R64*'ESTIMATIVA DE HORAS TÉCNICAS'!F$326+'ESTIMATIVA DE HORAS TÉCNICAS'!S64*'ESTIMATIVA DE HORAS TÉCNICAS'!F329+'ESTIMATIVA DE HORAS TÉCNICAS'!T64*'ESTIMATIVA DE HORAS TÉCNICAS'!F$334</f>
        <v>41749.774793626981</v>
      </c>
      <c r="E24" s="424">
        <f>'CALCULO DO FATO K'!$D$10</f>
        <v>2.4264041095890412</v>
      </c>
      <c r="F24" s="217"/>
      <c r="G24" s="217"/>
      <c r="H24" s="424">
        <f>D24*E24</f>
        <v>101301.82513367347</v>
      </c>
      <c r="I24" s="152"/>
    </row>
    <row r="25" spans="1:13" ht="15.6" x14ac:dyDescent="0.3">
      <c r="A25" s="176" t="s">
        <v>48</v>
      </c>
      <c r="B25" s="234" t="str">
        <f>'ESTIMATIVA DE HORAS TÉCNICAS'!B74</f>
        <v>Memorial de Descritivo e Justificado (Edifício ERA)</v>
      </c>
      <c r="C25" s="182"/>
      <c r="D25" s="317">
        <f>'ESTIMATIVA DE HORAS TÉCNICAS'!F74*'ESTIMATIVA DE HORAS TÉCNICAS'!F$316+'ESTIMATIVA DE HORAS TÉCNICAS'!G74*'ESTIMATIVA DE HORAS TÉCNICAS'!F$315+'ESTIMATIVA DE HORAS TÉCNICAS'!H74*'ESTIMATIVA DE HORAS TÉCNICAS'!F$314+'ESTIMATIVA DE HORAS TÉCNICAS'!I74*'ESTIMATIVA DE HORAS TÉCNICAS'!F$318+'ESTIMATIVA DE HORAS TÉCNICAS'!J74*'ESTIMATIVA DE HORAS TÉCNICAS'!F$319+'ESTIMATIVA DE HORAS TÉCNICAS'!K74*'ESTIMATIVA DE HORAS TÉCNICAS'!F$317+'ESTIMATIVA DE HORAS TÉCNICAS'!L74*'ESTIMATIVA DE HORAS TÉCNICAS'!F$324+'ESTIMATIVA DE HORAS TÉCNICAS'!M74*'ESTIMATIVA DE HORAS TÉCNICAS'!F$323+'ESTIMATIVA DE HORAS TÉCNICAS'!N74*'ESTIMATIVA DE HORAS TÉCNICAS'!F$322+'ESTIMATIVA DE HORAS TÉCNICAS'!O74*'ESTIMATIVA DE HORAS TÉCNICAS'!F$321+'ESTIMATIVA DE HORAS TÉCNICAS'!P74*'ESTIMATIVA DE HORAS TÉCNICAS'!F$320+'ESTIMATIVA DE HORAS TÉCNICAS'!Q74*'ESTIMATIVA DE HORAS TÉCNICAS'!F$325+'ESTIMATIVA DE HORAS TÉCNICAS'!R74*'ESTIMATIVA DE HORAS TÉCNICAS'!F$326+'ESTIMATIVA DE HORAS TÉCNICAS'!S74*'ESTIMATIVA DE HORAS TÉCNICAS'!F329+'ESTIMATIVA DE HORAS TÉCNICAS'!T74*'ESTIMATIVA DE HORAS TÉCNICAS'!F$334</f>
        <v>13916.591597875657</v>
      </c>
      <c r="E25" s="424">
        <f>'CALCULO DO FATO K'!$D$10</f>
        <v>2.4264041095890412</v>
      </c>
      <c r="F25" s="217"/>
      <c r="G25" s="217"/>
      <c r="H25" s="424">
        <f t="shared" ref="H25:H29" si="1">D25*E25</f>
        <v>33767.275044557813</v>
      </c>
      <c r="I25" s="152"/>
    </row>
    <row r="26" spans="1:13" ht="15.6" x14ac:dyDescent="0.3">
      <c r="A26" s="176" t="s">
        <v>49</v>
      </c>
      <c r="B26" s="234" t="str">
        <f>'ESTIMATIVA DE HORAS TÉCNICAS'!B88</f>
        <v>Especificação Técnica Geral - ETG (Edifício ERA)</v>
      </c>
      <c r="C26" s="182"/>
      <c r="D26" s="317">
        <f>'ESTIMATIVA DE HORAS TÉCNICAS'!F88*'ESTIMATIVA DE HORAS TÉCNICAS'!F$316+'ESTIMATIVA DE HORAS TÉCNICAS'!G88*'ESTIMATIVA DE HORAS TÉCNICAS'!F$315+'ESTIMATIVA DE HORAS TÉCNICAS'!H88*'ESTIMATIVA DE HORAS TÉCNICAS'!F$314+'ESTIMATIVA DE HORAS TÉCNICAS'!I88*'ESTIMATIVA DE HORAS TÉCNICAS'!F$318+'ESTIMATIVA DE HORAS TÉCNICAS'!J88*'ESTIMATIVA DE HORAS TÉCNICAS'!F$319+'ESTIMATIVA DE HORAS TÉCNICAS'!K88*'ESTIMATIVA DE HORAS TÉCNICAS'!F$317+'ESTIMATIVA DE HORAS TÉCNICAS'!L88*'ESTIMATIVA DE HORAS TÉCNICAS'!F$324+'ESTIMATIVA DE HORAS TÉCNICAS'!M88*'ESTIMATIVA DE HORAS TÉCNICAS'!F$323+'ESTIMATIVA DE HORAS TÉCNICAS'!N88*'ESTIMATIVA DE HORAS TÉCNICAS'!F$322+'ESTIMATIVA DE HORAS TÉCNICAS'!O88*'ESTIMATIVA DE HORAS TÉCNICAS'!F$321+'ESTIMATIVA DE HORAS TÉCNICAS'!P88*'ESTIMATIVA DE HORAS TÉCNICAS'!F$320+'ESTIMATIVA DE HORAS TÉCNICAS'!Q88*'ESTIMATIVA DE HORAS TÉCNICAS'!F$325+'ESTIMATIVA DE HORAS TÉCNICAS'!R88*'ESTIMATIVA DE HORAS TÉCNICAS'!F$326+'ESTIMATIVA DE HORAS TÉCNICAS'!S88*'ESTIMATIVA DE HORAS TÉCNICAS'!F329+'ESTIMATIVA DE HORAS TÉCNICAS'!T88*'ESTIMATIVA DE HORAS TÉCNICAS'!F$334</f>
        <v>4638.8638659585531</v>
      </c>
      <c r="E26" s="424">
        <f>'CALCULO DO FATO K'!$D$10</f>
        <v>2.4264041095890412</v>
      </c>
      <c r="F26" s="217"/>
      <c r="G26" s="217"/>
      <c r="H26" s="424">
        <f t="shared" si="1"/>
        <v>11255.75834818594</v>
      </c>
      <c r="I26" s="152"/>
    </row>
    <row r="27" spans="1:13" ht="15.6" x14ac:dyDescent="0.3">
      <c r="A27" s="176" t="s">
        <v>50</v>
      </c>
      <c r="B27" s="234" t="str">
        <f>'ESTIMATIVA DE HORAS TÉCNICAS'!B92</f>
        <v>Especificação Técnica Específica - ETE (Edifício ERA)</v>
      </c>
      <c r="C27" s="182"/>
      <c r="D27" s="317">
        <f>'ESTIMATIVA DE HORAS TÉCNICAS'!F92*'ESTIMATIVA DE HORAS TÉCNICAS'!F$316+'ESTIMATIVA DE HORAS TÉCNICAS'!G92*'ESTIMATIVA DE HORAS TÉCNICAS'!F$315+'ESTIMATIVA DE HORAS TÉCNICAS'!H92*'ESTIMATIVA DE HORAS TÉCNICAS'!F$314+'ESTIMATIVA DE HORAS TÉCNICAS'!I92*'ESTIMATIVA DE HORAS TÉCNICAS'!F$318+'ESTIMATIVA DE HORAS TÉCNICAS'!J92*'ESTIMATIVA DE HORAS TÉCNICAS'!F$319+'ESTIMATIVA DE HORAS TÉCNICAS'!K92*'ESTIMATIVA DE HORAS TÉCNICAS'!F$317+'ESTIMATIVA DE HORAS TÉCNICAS'!L92*'ESTIMATIVA DE HORAS TÉCNICAS'!F$324+'ESTIMATIVA DE HORAS TÉCNICAS'!M92*'ESTIMATIVA DE HORAS TÉCNICAS'!F$323+'ESTIMATIVA DE HORAS TÉCNICAS'!N92*'ESTIMATIVA DE HORAS TÉCNICAS'!F$322+'ESTIMATIVA DE HORAS TÉCNICAS'!O92*'ESTIMATIVA DE HORAS TÉCNICAS'!F$321+'ESTIMATIVA DE HORAS TÉCNICAS'!P92*'ESTIMATIVA DE HORAS TÉCNICAS'!F$320+'ESTIMATIVA DE HORAS TÉCNICAS'!Q92*'ESTIMATIVA DE HORAS TÉCNICAS'!F$325+'ESTIMATIVA DE HORAS TÉCNICAS'!R92*'ESTIMATIVA DE HORAS TÉCNICAS'!F$326+'ESTIMATIVA DE HORAS TÉCNICAS'!S92*'ESTIMATIVA DE HORAS TÉCNICAS'!F329+'ESTIMATIVA DE HORAS TÉCNICAS'!T92*'ESTIMATIVA DE HORAS TÉCNICAS'!F$334</f>
        <v>9277.7277319171062</v>
      </c>
      <c r="E27" s="424">
        <f>'CALCULO DO FATO K'!$D$10</f>
        <v>2.4264041095890412</v>
      </c>
      <c r="F27" s="217"/>
      <c r="G27" s="217"/>
      <c r="H27" s="424">
        <f t="shared" si="1"/>
        <v>22511.51669637188</v>
      </c>
      <c r="I27" s="152"/>
      <c r="J27" s="120"/>
    </row>
    <row r="28" spans="1:13" ht="15.6" x14ac:dyDescent="0.3">
      <c r="A28" s="176" t="s">
        <v>51</v>
      </c>
      <c r="B28" s="234" t="str">
        <f>'ESTIMATIVA DE HORAS TÉCNICAS'!B96</f>
        <v>Planilhas Orçamentárias e de Quantitativos PSQ's (Edifício ERA)</v>
      </c>
      <c r="C28" s="182"/>
      <c r="D28" s="317">
        <f>'ESTIMATIVA DE HORAS TÉCNICAS'!F96*'ESTIMATIVA DE HORAS TÉCNICAS'!F$316+'ESTIMATIVA DE HORAS TÉCNICAS'!G96*'ESTIMATIVA DE HORAS TÉCNICAS'!F$315+'ESTIMATIVA DE HORAS TÉCNICAS'!H96*'ESTIMATIVA DE HORAS TÉCNICAS'!F$314+'ESTIMATIVA DE HORAS TÉCNICAS'!I96*'ESTIMATIVA DE HORAS TÉCNICAS'!F$318+'ESTIMATIVA DE HORAS TÉCNICAS'!J96*'ESTIMATIVA DE HORAS TÉCNICAS'!F$319+'ESTIMATIVA DE HORAS TÉCNICAS'!K96*'ESTIMATIVA DE HORAS TÉCNICAS'!F$317+'ESTIMATIVA DE HORAS TÉCNICAS'!L96*'ESTIMATIVA DE HORAS TÉCNICAS'!F$324+'ESTIMATIVA DE HORAS TÉCNICAS'!M96*'ESTIMATIVA DE HORAS TÉCNICAS'!F$323+'ESTIMATIVA DE HORAS TÉCNICAS'!N96*'ESTIMATIVA DE HORAS TÉCNICAS'!F$322+'ESTIMATIVA DE HORAS TÉCNICAS'!O96*'ESTIMATIVA DE HORAS TÉCNICAS'!F$321+'ESTIMATIVA DE HORAS TÉCNICAS'!P96*'ESTIMATIVA DE HORAS TÉCNICAS'!F$320+'ESTIMATIVA DE HORAS TÉCNICAS'!Q96*'ESTIMATIVA DE HORAS TÉCNICAS'!F$325+'ESTIMATIVA DE HORAS TÉCNICAS'!R96*'ESTIMATIVA DE HORAS TÉCNICAS'!F$326+'ESTIMATIVA DE HORAS TÉCNICAS'!S96*'ESTIMATIVA DE HORAS TÉCNICAS'!F329+'ESTIMATIVA DE HORAS TÉCNICAS'!T96*'ESTIMATIVA DE HORAS TÉCNICAS'!F$334</f>
        <v>9277.7277319171062</v>
      </c>
      <c r="E28" s="424">
        <f>'CALCULO DO FATO K'!$D$10</f>
        <v>2.4264041095890412</v>
      </c>
      <c r="F28" s="217"/>
      <c r="G28" s="217"/>
      <c r="H28" s="424">
        <f t="shared" si="1"/>
        <v>22511.51669637188</v>
      </c>
      <c r="I28" s="152"/>
      <c r="J28" s="120"/>
    </row>
    <row r="29" spans="1:13" ht="15.6" x14ac:dyDescent="0.3">
      <c r="A29" s="176" t="s">
        <v>52</v>
      </c>
      <c r="B29" s="234" t="str">
        <f>'ESTIMATIVA DE HORAS TÉCNICAS'!B101</f>
        <v>Plano de Manutenção, Operação e Controle - PMOC (Edifício ERA)</v>
      </c>
      <c r="C29" s="182"/>
      <c r="D29" s="317">
        <f>'ESTIMATIVA DE HORAS TÉCNICAS'!F101*'ESTIMATIVA DE HORAS TÉCNICAS'!F$316+'ESTIMATIVA DE HORAS TÉCNICAS'!G101*'ESTIMATIVA DE HORAS TÉCNICAS'!F$315+'ESTIMATIVA DE HORAS TÉCNICAS'!H101*'ESTIMATIVA DE HORAS TÉCNICAS'!F$314+'ESTIMATIVA DE HORAS TÉCNICAS'!I101*'ESTIMATIVA DE HORAS TÉCNICAS'!F$318+'ESTIMATIVA DE HORAS TÉCNICAS'!J101*'ESTIMATIVA DE HORAS TÉCNICAS'!F$319+'ESTIMATIVA DE HORAS TÉCNICAS'!K101*'ESTIMATIVA DE HORAS TÉCNICAS'!F$317+'ESTIMATIVA DE HORAS TÉCNICAS'!L101*'ESTIMATIVA DE HORAS TÉCNICAS'!F$324+'ESTIMATIVA DE HORAS TÉCNICAS'!M101*'ESTIMATIVA DE HORAS TÉCNICAS'!F$323+'ESTIMATIVA DE HORAS TÉCNICAS'!N101*'ESTIMATIVA DE HORAS TÉCNICAS'!F$322+'ESTIMATIVA DE HORAS TÉCNICAS'!O101*'ESTIMATIVA DE HORAS TÉCNICAS'!F$321+'ESTIMATIVA DE HORAS TÉCNICAS'!P101*'ESTIMATIVA DE HORAS TÉCNICAS'!F$320+'ESTIMATIVA DE HORAS TÉCNICAS'!Q101*'ESTIMATIVA DE HORAS TÉCNICAS'!F$325+'ESTIMATIVA DE HORAS TÉCNICAS'!R101*'ESTIMATIVA DE HORAS TÉCNICAS'!F$326+'ESTIMATIVA DE HORAS TÉCNICAS'!S101*'ESTIMATIVA DE HORAS TÉCNICAS'!F329+'ESTIMATIVA DE HORAS TÉCNICAS'!T101*'ESTIMATIVA DE HORAS TÉCNICAS'!F$334</f>
        <v>13916.591597875657</v>
      </c>
      <c r="E29" s="424">
        <f>'CALCULO DO FATO K'!$D$10</f>
        <v>2.4264041095890412</v>
      </c>
      <c r="F29" s="217"/>
      <c r="G29" s="217"/>
      <c r="H29" s="424">
        <f t="shared" si="1"/>
        <v>33767.275044557813</v>
      </c>
      <c r="I29" s="152"/>
      <c r="J29" s="120"/>
    </row>
    <row r="30" spans="1:13" s="559" customFormat="1" ht="15.6" x14ac:dyDescent="0.3">
      <c r="A30" s="555" t="s">
        <v>53</v>
      </c>
      <c r="B30" s="554" t="s">
        <v>44</v>
      </c>
      <c r="C30" s="560"/>
      <c r="D30" s="557"/>
      <c r="E30" s="561"/>
      <c r="F30" s="444">
        <f>'OUTROS CUSTOS DIRETOS'!F19</f>
        <v>260.5</v>
      </c>
      <c r="G30" s="444">
        <f>'CALCULO DO FATO K'!$D$11</f>
        <v>1.2557077625570778</v>
      </c>
      <c r="H30" s="444">
        <f>F30*G30</f>
        <v>327.1118721461188</v>
      </c>
      <c r="I30" s="562"/>
      <c r="J30" s="563"/>
    </row>
    <row r="31" spans="1:13" ht="15.6" x14ac:dyDescent="0.3">
      <c r="A31" s="170"/>
      <c r="B31" s="308"/>
      <c r="C31" s="162"/>
      <c r="D31" s="316"/>
      <c r="E31" s="163"/>
      <c r="F31" s="217"/>
      <c r="G31" s="217"/>
      <c r="H31" s="163"/>
      <c r="I31" s="152"/>
      <c r="J31" s="120"/>
    </row>
    <row r="32" spans="1:13" ht="16.5" customHeight="1" x14ac:dyDescent="0.3">
      <c r="A32" s="334"/>
      <c r="B32" s="137" t="s">
        <v>54</v>
      </c>
      <c r="C32" s="135"/>
      <c r="D32" s="318"/>
      <c r="E32" s="138"/>
      <c r="F32" s="138"/>
      <c r="G32" s="138"/>
      <c r="H32" s="138"/>
      <c r="I32" s="136">
        <f>SUM(H23:H31)</f>
        <v>225442.27883586494</v>
      </c>
      <c r="J32" s="276"/>
      <c r="K32" s="120"/>
    </row>
    <row r="33" spans="1:10" ht="15.6" x14ac:dyDescent="0.3">
      <c r="A33" s="170"/>
      <c r="B33" s="308"/>
      <c r="C33" s="161"/>
      <c r="D33" s="316"/>
      <c r="E33" s="217"/>
      <c r="F33" s="217"/>
      <c r="G33" s="217"/>
      <c r="H33" s="217"/>
      <c r="I33" s="152"/>
      <c r="J33" s="120"/>
    </row>
    <row r="34" spans="1:10" ht="15.6" x14ac:dyDescent="0.3">
      <c r="A34" s="150" t="s">
        <v>55</v>
      </c>
      <c r="B34" s="166" t="str">
        <f>'ESTIMATIVA DE HORAS TÉCNICAS'!B111</f>
        <v>OSCAR DIAS CÔRREA – ODC</v>
      </c>
      <c r="C34" s="184">
        <f>'ESTIMATIVA DE HORAS TÉCNICAS'!C111</f>
        <v>0.25</v>
      </c>
      <c r="D34" s="427"/>
      <c r="E34" s="428"/>
      <c r="F34" s="428"/>
      <c r="G34" s="428"/>
      <c r="H34" s="428"/>
      <c r="I34" s="432"/>
      <c r="J34" s="120"/>
    </row>
    <row r="35" spans="1:10" ht="15.6" x14ac:dyDescent="0.3">
      <c r="A35" s="170"/>
      <c r="B35" s="46"/>
      <c r="C35" s="182"/>
      <c r="D35" s="317"/>
      <c r="E35" s="309"/>
      <c r="F35" s="217"/>
      <c r="G35" s="217"/>
      <c r="H35" s="217"/>
      <c r="I35" s="152"/>
      <c r="J35" s="120"/>
    </row>
    <row r="36" spans="1:10" ht="15.6" x14ac:dyDescent="0.3">
      <c r="A36" s="176" t="s">
        <v>56</v>
      </c>
      <c r="B36" s="234" t="str">
        <f>'ESTIMATIVA DE HORAS TÉCNICAS'!B113</f>
        <v>Levantamento Cadastral em BIM (Edifício ODC)</v>
      </c>
      <c r="C36" s="182"/>
      <c r="D36" s="317">
        <f>'ESTIMATIVA DE HORAS TÉCNICAS'!F113*'ESTIMATIVA DE HORAS TÉCNICAS'!$F$316+'ESTIMATIVA DE HORAS TÉCNICAS'!G113*'ESTIMATIVA DE HORAS TÉCNICAS'!$F$315+'ESTIMATIVA DE HORAS TÉCNICAS'!H113*'ESTIMATIVA DE HORAS TÉCNICAS'!$F$314+'ESTIMATIVA DE HORAS TÉCNICAS'!I113*'ESTIMATIVA DE HORAS TÉCNICAS'!$F$318+'ESTIMATIVA DE HORAS TÉCNICAS'!J113*'ESTIMATIVA DE HORAS TÉCNICAS'!$F$319+'ESTIMATIVA DE HORAS TÉCNICAS'!K113*'ESTIMATIVA DE HORAS TÉCNICAS'!$F$317+'ESTIMATIVA DE HORAS TÉCNICAS'!L113*'ESTIMATIVA DE HORAS TÉCNICAS'!$F$324+'ESTIMATIVA DE HORAS TÉCNICAS'!M113*'ESTIMATIVA DE HORAS TÉCNICAS'!$F$323+'ESTIMATIVA DE HORAS TÉCNICAS'!N113*'ESTIMATIVA DE HORAS TÉCNICAS'!$F$322+'ESTIMATIVA DE HORAS TÉCNICAS'!O113*'ESTIMATIVA DE HORAS TÉCNICAS'!$F$321+'ESTIMATIVA DE HORAS TÉCNICAS'!P113*'ESTIMATIVA DE HORAS TÉCNICAS'!$F$320+'ESTIMATIVA DE HORAS TÉCNICAS'!Q113*'ESTIMATIVA DE HORAS TÉCNICAS'!$F$325+'ESTIMATIVA DE HORAS TÉCNICAS'!R113*'ESTIMATIVA DE HORAS TÉCNICAS'!$F$326+'ESTIMATIVA DE HORAS TÉCNICAS'!S113*'ESTIMATIVA DE HORAS TÉCNICAS'!$F$329+'ESTIMATIVA DE HORAS TÉCNICAS'!T113*'ESTIMATIVA DE HORAS TÉCNICAS'!$F$334</f>
        <v>41749.774793626981</v>
      </c>
      <c r="E36" s="424">
        <f>'CALCULO DO FATO K'!$D$10</f>
        <v>2.4264041095890412</v>
      </c>
      <c r="F36" s="217"/>
      <c r="G36" s="217"/>
      <c r="H36" s="424">
        <f t="shared" ref="H36:H41" si="2">D36*E36</f>
        <v>101301.82513367347</v>
      </c>
      <c r="I36" s="152"/>
      <c r="J36" s="120"/>
    </row>
    <row r="37" spans="1:10" ht="15.6" x14ac:dyDescent="0.3">
      <c r="A37" s="176" t="s">
        <v>57</v>
      </c>
      <c r="B37" s="234" t="str">
        <f>'ESTIMATIVA DE HORAS TÉCNICAS'!B123</f>
        <v>Memorial de Descritivo e Justificado (Edifício ODC)</v>
      </c>
      <c r="C37" s="182"/>
      <c r="D37" s="317">
        <f>'ESTIMATIVA DE HORAS TÉCNICAS'!F123*'ESTIMATIVA DE HORAS TÉCNICAS'!$F$316+'ESTIMATIVA DE HORAS TÉCNICAS'!G123*'ESTIMATIVA DE HORAS TÉCNICAS'!$F$315+'ESTIMATIVA DE HORAS TÉCNICAS'!H123*'ESTIMATIVA DE HORAS TÉCNICAS'!$F$314+'ESTIMATIVA DE HORAS TÉCNICAS'!I123*'ESTIMATIVA DE HORAS TÉCNICAS'!$F$318+'ESTIMATIVA DE HORAS TÉCNICAS'!J123*'ESTIMATIVA DE HORAS TÉCNICAS'!$F$319+'ESTIMATIVA DE HORAS TÉCNICAS'!K123*'ESTIMATIVA DE HORAS TÉCNICAS'!$F$317+'ESTIMATIVA DE HORAS TÉCNICAS'!L123*'ESTIMATIVA DE HORAS TÉCNICAS'!$F$324+'ESTIMATIVA DE HORAS TÉCNICAS'!M123*'ESTIMATIVA DE HORAS TÉCNICAS'!$F$323+'ESTIMATIVA DE HORAS TÉCNICAS'!N123*'ESTIMATIVA DE HORAS TÉCNICAS'!$F$322+'ESTIMATIVA DE HORAS TÉCNICAS'!O123*'ESTIMATIVA DE HORAS TÉCNICAS'!$F$321+'ESTIMATIVA DE HORAS TÉCNICAS'!P123*'ESTIMATIVA DE HORAS TÉCNICAS'!$F$320+'ESTIMATIVA DE HORAS TÉCNICAS'!Q123*'ESTIMATIVA DE HORAS TÉCNICAS'!$F$325+'ESTIMATIVA DE HORAS TÉCNICAS'!R123*'ESTIMATIVA DE HORAS TÉCNICAS'!$F$326+'ESTIMATIVA DE HORAS TÉCNICAS'!S123*'ESTIMATIVA DE HORAS TÉCNICAS'!$F$329+'ESTIMATIVA DE HORAS TÉCNICAS'!T123*'ESTIMATIVA DE HORAS TÉCNICAS'!$F$334</f>
        <v>13916.591597875657</v>
      </c>
      <c r="E37" s="424">
        <f>'CALCULO DO FATO K'!$D$10</f>
        <v>2.4264041095890412</v>
      </c>
      <c r="F37" s="217"/>
      <c r="G37" s="217"/>
      <c r="H37" s="424">
        <f t="shared" si="2"/>
        <v>33767.275044557813</v>
      </c>
      <c r="I37" s="152"/>
      <c r="J37" s="120"/>
    </row>
    <row r="38" spans="1:10" ht="15.6" x14ac:dyDescent="0.3">
      <c r="A38" s="176" t="s">
        <v>58</v>
      </c>
      <c r="B38" s="234" t="str">
        <f>'ESTIMATIVA DE HORAS TÉCNICAS'!B137</f>
        <v>Especificação Técnica Geral - ETG (Edifício ODC)</v>
      </c>
      <c r="C38" s="182"/>
      <c r="D38" s="317">
        <f>'ESTIMATIVA DE HORAS TÉCNICAS'!F137*'ESTIMATIVA DE HORAS TÉCNICAS'!$F$316+'ESTIMATIVA DE HORAS TÉCNICAS'!G137*'ESTIMATIVA DE HORAS TÉCNICAS'!$F$315+'ESTIMATIVA DE HORAS TÉCNICAS'!H137*'ESTIMATIVA DE HORAS TÉCNICAS'!$F$314+'ESTIMATIVA DE HORAS TÉCNICAS'!I137*'ESTIMATIVA DE HORAS TÉCNICAS'!$F$318+'ESTIMATIVA DE HORAS TÉCNICAS'!J137*'ESTIMATIVA DE HORAS TÉCNICAS'!$F$319+'ESTIMATIVA DE HORAS TÉCNICAS'!K137*'ESTIMATIVA DE HORAS TÉCNICAS'!$F$317+'ESTIMATIVA DE HORAS TÉCNICAS'!L137*'ESTIMATIVA DE HORAS TÉCNICAS'!$F$324+'ESTIMATIVA DE HORAS TÉCNICAS'!M137*'ESTIMATIVA DE HORAS TÉCNICAS'!$F$323+'ESTIMATIVA DE HORAS TÉCNICAS'!N137*'ESTIMATIVA DE HORAS TÉCNICAS'!$F$322+'ESTIMATIVA DE HORAS TÉCNICAS'!O137*'ESTIMATIVA DE HORAS TÉCNICAS'!$F$321+'ESTIMATIVA DE HORAS TÉCNICAS'!P137*'ESTIMATIVA DE HORAS TÉCNICAS'!$F$320+'ESTIMATIVA DE HORAS TÉCNICAS'!Q137*'ESTIMATIVA DE HORAS TÉCNICAS'!$F$325+'ESTIMATIVA DE HORAS TÉCNICAS'!R137*'ESTIMATIVA DE HORAS TÉCNICAS'!$F$326+'ESTIMATIVA DE HORAS TÉCNICAS'!S137*'ESTIMATIVA DE HORAS TÉCNICAS'!$F$329+'ESTIMATIVA DE HORAS TÉCNICAS'!T137*'ESTIMATIVA DE HORAS TÉCNICAS'!$F$334</f>
        <v>4638.8638659585531</v>
      </c>
      <c r="E38" s="424">
        <f>'CALCULO DO FATO K'!$D$10</f>
        <v>2.4264041095890412</v>
      </c>
      <c r="F38" s="217"/>
      <c r="G38" s="217"/>
      <c r="H38" s="424">
        <f t="shared" si="2"/>
        <v>11255.75834818594</v>
      </c>
      <c r="I38" s="152"/>
      <c r="J38" s="120"/>
    </row>
    <row r="39" spans="1:10" ht="15.6" x14ac:dyDescent="0.3">
      <c r="A39" s="176" t="s">
        <v>59</v>
      </c>
      <c r="B39" s="234" t="str">
        <f>'ESTIMATIVA DE HORAS TÉCNICAS'!B141</f>
        <v>Especificação Técnica Específica - ETE (Edifício ODC)</v>
      </c>
      <c r="C39" s="182"/>
      <c r="D39" s="317">
        <f>'ESTIMATIVA DE HORAS TÉCNICAS'!F141*'ESTIMATIVA DE HORAS TÉCNICAS'!$F$316+'ESTIMATIVA DE HORAS TÉCNICAS'!G141*'ESTIMATIVA DE HORAS TÉCNICAS'!$F$315+'ESTIMATIVA DE HORAS TÉCNICAS'!H141*'ESTIMATIVA DE HORAS TÉCNICAS'!$F$314+'ESTIMATIVA DE HORAS TÉCNICAS'!I141*'ESTIMATIVA DE HORAS TÉCNICAS'!$F$318+'ESTIMATIVA DE HORAS TÉCNICAS'!J141*'ESTIMATIVA DE HORAS TÉCNICAS'!$F$319+'ESTIMATIVA DE HORAS TÉCNICAS'!K141*'ESTIMATIVA DE HORAS TÉCNICAS'!$F$317+'ESTIMATIVA DE HORAS TÉCNICAS'!L141*'ESTIMATIVA DE HORAS TÉCNICAS'!$F$324+'ESTIMATIVA DE HORAS TÉCNICAS'!M141*'ESTIMATIVA DE HORAS TÉCNICAS'!$F$323+'ESTIMATIVA DE HORAS TÉCNICAS'!N141*'ESTIMATIVA DE HORAS TÉCNICAS'!$F$322+'ESTIMATIVA DE HORAS TÉCNICAS'!O141*'ESTIMATIVA DE HORAS TÉCNICAS'!$F$321+'ESTIMATIVA DE HORAS TÉCNICAS'!P141*'ESTIMATIVA DE HORAS TÉCNICAS'!$F$320+'ESTIMATIVA DE HORAS TÉCNICAS'!Q141*'ESTIMATIVA DE HORAS TÉCNICAS'!$F$325+'ESTIMATIVA DE HORAS TÉCNICAS'!R141*'ESTIMATIVA DE HORAS TÉCNICAS'!$F$326+'ESTIMATIVA DE HORAS TÉCNICAS'!S141*'ESTIMATIVA DE HORAS TÉCNICAS'!$F$329+'ESTIMATIVA DE HORAS TÉCNICAS'!T141*'ESTIMATIVA DE HORAS TÉCNICAS'!$F$334</f>
        <v>9277.7277319171062</v>
      </c>
      <c r="E39" s="424">
        <f>'CALCULO DO FATO K'!$D$10</f>
        <v>2.4264041095890412</v>
      </c>
      <c r="F39" s="217"/>
      <c r="G39" s="217"/>
      <c r="H39" s="424">
        <f t="shared" si="2"/>
        <v>22511.51669637188</v>
      </c>
      <c r="I39" s="152"/>
      <c r="J39" s="120"/>
    </row>
    <row r="40" spans="1:10" ht="15.6" x14ac:dyDescent="0.3">
      <c r="A40" s="176" t="s">
        <v>60</v>
      </c>
      <c r="B40" s="234" t="str">
        <f>'ESTIMATIVA DE HORAS TÉCNICAS'!B145</f>
        <v>Planilhas Orçamentárias e de Quantitativos PSQ's (Edifício ODC)</v>
      </c>
      <c r="C40" s="182"/>
      <c r="D40" s="317">
        <f>'ESTIMATIVA DE HORAS TÉCNICAS'!F145*'ESTIMATIVA DE HORAS TÉCNICAS'!$F$316+'ESTIMATIVA DE HORAS TÉCNICAS'!G145*'ESTIMATIVA DE HORAS TÉCNICAS'!$F$315+'ESTIMATIVA DE HORAS TÉCNICAS'!H145*'ESTIMATIVA DE HORAS TÉCNICAS'!$F$314+'ESTIMATIVA DE HORAS TÉCNICAS'!I145*'ESTIMATIVA DE HORAS TÉCNICAS'!$F$318+'ESTIMATIVA DE HORAS TÉCNICAS'!J145*'ESTIMATIVA DE HORAS TÉCNICAS'!$F$319+'ESTIMATIVA DE HORAS TÉCNICAS'!K145*'ESTIMATIVA DE HORAS TÉCNICAS'!$F$317+'ESTIMATIVA DE HORAS TÉCNICAS'!L145*'ESTIMATIVA DE HORAS TÉCNICAS'!$F$324+'ESTIMATIVA DE HORAS TÉCNICAS'!M145*'ESTIMATIVA DE HORAS TÉCNICAS'!$F$323+'ESTIMATIVA DE HORAS TÉCNICAS'!N145*'ESTIMATIVA DE HORAS TÉCNICAS'!$F$322+'ESTIMATIVA DE HORAS TÉCNICAS'!O145*'ESTIMATIVA DE HORAS TÉCNICAS'!$F$321+'ESTIMATIVA DE HORAS TÉCNICAS'!P145*'ESTIMATIVA DE HORAS TÉCNICAS'!$F$320+'ESTIMATIVA DE HORAS TÉCNICAS'!Q145*'ESTIMATIVA DE HORAS TÉCNICAS'!$F$325+'ESTIMATIVA DE HORAS TÉCNICAS'!R145*'ESTIMATIVA DE HORAS TÉCNICAS'!$F$326+'ESTIMATIVA DE HORAS TÉCNICAS'!S145*'ESTIMATIVA DE HORAS TÉCNICAS'!$F$329+'ESTIMATIVA DE HORAS TÉCNICAS'!T145*'ESTIMATIVA DE HORAS TÉCNICAS'!$F$334</f>
        <v>9277.7277319171062</v>
      </c>
      <c r="E40" s="424">
        <f>'CALCULO DO FATO K'!$D$10</f>
        <v>2.4264041095890412</v>
      </c>
      <c r="F40" s="217"/>
      <c r="G40" s="217"/>
      <c r="H40" s="424">
        <f t="shared" si="2"/>
        <v>22511.51669637188</v>
      </c>
      <c r="I40" s="152"/>
      <c r="J40" s="120"/>
    </row>
    <row r="41" spans="1:10" ht="15.6" x14ac:dyDescent="0.3">
      <c r="A41" s="176" t="s">
        <v>61</v>
      </c>
      <c r="B41" s="234" t="str">
        <f>'ESTIMATIVA DE HORAS TÉCNICAS'!B150</f>
        <v>Plano de Manutenção, Operação e Controle - PMOC (Edifício ODC)</v>
      </c>
      <c r="C41" s="182"/>
      <c r="D41" s="317">
        <f>'ESTIMATIVA DE HORAS TÉCNICAS'!F150*'ESTIMATIVA DE HORAS TÉCNICAS'!$F$316+'ESTIMATIVA DE HORAS TÉCNICAS'!G150*'ESTIMATIVA DE HORAS TÉCNICAS'!$F$315+'ESTIMATIVA DE HORAS TÉCNICAS'!H150*'ESTIMATIVA DE HORAS TÉCNICAS'!$F$314+'ESTIMATIVA DE HORAS TÉCNICAS'!I150*'ESTIMATIVA DE HORAS TÉCNICAS'!$F$318+'ESTIMATIVA DE HORAS TÉCNICAS'!J150*'ESTIMATIVA DE HORAS TÉCNICAS'!$F$319+'ESTIMATIVA DE HORAS TÉCNICAS'!K150*'ESTIMATIVA DE HORAS TÉCNICAS'!$F$317+'ESTIMATIVA DE HORAS TÉCNICAS'!L150*'ESTIMATIVA DE HORAS TÉCNICAS'!$F$324+'ESTIMATIVA DE HORAS TÉCNICAS'!M150*'ESTIMATIVA DE HORAS TÉCNICAS'!$F$323+'ESTIMATIVA DE HORAS TÉCNICAS'!N150*'ESTIMATIVA DE HORAS TÉCNICAS'!$F$322+'ESTIMATIVA DE HORAS TÉCNICAS'!O150*'ESTIMATIVA DE HORAS TÉCNICAS'!$F$321+'ESTIMATIVA DE HORAS TÉCNICAS'!P150*'ESTIMATIVA DE HORAS TÉCNICAS'!$F$320+'ESTIMATIVA DE HORAS TÉCNICAS'!Q150*'ESTIMATIVA DE HORAS TÉCNICAS'!$F$325+'ESTIMATIVA DE HORAS TÉCNICAS'!R150*'ESTIMATIVA DE HORAS TÉCNICAS'!$F$326+'ESTIMATIVA DE HORAS TÉCNICAS'!S150*'ESTIMATIVA DE HORAS TÉCNICAS'!$F$329+'ESTIMATIVA DE HORAS TÉCNICAS'!T150*'ESTIMATIVA DE HORAS TÉCNICAS'!$F$334</f>
        <v>13916.591597875657</v>
      </c>
      <c r="E41" s="424">
        <f>'CALCULO DO FATO K'!$D$10</f>
        <v>2.4264041095890412</v>
      </c>
      <c r="F41" s="217"/>
      <c r="G41" s="217"/>
      <c r="H41" s="424">
        <f t="shared" si="2"/>
        <v>33767.275044557813</v>
      </c>
      <c r="I41" s="152"/>
      <c r="J41" s="120"/>
    </row>
    <row r="42" spans="1:10" s="559" customFormat="1" ht="15.6" x14ac:dyDescent="0.3">
      <c r="A42" s="555" t="s">
        <v>62</v>
      </c>
      <c r="B42" s="554" t="s">
        <v>44</v>
      </c>
      <c r="C42" s="560"/>
      <c r="D42" s="557"/>
      <c r="E42" s="561"/>
      <c r="F42" s="444">
        <f>'OUTROS CUSTOS DIRETOS'!F24</f>
        <v>260.5</v>
      </c>
      <c r="G42" s="444">
        <f>'CALCULO DO FATO K'!$D$11</f>
        <v>1.2557077625570778</v>
      </c>
      <c r="H42" s="444">
        <f>F42*G42</f>
        <v>327.1118721461188</v>
      </c>
      <c r="I42" s="562"/>
      <c r="J42" s="563"/>
    </row>
    <row r="43" spans="1:10" ht="15.6" x14ac:dyDescent="0.3">
      <c r="A43" s="440"/>
      <c r="B43" s="423"/>
      <c r="C43" s="182"/>
      <c r="D43" s="317"/>
      <c r="E43" s="424"/>
      <c r="F43" s="422"/>
      <c r="G43" s="444"/>
      <c r="H43" s="422"/>
      <c r="I43" s="152"/>
      <c r="J43" s="120"/>
    </row>
    <row r="44" spans="1:10" ht="15.6" x14ac:dyDescent="0.3">
      <c r="A44" s="334"/>
      <c r="B44" s="137" t="s">
        <v>63</v>
      </c>
      <c r="C44" s="135"/>
      <c r="D44" s="318"/>
      <c r="E44" s="138"/>
      <c r="F44" s="138"/>
      <c r="G44" s="138"/>
      <c r="H44" s="138"/>
      <c r="I44" s="136">
        <f>SUM(H35:H43)</f>
        <v>225442.27883586494</v>
      </c>
      <c r="J44" s="120"/>
    </row>
    <row r="45" spans="1:10" ht="15.6" x14ac:dyDescent="0.3">
      <c r="A45" s="170"/>
      <c r="B45" s="308"/>
      <c r="C45" s="161"/>
      <c r="D45" s="316"/>
      <c r="E45" s="217"/>
      <c r="F45" s="217"/>
      <c r="G45" s="217"/>
      <c r="H45" s="217"/>
      <c r="I45" s="152"/>
      <c r="J45" s="120"/>
    </row>
    <row r="46" spans="1:10" ht="15.6" x14ac:dyDescent="0.3">
      <c r="A46" s="334" t="s">
        <v>64</v>
      </c>
      <c r="B46" s="185" t="str">
        <f>'ESTIMATIVA DE HORAS TÉCNICAS'!B160</f>
        <v>NÚCLEO JUDICIÁRIO DE CONCILIAÇÃO – NUCON (CASA)</v>
      </c>
      <c r="C46" s="186">
        <f>'ESTIMATIVA DE HORAS TÉCNICAS'!C160</f>
        <v>0.06</v>
      </c>
      <c r="D46" s="319"/>
      <c r="E46" s="187"/>
      <c r="F46" s="187"/>
      <c r="G46" s="187"/>
      <c r="H46" s="187"/>
      <c r="I46" s="136"/>
      <c r="J46" s="120"/>
    </row>
    <row r="47" spans="1:10" ht="15.6" x14ac:dyDescent="0.3">
      <c r="A47" s="170"/>
      <c r="B47" s="46"/>
      <c r="C47" s="161"/>
      <c r="D47" s="316"/>
      <c r="E47" s="217"/>
      <c r="F47" s="217"/>
      <c r="G47" s="217"/>
      <c r="H47" s="217"/>
      <c r="I47" s="152"/>
      <c r="J47" s="120"/>
    </row>
    <row r="48" spans="1:10" ht="15.6" x14ac:dyDescent="0.3">
      <c r="A48" s="170" t="s">
        <v>65</v>
      </c>
      <c r="B48" s="308" t="str">
        <f>'ESTIMATIVA DE HORAS TÉCNICAS'!B162</f>
        <v>Levantamento Cadastral em BIM (Edifício NUCON)</v>
      </c>
      <c r="C48" s="161"/>
      <c r="D48" s="317">
        <f>'ESTIMATIVA DE HORAS TÉCNICAS'!F162*'ESTIMATIVA DE HORAS TÉCNICAS'!$F$316+'ESTIMATIVA DE HORAS TÉCNICAS'!G162*'ESTIMATIVA DE HORAS TÉCNICAS'!$F$315+'ESTIMATIVA DE HORAS TÉCNICAS'!H162*'ESTIMATIVA DE HORAS TÉCNICAS'!$F$314+'ESTIMATIVA DE HORAS TÉCNICAS'!I162*'ESTIMATIVA DE HORAS TÉCNICAS'!$F$318+'ESTIMATIVA DE HORAS TÉCNICAS'!J162*'ESTIMATIVA DE HORAS TÉCNICAS'!$F$319+'ESTIMATIVA DE HORAS TÉCNICAS'!K162*'ESTIMATIVA DE HORAS TÉCNICAS'!$F$317+'ESTIMATIVA DE HORAS TÉCNICAS'!L162*'ESTIMATIVA DE HORAS TÉCNICAS'!$F$324+'ESTIMATIVA DE HORAS TÉCNICAS'!M162*'ESTIMATIVA DE HORAS TÉCNICAS'!$F$323+'ESTIMATIVA DE HORAS TÉCNICAS'!N162*'ESTIMATIVA DE HORAS TÉCNICAS'!$F$322+'ESTIMATIVA DE HORAS TÉCNICAS'!O162*'ESTIMATIVA DE HORAS TÉCNICAS'!$F$321+'ESTIMATIVA DE HORAS TÉCNICAS'!P162*'ESTIMATIVA DE HORAS TÉCNICAS'!$F$320+'ESTIMATIVA DE HORAS TÉCNICAS'!Q162*'ESTIMATIVA DE HORAS TÉCNICAS'!$F$325+'ESTIMATIVA DE HORAS TÉCNICAS'!R162*'ESTIMATIVA DE HORAS TÉCNICAS'!$F$326+'ESTIMATIVA DE HORAS TÉCNICAS'!S162*'ESTIMATIVA DE HORAS TÉCNICAS'!$F$329+'ESTIMATIVA DE HORAS TÉCNICAS'!T162*'ESTIMATIVA DE HORAS TÉCNICAS'!$F$334</f>
        <v>10019.945950470474</v>
      </c>
      <c r="E48" s="163">
        <f>'CALCULO DO FATO K'!D$10</f>
        <v>2.4264041095890412</v>
      </c>
      <c r="F48" s="217"/>
      <c r="G48" s="217"/>
      <c r="H48" s="163">
        <f>D48*E48</f>
        <v>24312.438032081627</v>
      </c>
      <c r="I48" s="152"/>
      <c r="J48" s="120"/>
    </row>
    <row r="49" spans="1:10" ht="15.6" x14ac:dyDescent="0.3">
      <c r="A49" s="170" t="s">
        <v>66</v>
      </c>
      <c r="B49" s="308" t="str">
        <f>'ESTIMATIVA DE HORAS TÉCNICAS'!B172</f>
        <v>Memorial Descritivo e Justificativo (Edifício NUCON)</v>
      </c>
      <c r="C49" s="161"/>
      <c r="D49" s="317">
        <f>'ESTIMATIVA DE HORAS TÉCNICAS'!F172*'ESTIMATIVA DE HORAS TÉCNICAS'!$F$316+'ESTIMATIVA DE HORAS TÉCNICAS'!G172*'ESTIMATIVA DE HORAS TÉCNICAS'!$F$315+'ESTIMATIVA DE HORAS TÉCNICAS'!H172*'ESTIMATIVA DE HORAS TÉCNICAS'!$F$314+'ESTIMATIVA DE HORAS TÉCNICAS'!I172*'ESTIMATIVA DE HORAS TÉCNICAS'!$F$318+'ESTIMATIVA DE HORAS TÉCNICAS'!J172*'ESTIMATIVA DE HORAS TÉCNICAS'!$F$319+'ESTIMATIVA DE HORAS TÉCNICAS'!K172*'ESTIMATIVA DE HORAS TÉCNICAS'!$F$317+'ESTIMATIVA DE HORAS TÉCNICAS'!L172*'ESTIMATIVA DE HORAS TÉCNICAS'!$F$324+'ESTIMATIVA DE HORAS TÉCNICAS'!M172*'ESTIMATIVA DE HORAS TÉCNICAS'!$F$323+'ESTIMATIVA DE HORAS TÉCNICAS'!N172*'ESTIMATIVA DE HORAS TÉCNICAS'!$F$322+'ESTIMATIVA DE HORAS TÉCNICAS'!O172*'ESTIMATIVA DE HORAS TÉCNICAS'!$F$321+'ESTIMATIVA DE HORAS TÉCNICAS'!P172*'ESTIMATIVA DE HORAS TÉCNICAS'!$F$320+'ESTIMATIVA DE HORAS TÉCNICAS'!Q172*'ESTIMATIVA DE HORAS TÉCNICAS'!$F$325+'ESTIMATIVA DE HORAS TÉCNICAS'!R172*'ESTIMATIVA DE HORAS TÉCNICAS'!$F$326+'ESTIMATIVA DE HORAS TÉCNICAS'!S172*'ESTIMATIVA DE HORAS TÉCNICAS'!$F$329+'ESTIMATIVA DE HORAS TÉCNICAS'!T172*'ESTIMATIVA DE HORAS TÉCNICAS'!$F$334</f>
        <v>3339.9819834901577</v>
      </c>
      <c r="E49" s="163">
        <f>'CALCULO DO FATO K'!D$10</f>
        <v>2.4264041095890412</v>
      </c>
      <c r="F49" s="217"/>
      <c r="G49" s="217"/>
      <c r="H49" s="163">
        <f>D49*E49</f>
        <v>8104.1460106938757</v>
      </c>
      <c r="I49" s="152"/>
      <c r="J49" s="120"/>
    </row>
    <row r="50" spans="1:10" ht="15.6" x14ac:dyDescent="0.3">
      <c r="A50" s="170" t="s">
        <v>67</v>
      </c>
      <c r="B50" s="308" t="str">
        <f>'ESTIMATIVA DE HORAS TÉCNICAS'!B186</f>
        <v>Especificação Técnica Geral - ETG (Edifício NUCON)</v>
      </c>
      <c r="C50" s="161"/>
      <c r="D50" s="317">
        <f>'ESTIMATIVA DE HORAS TÉCNICAS'!F186*'ESTIMATIVA DE HORAS TÉCNICAS'!$F$316+'ESTIMATIVA DE HORAS TÉCNICAS'!G186*'ESTIMATIVA DE HORAS TÉCNICAS'!$F$315+'ESTIMATIVA DE HORAS TÉCNICAS'!H186*'ESTIMATIVA DE HORAS TÉCNICAS'!$F$314+'ESTIMATIVA DE HORAS TÉCNICAS'!I186*'ESTIMATIVA DE HORAS TÉCNICAS'!$F$318+'ESTIMATIVA DE HORAS TÉCNICAS'!J186*'ESTIMATIVA DE HORAS TÉCNICAS'!$F$319+'ESTIMATIVA DE HORAS TÉCNICAS'!K186*'ESTIMATIVA DE HORAS TÉCNICAS'!$F$317+'ESTIMATIVA DE HORAS TÉCNICAS'!L186*'ESTIMATIVA DE HORAS TÉCNICAS'!$F$324+'ESTIMATIVA DE HORAS TÉCNICAS'!M186*'ESTIMATIVA DE HORAS TÉCNICAS'!$F$323+'ESTIMATIVA DE HORAS TÉCNICAS'!N186*'ESTIMATIVA DE HORAS TÉCNICAS'!$F$322+'ESTIMATIVA DE HORAS TÉCNICAS'!O186*'ESTIMATIVA DE HORAS TÉCNICAS'!$F$321+'ESTIMATIVA DE HORAS TÉCNICAS'!P186*'ESTIMATIVA DE HORAS TÉCNICAS'!$F$320+'ESTIMATIVA DE HORAS TÉCNICAS'!Q186*'ESTIMATIVA DE HORAS TÉCNICAS'!$F$325+'ESTIMATIVA DE HORAS TÉCNICAS'!R186*'ESTIMATIVA DE HORAS TÉCNICAS'!$F$326+'ESTIMATIVA DE HORAS TÉCNICAS'!S186*'ESTIMATIVA DE HORAS TÉCNICAS'!$F$329+'ESTIMATIVA DE HORAS TÉCNICAS'!T186*'ESTIMATIVA DE HORAS TÉCNICAS'!$F$334</f>
        <v>1113.3273278300524</v>
      </c>
      <c r="E50" s="163">
        <f>'CALCULO DO FATO K'!D$10</f>
        <v>2.4264041095890412</v>
      </c>
      <c r="F50" s="217"/>
      <c r="G50" s="217"/>
      <c r="H50" s="163">
        <f>D50*E50</f>
        <v>2701.3820035646249</v>
      </c>
      <c r="I50" s="152"/>
      <c r="J50" s="120"/>
    </row>
    <row r="51" spans="1:10" ht="15.6" x14ac:dyDescent="0.3">
      <c r="A51" s="170" t="s">
        <v>68</v>
      </c>
      <c r="B51" s="308" t="str">
        <f>'ESTIMATIVA DE HORAS TÉCNICAS'!B190</f>
        <v>Especificação Técnica Específica - ETE (Edifício NUCON)</v>
      </c>
      <c r="C51" s="161"/>
      <c r="D51" s="317">
        <f>'ESTIMATIVA DE HORAS TÉCNICAS'!F190*'ESTIMATIVA DE HORAS TÉCNICAS'!$F$316+'ESTIMATIVA DE HORAS TÉCNICAS'!G190*'ESTIMATIVA DE HORAS TÉCNICAS'!$F$315+'ESTIMATIVA DE HORAS TÉCNICAS'!H190*'ESTIMATIVA DE HORAS TÉCNICAS'!$F$314+'ESTIMATIVA DE HORAS TÉCNICAS'!I190*'ESTIMATIVA DE HORAS TÉCNICAS'!$F$318+'ESTIMATIVA DE HORAS TÉCNICAS'!J190*'ESTIMATIVA DE HORAS TÉCNICAS'!$F$319+'ESTIMATIVA DE HORAS TÉCNICAS'!K190*'ESTIMATIVA DE HORAS TÉCNICAS'!$F$317+'ESTIMATIVA DE HORAS TÉCNICAS'!L190*'ESTIMATIVA DE HORAS TÉCNICAS'!$F$324+'ESTIMATIVA DE HORAS TÉCNICAS'!M190*'ESTIMATIVA DE HORAS TÉCNICAS'!$F$323+'ESTIMATIVA DE HORAS TÉCNICAS'!N190*'ESTIMATIVA DE HORAS TÉCNICAS'!$F$322+'ESTIMATIVA DE HORAS TÉCNICAS'!O190*'ESTIMATIVA DE HORAS TÉCNICAS'!$F$321+'ESTIMATIVA DE HORAS TÉCNICAS'!P190*'ESTIMATIVA DE HORAS TÉCNICAS'!$F$320+'ESTIMATIVA DE HORAS TÉCNICAS'!Q190*'ESTIMATIVA DE HORAS TÉCNICAS'!$F$325+'ESTIMATIVA DE HORAS TÉCNICAS'!R190*'ESTIMATIVA DE HORAS TÉCNICAS'!$F$326+'ESTIMATIVA DE HORAS TÉCNICAS'!S190*'ESTIMATIVA DE HORAS TÉCNICAS'!$F$329+'ESTIMATIVA DE HORAS TÉCNICAS'!T190*'ESTIMATIVA DE HORAS TÉCNICAS'!$F$334</f>
        <v>2226.6546556601047</v>
      </c>
      <c r="E51" s="163">
        <f>'CALCULO DO FATO K'!D$10</f>
        <v>2.4264041095890412</v>
      </c>
      <c r="F51" s="217"/>
      <c r="G51" s="217"/>
      <c r="H51" s="163">
        <f t="shared" ref="H51:H53" si="3">D51*E51</f>
        <v>5402.7640071292499</v>
      </c>
      <c r="I51" s="152"/>
      <c r="J51" s="120"/>
    </row>
    <row r="52" spans="1:10" ht="15.6" x14ac:dyDescent="0.3">
      <c r="A52" s="170" t="s">
        <v>69</v>
      </c>
      <c r="B52" s="308" t="str">
        <f>'ESTIMATIVA DE HORAS TÉCNICAS'!B194</f>
        <v>Planilhas Orçamentárias e de Quantitativos PSQ's (Edifício NUCON)</v>
      </c>
      <c r="C52" s="161"/>
      <c r="D52" s="317">
        <f>'ESTIMATIVA DE HORAS TÉCNICAS'!F194*'ESTIMATIVA DE HORAS TÉCNICAS'!$F$316+'ESTIMATIVA DE HORAS TÉCNICAS'!G194*'ESTIMATIVA DE HORAS TÉCNICAS'!$F$315+'ESTIMATIVA DE HORAS TÉCNICAS'!H194*'ESTIMATIVA DE HORAS TÉCNICAS'!$F$314+'ESTIMATIVA DE HORAS TÉCNICAS'!I194*'ESTIMATIVA DE HORAS TÉCNICAS'!$F$318+'ESTIMATIVA DE HORAS TÉCNICAS'!J194*'ESTIMATIVA DE HORAS TÉCNICAS'!$F$319+'ESTIMATIVA DE HORAS TÉCNICAS'!K194*'ESTIMATIVA DE HORAS TÉCNICAS'!$F$317+'ESTIMATIVA DE HORAS TÉCNICAS'!L194*'ESTIMATIVA DE HORAS TÉCNICAS'!$F$324+'ESTIMATIVA DE HORAS TÉCNICAS'!M194*'ESTIMATIVA DE HORAS TÉCNICAS'!$F$323+'ESTIMATIVA DE HORAS TÉCNICAS'!N194*'ESTIMATIVA DE HORAS TÉCNICAS'!$F$322+'ESTIMATIVA DE HORAS TÉCNICAS'!O194*'ESTIMATIVA DE HORAS TÉCNICAS'!$F$321+'ESTIMATIVA DE HORAS TÉCNICAS'!P194*'ESTIMATIVA DE HORAS TÉCNICAS'!$F$320+'ESTIMATIVA DE HORAS TÉCNICAS'!Q194*'ESTIMATIVA DE HORAS TÉCNICAS'!$F$325+'ESTIMATIVA DE HORAS TÉCNICAS'!R194*'ESTIMATIVA DE HORAS TÉCNICAS'!$F$326+'ESTIMATIVA DE HORAS TÉCNICAS'!S194*'ESTIMATIVA DE HORAS TÉCNICAS'!$F$329+'ESTIMATIVA DE HORAS TÉCNICAS'!T194*'ESTIMATIVA DE HORAS TÉCNICAS'!$F$334</f>
        <v>2226.6546556601047</v>
      </c>
      <c r="E52" s="163">
        <f>'CALCULO DO FATO K'!D$10</f>
        <v>2.4264041095890412</v>
      </c>
      <c r="F52" s="217"/>
      <c r="G52" s="217"/>
      <c r="H52" s="163">
        <f t="shared" si="3"/>
        <v>5402.7640071292499</v>
      </c>
      <c r="I52" s="152"/>
      <c r="J52" s="120"/>
    </row>
    <row r="53" spans="1:10" ht="15.6" x14ac:dyDescent="0.3">
      <c r="A53" s="170" t="s">
        <v>70</v>
      </c>
      <c r="B53" s="308" t="str">
        <f>'ESTIMATIVA DE HORAS TÉCNICAS'!B199</f>
        <v>Plano de Manutenção, Operação e Controle - PMOC (Edifício NUCON)</v>
      </c>
      <c r="C53" s="161"/>
      <c r="D53" s="317">
        <f>'ESTIMATIVA DE HORAS TÉCNICAS'!F199*'ESTIMATIVA DE HORAS TÉCNICAS'!$F$316+'ESTIMATIVA DE HORAS TÉCNICAS'!G199*'ESTIMATIVA DE HORAS TÉCNICAS'!$F$315+'ESTIMATIVA DE HORAS TÉCNICAS'!H199*'ESTIMATIVA DE HORAS TÉCNICAS'!$F$314+'ESTIMATIVA DE HORAS TÉCNICAS'!I199*'ESTIMATIVA DE HORAS TÉCNICAS'!$F$318+'ESTIMATIVA DE HORAS TÉCNICAS'!J199*'ESTIMATIVA DE HORAS TÉCNICAS'!$F$319+'ESTIMATIVA DE HORAS TÉCNICAS'!K199*'ESTIMATIVA DE HORAS TÉCNICAS'!$F$317+'ESTIMATIVA DE HORAS TÉCNICAS'!L199*'ESTIMATIVA DE HORAS TÉCNICAS'!$F$324+'ESTIMATIVA DE HORAS TÉCNICAS'!M199*'ESTIMATIVA DE HORAS TÉCNICAS'!$F$323+'ESTIMATIVA DE HORAS TÉCNICAS'!N199*'ESTIMATIVA DE HORAS TÉCNICAS'!$F$322+'ESTIMATIVA DE HORAS TÉCNICAS'!O199*'ESTIMATIVA DE HORAS TÉCNICAS'!$F$321+'ESTIMATIVA DE HORAS TÉCNICAS'!P199*'ESTIMATIVA DE HORAS TÉCNICAS'!$F$320+'ESTIMATIVA DE HORAS TÉCNICAS'!Q199*'ESTIMATIVA DE HORAS TÉCNICAS'!$F$325+'ESTIMATIVA DE HORAS TÉCNICAS'!R199*'ESTIMATIVA DE HORAS TÉCNICAS'!$F$326+'ESTIMATIVA DE HORAS TÉCNICAS'!S199*'ESTIMATIVA DE HORAS TÉCNICAS'!$F$329+'ESTIMATIVA DE HORAS TÉCNICAS'!T199*'ESTIMATIVA DE HORAS TÉCNICAS'!$F$334</f>
        <v>3339.9819834901577</v>
      </c>
      <c r="E53" s="163">
        <f>'CALCULO DO FATO K'!D$10</f>
        <v>2.4264041095890412</v>
      </c>
      <c r="F53" s="217"/>
      <c r="G53" s="217"/>
      <c r="H53" s="163">
        <f t="shared" si="3"/>
        <v>8104.1460106938757</v>
      </c>
      <c r="I53" s="152"/>
      <c r="J53" s="120"/>
    </row>
    <row r="54" spans="1:10" s="559" customFormat="1" ht="15.6" x14ac:dyDescent="0.3">
      <c r="A54" s="564" t="s">
        <v>71</v>
      </c>
      <c r="B54" s="554" t="s">
        <v>44</v>
      </c>
      <c r="C54" s="565"/>
      <c r="D54" s="557"/>
      <c r="E54" s="566"/>
      <c r="F54" s="444">
        <f>'OUTROS CUSTOS DIRETOS'!F29</f>
        <v>260.5</v>
      </c>
      <c r="G54" s="444">
        <f>'CALCULO DO FATO K'!$D$11</f>
        <v>1.2557077625570778</v>
      </c>
      <c r="H54" s="444">
        <f>F54*G54</f>
        <v>327.1118721461188</v>
      </c>
      <c r="I54" s="562"/>
      <c r="J54" s="563"/>
    </row>
    <row r="55" spans="1:10" ht="15.6" x14ac:dyDescent="0.3">
      <c r="A55" s="170"/>
      <c r="B55" s="308"/>
      <c r="C55" s="161"/>
      <c r="D55" s="316"/>
      <c r="E55" s="217"/>
      <c r="F55" s="217"/>
      <c r="G55" s="217"/>
      <c r="H55" s="217"/>
      <c r="I55" s="152"/>
      <c r="J55" s="120"/>
    </row>
    <row r="56" spans="1:10" ht="16.5" customHeight="1" x14ac:dyDescent="0.3">
      <c r="A56" s="335"/>
      <c r="B56" s="137" t="s">
        <v>72</v>
      </c>
      <c r="C56" s="135"/>
      <c r="D56" s="319"/>
      <c r="E56" s="187"/>
      <c r="F56" s="187"/>
      <c r="G56" s="187"/>
      <c r="H56" s="187"/>
      <c r="I56" s="136">
        <f>SUM(H47:H55)</f>
        <v>54354.751943438619</v>
      </c>
    </row>
    <row r="57" spans="1:10" ht="15.6" x14ac:dyDescent="0.3">
      <c r="A57" s="170"/>
      <c r="B57" s="46"/>
      <c r="C57" s="161"/>
      <c r="D57" s="316"/>
      <c r="E57" s="217"/>
      <c r="F57" s="217"/>
      <c r="G57" s="217"/>
      <c r="H57" s="217"/>
      <c r="I57" s="152"/>
      <c r="J57" s="120"/>
    </row>
    <row r="58" spans="1:10" ht="15.6" x14ac:dyDescent="0.3">
      <c r="A58" s="334" t="s">
        <v>73</v>
      </c>
      <c r="B58" s="185" t="str">
        <f>'ESTIMATIVA DE HORAS TÉCNICAS'!B209</f>
        <v>ARQUIVO JUDICIAL E ADMINISTRATIVO (GALPÃO)</v>
      </c>
      <c r="C58" s="186">
        <f>'ESTIMATIVA DE HORAS TÉCNICAS'!C209</f>
        <v>0.13</v>
      </c>
      <c r="D58" s="319"/>
      <c r="E58" s="187"/>
      <c r="F58" s="187"/>
      <c r="G58" s="187"/>
      <c r="H58" s="187"/>
      <c r="I58" s="136"/>
      <c r="J58" s="120"/>
    </row>
    <row r="59" spans="1:10" ht="15.6" x14ac:dyDescent="0.3">
      <c r="A59" s="170"/>
      <c r="B59" s="46"/>
      <c r="C59" s="161"/>
      <c r="D59" s="316"/>
      <c r="E59" s="217"/>
      <c r="F59" s="217"/>
      <c r="G59" s="217"/>
      <c r="H59" s="217"/>
      <c r="I59" s="152"/>
      <c r="J59" s="120"/>
    </row>
    <row r="60" spans="1:10" ht="15.6" x14ac:dyDescent="0.3">
      <c r="A60" s="170" t="s">
        <v>74</v>
      </c>
      <c r="B60" s="308" t="str">
        <f>'ESTIMATIVA DE HORAS TÉCNICAS'!B211</f>
        <v>Levantamento Cadastral em BIM (Galpão - Arquivo Judicial)</v>
      </c>
      <c r="C60" s="161"/>
      <c r="D60" s="317">
        <f>'ESTIMATIVA DE HORAS TÉCNICAS'!F211*'ESTIMATIVA DE HORAS TÉCNICAS'!$F$316+'ESTIMATIVA DE HORAS TÉCNICAS'!G211*'ESTIMATIVA DE HORAS TÉCNICAS'!$F$315+'ESTIMATIVA DE HORAS TÉCNICAS'!H211*'ESTIMATIVA DE HORAS TÉCNICAS'!$F$314+'ESTIMATIVA DE HORAS TÉCNICAS'!I211*'ESTIMATIVA DE HORAS TÉCNICAS'!$F$318+'ESTIMATIVA DE HORAS TÉCNICAS'!J211*'ESTIMATIVA DE HORAS TÉCNICAS'!$F$319+'ESTIMATIVA DE HORAS TÉCNICAS'!K211*'ESTIMATIVA DE HORAS TÉCNICAS'!$F$317+'ESTIMATIVA DE HORAS TÉCNICAS'!L211*'ESTIMATIVA DE HORAS TÉCNICAS'!$F$324+'ESTIMATIVA DE HORAS TÉCNICAS'!M211*'ESTIMATIVA DE HORAS TÉCNICAS'!$F$323+'ESTIMATIVA DE HORAS TÉCNICAS'!N211*'ESTIMATIVA DE HORAS TÉCNICAS'!$F$322+'ESTIMATIVA DE HORAS TÉCNICAS'!O211*'ESTIMATIVA DE HORAS TÉCNICAS'!$F$321+'ESTIMATIVA DE HORAS TÉCNICAS'!P211*'ESTIMATIVA DE HORAS TÉCNICAS'!$F$320+'ESTIMATIVA DE HORAS TÉCNICAS'!Q211*'ESTIMATIVA DE HORAS TÉCNICAS'!$F$325+'ESTIMATIVA DE HORAS TÉCNICAS'!R211*'ESTIMATIVA DE HORAS TÉCNICAS'!$F$326+'ESTIMATIVA DE HORAS TÉCNICAS'!S211*'ESTIMATIVA DE HORAS TÉCNICAS'!$F$329+'ESTIMATIVA DE HORAS TÉCNICAS'!T211*'ESTIMATIVA DE HORAS TÉCNICAS'!$F$334</f>
        <v>21709.882892686026</v>
      </c>
      <c r="E60" s="163">
        <f>'CALCULO DO FATO K'!D$10</f>
        <v>2.4264041095890412</v>
      </c>
      <c r="F60" s="217"/>
      <c r="G60" s="217"/>
      <c r="H60" s="163">
        <f>D60*E60</f>
        <v>52676.949069510192</v>
      </c>
      <c r="I60" s="152"/>
      <c r="J60" s="120"/>
    </row>
    <row r="61" spans="1:10" ht="15.6" x14ac:dyDescent="0.3">
      <c r="A61" s="170" t="s">
        <v>75</v>
      </c>
      <c r="B61" s="308" t="str">
        <f>'ESTIMATIVA DE HORAS TÉCNICAS'!B221</f>
        <v>Memorial Descritivo e Justificativo (Galpão - Arquivo Judicial)</v>
      </c>
      <c r="C61" s="161"/>
      <c r="D61" s="317">
        <f>'ESTIMATIVA DE HORAS TÉCNICAS'!F221*'ESTIMATIVA DE HORAS TÉCNICAS'!$F$316+'ESTIMATIVA DE HORAS TÉCNICAS'!G221*'ESTIMATIVA DE HORAS TÉCNICAS'!$F$315+'ESTIMATIVA DE HORAS TÉCNICAS'!H221*'ESTIMATIVA DE HORAS TÉCNICAS'!$F$314+'ESTIMATIVA DE HORAS TÉCNICAS'!I221*'ESTIMATIVA DE HORAS TÉCNICAS'!$F$318+'ESTIMATIVA DE HORAS TÉCNICAS'!J221*'ESTIMATIVA DE HORAS TÉCNICAS'!$F$319+'ESTIMATIVA DE HORAS TÉCNICAS'!K221*'ESTIMATIVA DE HORAS TÉCNICAS'!$F$317+'ESTIMATIVA DE HORAS TÉCNICAS'!L221*'ESTIMATIVA DE HORAS TÉCNICAS'!$F$324+'ESTIMATIVA DE HORAS TÉCNICAS'!M221*'ESTIMATIVA DE HORAS TÉCNICAS'!$F$323+'ESTIMATIVA DE HORAS TÉCNICAS'!N221*'ESTIMATIVA DE HORAS TÉCNICAS'!$F$322+'ESTIMATIVA DE HORAS TÉCNICAS'!O221*'ESTIMATIVA DE HORAS TÉCNICAS'!$F$321+'ESTIMATIVA DE HORAS TÉCNICAS'!P221*'ESTIMATIVA DE HORAS TÉCNICAS'!$F$320+'ESTIMATIVA DE HORAS TÉCNICAS'!Q221*'ESTIMATIVA DE HORAS TÉCNICAS'!$F$325+'ESTIMATIVA DE HORAS TÉCNICAS'!R221*'ESTIMATIVA DE HORAS TÉCNICAS'!$F$326+'ESTIMATIVA DE HORAS TÉCNICAS'!S221*'ESTIMATIVA DE HORAS TÉCNICAS'!$F$329+'ESTIMATIVA DE HORAS TÉCNICAS'!T221*'ESTIMATIVA DE HORAS TÉCNICAS'!$F$334</f>
        <v>7236.627630895342</v>
      </c>
      <c r="E61" s="163">
        <f>'CALCULO DO FATO K'!D$10</f>
        <v>2.4264041095890412</v>
      </c>
      <c r="F61" s="217"/>
      <c r="G61" s="217"/>
      <c r="H61" s="163">
        <f>D61*E61</f>
        <v>17558.983023170065</v>
      </c>
      <c r="I61" s="152"/>
      <c r="J61" s="120"/>
    </row>
    <row r="62" spans="1:10" ht="15.6" x14ac:dyDescent="0.3">
      <c r="A62" s="170" t="s">
        <v>76</v>
      </c>
      <c r="B62" s="308" t="str">
        <f>'ESTIMATIVA DE HORAS TÉCNICAS'!B235</f>
        <v>Especificação Técnica Geral - ETG (Galpão - Arquivo Judicial)</v>
      </c>
      <c r="C62" s="161"/>
      <c r="D62" s="317">
        <f>'ESTIMATIVA DE HORAS TÉCNICAS'!F235*'ESTIMATIVA DE HORAS TÉCNICAS'!$F$316+'ESTIMATIVA DE HORAS TÉCNICAS'!G235*'ESTIMATIVA DE HORAS TÉCNICAS'!$F$315+'ESTIMATIVA DE HORAS TÉCNICAS'!H235*'ESTIMATIVA DE HORAS TÉCNICAS'!$F$314+'ESTIMATIVA DE HORAS TÉCNICAS'!I235*'ESTIMATIVA DE HORAS TÉCNICAS'!$F$318+'ESTIMATIVA DE HORAS TÉCNICAS'!J235*'ESTIMATIVA DE HORAS TÉCNICAS'!$F$319+'ESTIMATIVA DE HORAS TÉCNICAS'!K235*'ESTIMATIVA DE HORAS TÉCNICAS'!$F$317+'ESTIMATIVA DE HORAS TÉCNICAS'!L235*'ESTIMATIVA DE HORAS TÉCNICAS'!$F$324+'ESTIMATIVA DE HORAS TÉCNICAS'!M235*'ESTIMATIVA DE HORAS TÉCNICAS'!$F$323+'ESTIMATIVA DE HORAS TÉCNICAS'!N235*'ESTIMATIVA DE HORAS TÉCNICAS'!$F$322+'ESTIMATIVA DE HORAS TÉCNICAS'!O235*'ESTIMATIVA DE HORAS TÉCNICAS'!$F$321+'ESTIMATIVA DE HORAS TÉCNICAS'!P235*'ESTIMATIVA DE HORAS TÉCNICAS'!$F$320+'ESTIMATIVA DE HORAS TÉCNICAS'!Q235*'ESTIMATIVA DE HORAS TÉCNICAS'!$F$325+'ESTIMATIVA DE HORAS TÉCNICAS'!R235*'ESTIMATIVA DE HORAS TÉCNICAS'!$F$326+'ESTIMATIVA DE HORAS TÉCNICAS'!S235*'ESTIMATIVA DE HORAS TÉCNICAS'!$F$329+'ESTIMATIVA DE HORAS TÉCNICAS'!T235*'ESTIMATIVA DE HORAS TÉCNICAS'!$F$334</f>
        <v>2412.2092102984466</v>
      </c>
      <c r="E62" s="163">
        <f>'CALCULO DO FATO K'!D$10</f>
        <v>2.4264041095890412</v>
      </c>
      <c r="F62" s="217"/>
      <c r="G62" s="217"/>
      <c r="H62" s="163">
        <f>D62*E62</f>
        <v>5852.9943410566866</v>
      </c>
      <c r="I62" s="152"/>
      <c r="J62" s="120"/>
    </row>
    <row r="63" spans="1:10" ht="15.6" x14ac:dyDescent="0.3">
      <c r="A63" s="170" t="s">
        <v>77</v>
      </c>
      <c r="B63" s="308" t="str">
        <f>'ESTIMATIVA DE HORAS TÉCNICAS'!B239</f>
        <v>Especificação Técnica Específica - ETE (Galpão - Arquivo Judicial)</v>
      </c>
      <c r="C63" s="161"/>
      <c r="D63" s="317">
        <f>'ESTIMATIVA DE HORAS TÉCNICAS'!F239*'ESTIMATIVA DE HORAS TÉCNICAS'!$F$316+'ESTIMATIVA DE HORAS TÉCNICAS'!G239*'ESTIMATIVA DE HORAS TÉCNICAS'!$F$315+'ESTIMATIVA DE HORAS TÉCNICAS'!H239*'ESTIMATIVA DE HORAS TÉCNICAS'!$F$314+'ESTIMATIVA DE HORAS TÉCNICAS'!I239*'ESTIMATIVA DE HORAS TÉCNICAS'!$F$318+'ESTIMATIVA DE HORAS TÉCNICAS'!J239*'ESTIMATIVA DE HORAS TÉCNICAS'!$F$319+'ESTIMATIVA DE HORAS TÉCNICAS'!K239*'ESTIMATIVA DE HORAS TÉCNICAS'!$F$317+'ESTIMATIVA DE HORAS TÉCNICAS'!L239*'ESTIMATIVA DE HORAS TÉCNICAS'!$F$324+'ESTIMATIVA DE HORAS TÉCNICAS'!M239*'ESTIMATIVA DE HORAS TÉCNICAS'!$F$323+'ESTIMATIVA DE HORAS TÉCNICAS'!N239*'ESTIMATIVA DE HORAS TÉCNICAS'!$F$322+'ESTIMATIVA DE HORAS TÉCNICAS'!O239*'ESTIMATIVA DE HORAS TÉCNICAS'!$F$321+'ESTIMATIVA DE HORAS TÉCNICAS'!P239*'ESTIMATIVA DE HORAS TÉCNICAS'!$F$320+'ESTIMATIVA DE HORAS TÉCNICAS'!Q239*'ESTIMATIVA DE HORAS TÉCNICAS'!$F$325+'ESTIMATIVA DE HORAS TÉCNICAS'!R239*'ESTIMATIVA DE HORAS TÉCNICAS'!$F$326+'ESTIMATIVA DE HORAS TÉCNICAS'!S239*'ESTIMATIVA DE HORAS TÉCNICAS'!$F$329+'ESTIMATIVA DE HORAS TÉCNICAS'!T239*'ESTIMATIVA DE HORAS TÉCNICAS'!$F$334</f>
        <v>4824.4184205968932</v>
      </c>
      <c r="E63" s="163">
        <f>'CALCULO DO FATO K'!D$10</f>
        <v>2.4264041095890412</v>
      </c>
      <c r="F63" s="217"/>
      <c r="G63" s="217"/>
      <c r="H63" s="163">
        <f t="shared" ref="H63:H65" si="4">D63*E63</f>
        <v>11705.988682113373</v>
      </c>
      <c r="I63" s="152"/>
      <c r="J63" s="120"/>
    </row>
    <row r="64" spans="1:10" ht="15.6" x14ac:dyDescent="0.3">
      <c r="A64" s="170" t="s">
        <v>78</v>
      </c>
      <c r="B64" s="308" t="str">
        <f>'ESTIMATIVA DE HORAS TÉCNICAS'!B243</f>
        <v>Planilhas Orçamentárias e de Quantitativos PSQ's (Galpão - Arquivo Judicial)</v>
      </c>
      <c r="C64" s="161"/>
      <c r="D64" s="317">
        <f>'ESTIMATIVA DE HORAS TÉCNICAS'!F243*'ESTIMATIVA DE HORAS TÉCNICAS'!$F$316+'ESTIMATIVA DE HORAS TÉCNICAS'!G243*'ESTIMATIVA DE HORAS TÉCNICAS'!$F$315+'ESTIMATIVA DE HORAS TÉCNICAS'!H243*'ESTIMATIVA DE HORAS TÉCNICAS'!$F$314+'ESTIMATIVA DE HORAS TÉCNICAS'!I243*'ESTIMATIVA DE HORAS TÉCNICAS'!$F$318+'ESTIMATIVA DE HORAS TÉCNICAS'!J243*'ESTIMATIVA DE HORAS TÉCNICAS'!$F$319+'ESTIMATIVA DE HORAS TÉCNICAS'!K243*'ESTIMATIVA DE HORAS TÉCNICAS'!$F$317+'ESTIMATIVA DE HORAS TÉCNICAS'!L243*'ESTIMATIVA DE HORAS TÉCNICAS'!$F$324+'ESTIMATIVA DE HORAS TÉCNICAS'!M243*'ESTIMATIVA DE HORAS TÉCNICAS'!$F$323+'ESTIMATIVA DE HORAS TÉCNICAS'!N243*'ESTIMATIVA DE HORAS TÉCNICAS'!$F$322+'ESTIMATIVA DE HORAS TÉCNICAS'!O243*'ESTIMATIVA DE HORAS TÉCNICAS'!$F$321+'ESTIMATIVA DE HORAS TÉCNICAS'!P243*'ESTIMATIVA DE HORAS TÉCNICAS'!$F$320+'ESTIMATIVA DE HORAS TÉCNICAS'!Q243*'ESTIMATIVA DE HORAS TÉCNICAS'!$F$325+'ESTIMATIVA DE HORAS TÉCNICAS'!R243*'ESTIMATIVA DE HORAS TÉCNICAS'!$F$326+'ESTIMATIVA DE HORAS TÉCNICAS'!S243*'ESTIMATIVA DE HORAS TÉCNICAS'!$F$329+'ESTIMATIVA DE HORAS TÉCNICAS'!T243*'ESTIMATIVA DE HORAS TÉCNICAS'!$F$334</f>
        <v>4824.4184205968932</v>
      </c>
      <c r="E64" s="163">
        <f>'CALCULO DO FATO K'!D$10</f>
        <v>2.4264041095890412</v>
      </c>
      <c r="F64" s="217"/>
      <c r="G64" s="217"/>
      <c r="H64" s="163">
        <f t="shared" si="4"/>
        <v>11705.988682113373</v>
      </c>
      <c r="I64" s="152"/>
      <c r="J64" s="120"/>
    </row>
    <row r="65" spans="1:10" ht="15.6" x14ac:dyDescent="0.3">
      <c r="A65" s="170" t="s">
        <v>79</v>
      </c>
      <c r="B65" s="308" t="str">
        <f>'ESTIMATIVA DE HORAS TÉCNICAS'!B248</f>
        <v>Plano de Manutenção, Operação e Controle - PMOC (Galpão - Arquivo Judicial)</v>
      </c>
      <c r="C65" s="161"/>
      <c r="D65" s="317">
        <f>'ESTIMATIVA DE HORAS TÉCNICAS'!F248*'ESTIMATIVA DE HORAS TÉCNICAS'!$F$316+'ESTIMATIVA DE HORAS TÉCNICAS'!G248*'ESTIMATIVA DE HORAS TÉCNICAS'!$F$315+'ESTIMATIVA DE HORAS TÉCNICAS'!H248*'ESTIMATIVA DE HORAS TÉCNICAS'!$F$314+'ESTIMATIVA DE HORAS TÉCNICAS'!I248*'ESTIMATIVA DE HORAS TÉCNICAS'!$F$318+'ESTIMATIVA DE HORAS TÉCNICAS'!J248*'ESTIMATIVA DE HORAS TÉCNICAS'!$F$319+'ESTIMATIVA DE HORAS TÉCNICAS'!K248*'ESTIMATIVA DE HORAS TÉCNICAS'!$F$317+'ESTIMATIVA DE HORAS TÉCNICAS'!L248*'ESTIMATIVA DE HORAS TÉCNICAS'!$F$324+'ESTIMATIVA DE HORAS TÉCNICAS'!M248*'ESTIMATIVA DE HORAS TÉCNICAS'!$F$323+'ESTIMATIVA DE HORAS TÉCNICAS'!N248*'ESTIMATIVA DE HORAS TÉCNICAS'!$F$322+'ESTIMATIVA DE HORAS TÉCNICAS'!O248*'ESTIMATIVA DE HORAS TÉCNICAS'!$F$321+'ESTIMATIVA DE HORAS TÉCNICAS'!P248*'ESTIMATIVA DE HORAS TÉCNICAS'!$F$320+'ESTIMATIVA DE HORAS TÉCNICAS'!Q248*'ESTIMATIVA DE HORAS TÉCNICAS'!$F$325+'ESTIMATIVA DE HORAS TÉCNICAS'!R248*'ESTIMATIVA DE HORAS TÉCNICAS'!$F$326+'ESTIMATIVA DE HORAS TÉCNICAS'!S248*'ESTIMATIVA DE HORAS TÉCNICAS'!$F$329+'ESTIMATIVA DE HORAS TÉCNICAS'!T248*'ESTIMATIVA DE HORAS TÉCNICAS'!$F$334</f>
        <v>7236.627630895342</v>
      </c>
      <c r="E65" s="163">
        <f>'CALCULO DO FATO K'!D$10</f>
        <v>2.4264041095890412</v>
      </c>
      <c r="F65" s="217"/>
      <c r="G65" s="217"/>
      <c r="H65" s="163">
        <f t="shared" si="4"/>
        <v>17558.983023170065</v>
      </c>
      <c r="I65" s="152"/>
      <c r="J65" s="120"/>
    </row>
    <row r="66" spans="1:10" s="559" customFormat="1" ht="15.6" x14ac:dyDescent="0.3">
      <c r="A66" s="564" t="s">
        <v>80</v>
      </c>
      <c r="B66" s="554" t="s">
        <v>44</v>
      </c>
      <c r="C66" s="565"/>
      <c r="D66" s="557"/>
      <c r="E66" s="566"/>
      <c r="F66" s="444">
        <f>'OUTROS CUSTOS DIRETOS'!F34</f>
        <v>260.5</v>
      </c>
      <c r="G66" s="444">
        <f>'CALCULO DO FATO K'!$D$11</f>
        <v>1.2557077625570778</v>
      </c>
      <c r="H66" s="444">
        <f>F66*G66</f>
        <v>327.1118721461188</v>
      </c>
      <c r="I66" s="562"/>
      <c r="J66" s="563"/>
    </row>
    <row r="67" spans="1:10" ht="15.6" x14ac:dyDescent="0.3">
      <c r="A67" s="170"/>
      <c r="B67" s="308"/>
      <c r="C67" s="161"/>
      <c r="D67" s="316"/>
      <c r="E67" s="217"/>
      <c r="F67" s="217"/>
      <c r="G67" s="217"/>
      <c r="H67" s="217"/>
      <c r="I67" s="152"/>
      <c r="J67" s="120"/>
    </row>
    <row r="68" spans="1:10" ht="16.5" customHeight="1" x14ac:dyDescent="0.3">
      <c r="A68" s="335"/>
      <c r="B68" s="137" t="s">
        <v>81</v>
      </c>
      <c r="C68" s="135"/>
      <c r="D68" s="319"/>
      <c r="E68" s="187"/>
      <c r="F68" s="187"/>
      <c r="G68" s="187"/>
      <c r="H68" s="187"/>
      <c r="I68" s="136">
        <f>SUM(H59:H67)</f>
        <v>117386.99869327988</v>
      </c>
    </row>
    <row r="69" spans="1:10" ht="15.6" x14ac:dyDescent="0.3">
      <c r="A69" s="170"/>
      <c r="B69" s="46"/>
      <c r="C69" s="161"/>
      <c r="D69" s="316"/>
      <c r="E69" s="217"/>
      <c r="F69" s="217"/>
      <c r="G69" s="217"/>
      <c r="H69" s="217"/>
      <c r="I69" s="152"/>
      <c r="J69" s="120"/>
    </row>
    <row r="70" spans="1:10" ht="15.6" x14ac:dyDescent="0.3">
      <c r="A70" s="334" t="s">
        <v>82</v>
      </c>
      <c r="B70" s="185" t="str">
        <f>'ESTIMATIVA DE HORAS TÉCNICAS'!B258</f>
        <v>CASA - CENTRAL DE PERICIAS</v>
      </c>
      <c r="C70" s="186">
        <f>'ESTIMATIVA DE HORAS TÉCNICAS'!C258</f>
        <v>0.06</v>
      </c>
      <c r="D70" s="319"/>
      <c r="E70" s="187"/>
      <c r="F70" s="187"/>
      <c r="G70" s="187"/>
      <c r="H70" s="187"/>
      <c r="I70" s="136"/>
      <c r="J70" s="120"/>
    </row>
    <row r="71" spans="1:10" ht="15.6" x14ac:dyDescent="0.3">
      <c r="A71" s="170"/>
      <c r="B71" s="46"/>
      <c r="C71" s="161"/>
      <c r="D71" s="316"/>
      <c r="E71" s="217"/>
      <c r="F71" s="217"/>
      <c r="G71" s="217"/>
      <c r="H71" s="217"/>
      <c r="I71" s="152"/>
      <c r="J71" s="120"/>
    </row>
    <row r="72" spans="1:10" ht="15.6" x14ac:dyDescent="0.3">
      <c r="A72" s="170" t="s">
        <v>83</v>
      </c>
      <c r="B72" s="308" t="str">
        <f>'ESTIMATIVA DE HORAS TÉCNICAS'!B260</f>
        <v>Levantamento Cadastral em BIM (Casa Central de Perícias)</v>
      </c>
      <c r="C72" s="161"/>
      <c r="D72" s="317">
        <f>'ESTIMATIVA DE HORAS TÉCNICAS'!F260*'ESTIMATIVA DE HORAS TÉCNICAS'!$F$316+'ESTIMATIVA DE HORAS TÉCNICAS'!G260*'ESTIMATIVA DE HORAS TÉCNICAS'!$F$315+'ESTIMATIVA DE HORAS TÉCNICAS'!H260*'ESTIMATIVA DE HORAS TÉCNICAS'!$F$314+'ESTIMATIVA DE HORAS TÉCNICAS'!I260*'ESTIMATIVA DE HORAS TÉCNICAS'!$F$318+'ESTIMATIVA DE HORAS TÉCNICAS'!J260*'ESTIMATIVA DE HORAS TÉCNICAS'!$F$319+'ESTIMATIVA DE HORAS TÉCNICAS'!K260*'ESTIMATIVA DE HORAS TÉCNICAS'!$F$317+'ESTIMATIVA DE HORAS TÉCNICAS'!L260*'ESTIMATIVA DE HORAS TÉCNICAS'!$F$324+'ESTIMATIVA DE HORAS TÉCNICAS'!M260*'ESTIMATIVA DE HORAS TÉCNICAS'!$F$323+'ESTIMATIVA DE HORAS TÉCNICAS'!N260*'ESTIMATIVA DE HORAS TÉCNICAS'!$F$322+'ESTIMATIVA DE HORAS TÉCNICAS'!O260*'ESTIMATIVA DE HORAS TÉCNICAS'!$F$321+'ESTIMATIVA DE HORAS TÉCNICAS'!P260*'ESTIMATIVA DE HORAS TÉCNICAS'!$F$320+'ESTIMATIVA DE HORAS TÉCNICAS'!Q260*'ESTIMATIVA DE HORAS TÉCNICAS'!$F$325+'ESTIMATIVA DE HORAS TÉCNICAS'!R260*'ESTIMATIVA DE HORAS TÉCNICAS'!$F$326+'ESTIMATIVA DE HORAS TÉCNICAS'!S260*'ESTIMATIVA DE HORAS TÉCNICAS'!$F$329+'ESTIMATIVA DE HORAS TÉCNICAS'!T260*'ESTIMATIVA DE HORAS TÉCNICAS'!$F$334</f>
        <v>10019.945950470474</v>
      </c>
      <c r="E72" s="163">
        <f>'CALCULO DO FATO K'!D$10</f>
        <v>2.4264041095890412</v>
      </c>
      <c r="F72" s="217"/>
      <c r="G72" s="217"/>
      <c r="H72" s="163">
        <f>D72*E72</f>
        <v>24312.438032081627</v>
      </c>
      <c r="I72" s="152"/>
      <c r="J72" s="120"/>
    </row>
    <row r="73" spans="1:10" ht="15.6" x14ac:dyDescent="0.3">
      <c r="A73" s="170" t="s">
        <v>84</v>
      </c>
      <c r="B73" s="308" t="str">
        <f>'ESTIMATIVA DE HORAS TÉCNICAS'!B270</f>
        <v>Memorial Descritivo e Justificativo (Casa Central de Perícias)</v>
      </c>
      <c r="C73" s="161"/>
      <c r="D73" s="317">
        <f>'ESTIMATIVA DE HORAS TÉCNICAS'!F270*'ESTIMATIVA DE HORAS TÉCNICAS'!$F$316+'ESTIMATIVA DE HORAS TÉCNICAS'!G270*'ESTIMATIVA DE HORAS TÉCNICAS'!$F$315+'ESTIMATIVA DE HORAS TÉCNICAS'!H270*'ESTIMATIVA DE HORAS TÉCNICAS'!$F$314+'ESTIMATIVA DE HORAS TÉCNICAS'!I270*'ESTIMATIVA DE HORAS TÉCNICAS'!$F$318+'ESTIMATIVA DE HORAS TÉCNICAS'!J270*'ESTIMATIVA DE HORAS TÉCNICAS'!$F$319+'ESTIMATIVA DE HORAS TÉCNICAS'!K270*'ESTIMATIVA DE HORAS TÉCNICAS'!$F$317+'ESTIMATIVA DE HORAS TÉCNICAS'!L270*'ESTIMATIVA DE HORAS TÉCNICAS'!$F$324+'ESTIMATIVA DE HORAS TÉCNICAS'!M270*'ESTIMATIVA DE HORAS TÉCNICAS'!$F$323+'ESTIMATIVA DE HORAS TÉCNICAS'!N270*'ESTIMATIVA DE HORAS TÉCNICAS'!$F$322+'ESTIMATIVA DE HORAS TÉCNICAS'!O270*'ESTIMATIVA DE HORAS TÉCNICAS'!$F$321+'ESTIMATIVA DE HORAS TÉCNICAS'!P270*'ESTIMATIVA DE HORAS TÉCNICAS'!$F$320+'ESTIMATIVA DE HORAS TÉCNICAS'!Q270*'ESTIMATIVA DE HORAS TÉCNICAS'!$F$325+'ESTIMATIVA DE HORAS TÉCNICAS'!R270*'ESTIMATIVA DE HORAS TÉCNICAS'!$F$326+'ESTIMATIVA DE HORAS TÉCNICAS'!S270*'ESTIMATIVA DE HORAS TÉCNICAS'!$F$329+'ESTIMATIVA DE HORAS TÉCNICAS'!T270*'ESTIMATIVA DE HORAS TÉCNICAS'!$F$334</f>
        <v>3339.9819834901577</v>
      </c>
      <c r="E73" s="163">
        <f>'CALCULO DO FATO K'!D$10</f>
        <v>2.4264041095890412</v>
      </c>
      <c r="F73" s="217"/>
      <c r="G73" s="217"/>
      <c r="H73" s="163">
        <f>D73*E73</f>
        <v>8104.1460106938757</v>
      </c>
      <c r="I73" s="152"/>
      <c r="J73" s="120"/>
    </row>
    <row r="74" spans="1:10" ht="15.6" x14ac:dyDescent="0.3">
      <c r="A74" s="170" t="s">
        <v>85</v>
      </c>
      <c r="B74" s="308" t="str">
        <f>'ESTIMATIVA DE HORAS TÉCNICAS'!B284</f>
        <v>Especificação Técnica Geral - ETG (Casa Central de Perícias)</v>
      </c>
      <c r="C74" s="161"/>
      <c r="D74" s="317">
        <f>'ESTIMATIVA DE HORAS TÉCNICAS'!F284*'ESTIMATIVA DE HORAS TÉCNICAS'!$F$316+'ESTIMATIVA DE HORAS TÉCNICAS'!G284*'ESTIMATIVA DE HORAS TÉCNICAS'!$F$315+'ESTIMATIVA DE HORAS TÉCNICAS'!H284*'ESTIMATIVA DE HORAS TÉCNICAS'!$F$314+'ESTIMATIVA DE HORAS TÉCNICAS'!I284*'ESTIMATIVA DE HORAS TÉCNICAS'!$F$318+'ESTIMATIVA DE HORAS TÉCNICAS'!J284*'ESTIMATIVA DE HORAS TÉCNICAS'!$F$319+'ESTIMATIVA DE HORAS TÉCNICAS'!K284*'ESTIMATIVA DE HORAS TÉCNICAS'!$F$317+'ESTIMATIVA DE HORAS TÉCNICAS'!L284*'ESTIMATIVA DE HORAS TÉCNICAS'!$F$324+'ESTIMATIVA DE HORAS TÉCNICAS'!M284*'ESTIMATIVA DE HORAS TÉCNICAS'!$F$323+'ESTIMATIVA DE HORAS TÉCNICAS'!N284*'ESTIMATIVA DE HORAS TÉCNICAS'!$F$322+'ESTIMATIVA DE HORAS TÉCNICAS'!O284*'ESTIMATIVA DE HORAS TÉCNICAS'!$F$321+'ESTIMATIVA DE HORAS TÉCNICAS'!P284*'ESTIMATIVA DE HORAS TÉCNICAS'!$F$320+'ESTIMATIVA DE HORAS TÉCNICAS'!Q284*'ESTIMATIVA DE HORAS TÉCNICAS'!$F$325+'ESTIMATIVA DE HORAS TÉCNICAS'!R284*'ESTIMATIVA DE HORAS TÉCNICAS'!$F$326+'ESTIMATIVA DE HORAS TÉCNICAS'!S284*'ESTIMATIVA DE HORAS TÉCNICAS'!$F$329+'ESTIMATIVA DE HORAS TÉCNICAS'!T284*'ESTIMATIVA DE HORAS TÉCNICAS'!$F$334</f>
        <v>1113.3273278300524</v>
      </c>
      <c r="E74" s="163">
        <f>'CALCULO DO FATO K'!D$10</f>
        <v>2.4264041095890412</v>
      </c>
      <c r="F74" s="217"/>
      <c r="G74" s="217"/>
      <c r="H74" s="163">
        <f>D74*E74</f>
        <v>2701.3820035646249</v>
      </c>
      <c r="I74" s="152"/>
      <c r="J74" s="120"/>
    </row>
    <row r="75" spans="1:10" ht="15.6" x14ac:dyDescent="0.3">
      <c r="A75" s="170" t="s">
        <v>86</v>
      </c>
      <c r="B75" s="308" t="str">
        <f>'ESTIMATIVA DE HORAS TÉCNICAS'!B288</f>
        <v>Especificação Técnica Específica - ETE (Casa Central de Perícias)</v>
      </c>
      <c r="C75" s="161"/>
      <c r="D75" s="317">
        <f>'ESTIMATIVA DE HORAS TÉCNICAS'!F288*'ESTIMATIVA DE HORAS TÉCNICAS'!$F$316+'ESTIMATIVA DE HORAS TÉCNICAS'!G288*'ESTIMATIVA DE HORAS TÉCNICAS'!$F$315+'ESTIMATIVA DE HORAS TÉCNICAS'!H288*'ESTIMATIVA DE HORAS TÉCNICAS'!$F$314+'ESTIMATIVA DE HORAS TÉCNICAS'!I288*'ESTIMATIVA DE HORAS TÉCNICAS'!$F$318+'ESTIMATIVA DE HORAS TÉCNICAS'!J288*'ESTIMATIVA DE HORAS TÉCNICAS'!$F$319+'ESTIMATIVA DE HORAS TÉCNICAS'!K288*'ESTIMATIVA DE HORAS TÉCNICAS'!$F$317+'ESTIMATIVA DE HORAS TÉCNICAS'!L288*'ESTIMATIVA DE HORAS TÉCNICAS'!$F$324+'ESTIMATIVA DE HORAS TÉCNICAS'!M288*'ESTIMATIVA DE HORAS TÉCNICAS'!$F$323+'ESTIMATIVA DE HORAS TÉCNICAS'!N288*'ESTIMATIVA DE HORAS TÉCNICAS'!$F$322+'ESTIMATIVA DE HORAS TÉCNICAS'!O288*'ESTIMATIVA DE HORAS TÉCNICAS'!$F$321+'ESTIMATIVA DE HORAS TÉCNICAS'!P288*'ESTIMATIVA DE HORAS TÉCNICAS'!$F$320+'ESTIMATIVA DE HORAS TÉCNICAS'!Q288*'ESTIMATIVA DE HORAS TÉCNICAS'!$F$325+'ESTIMATIVA DE HORAS TÉCNICAS'!R288*'ESTIMATIVA DE HORAS TÉCNICAS'!$F$326+'ESTIMATIVA DE HORAS TÉCNICAS'!S288*'ESTIMATIVA DE HORAS TÉCNICAS'!$F$329+'ESTIMATIVA DE HORAS TÉCNICAS'!T288*'ESTIMATIVA DE HORAS TÉCNICAS'!$F$334</f>
        <v>2226.6546556601047</v>
      </c>
      <c r="E75" s="163">
        <f>'CALCULO DO FATO K'!D$10</f>
        <v>2.4264041095890412</v>
      </c>
      <c r="F75" s="217"/>
      <c r="G75" s="217"/>
      <c r="H75" s="163">
        <f t="shared" ref="H75:H77" si="5">D75*E75</f>
        <v>5402.7640071292499</v>
      </c>
      <c r="I75" s="152"/>
      <c r="J75" s="120"/>
    </row>
    <row r="76" spans="1:10" ht="15.6" x14ac:dyDescent="0.3">
      <c r="A76" s="170" t="s">
        <v>87</v>
      </c>
      <c r="B76" s="308" t="str">
        <f>'ESTIMATIVA DE HORAS TÉCNICAS'!B292</f>
        <v>Planilhas Orçamentárias e de Quantitativos PSQ's (Casa Central de Perícias)</v>
      </c>
      <c r="C76" s="161"/>
      <c r="D76" s="317">
        <f>'ESTIMATIVA DE HORAS TÉCNICAS'!F292*'ESTIMATIVA DE HORAS TÉCNICAS'!$F$316+'ESTIMATIVA DE HORAS TÉCNICAS'!G292*'ESTIMATIVA DE HORAS TÉCNICAS'!$F$315+'ESTIMATIVA DE HORAS TÉCNICAS'!H292*'ESTIMATIVA DE HORAS TÉCNICAS'!$F$314+'ESTIMATIVA DE HORAS TÉCNICAS'!I292*'ESTIMATIVA DE HORAS TÉCNICAS'!$F$318+'ESTIMATIVA DE HORAS TÉCNICAS'!J292*'ESTIMATIVA DE HORAS TÉCNICAS'!$F$319+'ESTIMATIVA DE HORAS TÉCNICAS'!K292*'ESTIMATIVA DE HORAS TÉCNICAS'!$F$317+'ESTIMATIVA DE HORAS TÉCNICAS'!L292*'ESTIMATIVA DE HORAS TÉCNICAS'!$F$324+'ESTIMATIVA DE HORAS TÉCNICAS'!M292*'ESTIMATIVA DE HORAS TÉCNICAS'!$F$323+'ESTIMATIVA DE HORAS TÉCNICAS'!N292*'ESTIMATIVA DE HORAS TÉCNICAS'!$F$322+'ESTIMATIVA DE HORAS TÉCNICAS'!O292*'ESTIMATIVA DE HORAS TÉCNICAS'!$F$321+'ESTIMATIVA DE HORAS TÉCNICAS'!P292*'ESTIMATIVA DE HORAS TÉCNICAS'!$F$320+'ESTIMATIVA DE HORAS TÉCNICAS'!Q292*'ESTIMATIVA DE HORAS TÉCNICAS'!$F$325+'ESTIMATIVA DE HORAS TÉCNICAS'!R292*'ESTIMATIVA DE HORAS TÉCNICAS'!$F$326+'ESTIMATIVA DE HORAS TÉCNICAS'!S292*'ESTIMATIVA DE HORAS TÉCNICAS'!$F$329+'ESTIMATIVA DE HORAS TÉCNICAS'!T292*'ESTIMATIVA DE HORAS TÉCNICAS'!$F$334</f>
        <v>2226.6546556601047</v>
      </c>
      <c r="E76" s="163">
        <f>'CALCULO DO FATO K'!D$10</f>
        <v>2.4264041095890412</v>
      </c>
      <c r="F76" s="217"/>
      <c r="G76" s="217"/>
      <c r="H76" s="163">
        <f t="shared" si="5"/>
        <v>5402.7640071292499</v>
      </c>
      <c r="I76" s="152"/>
      <c r="J76" s="120"/>
    </row>
    <row r="77" spans="1:10" ht="15.6" x14ac:dyDescent="0.3">
      <c r="A77" s="170" t="s">
        <v>88</v>
      </c>
      <c r="B77" s="308" t="str">
        <f>'ESTIMATIVA DE HORAS TÉCNICAS'!B297</f>
        <v>Plano de Manutenção, Operação e Controle - PMOC (Casa Central de Perícias)</v>
      </c>
      <c r="C77" s="161"/>
      <c r="D77" s="317">
        <f>'ESTIMATIVA DE HORAS TÉCNICAS'!F297*'ESTIMATIVA DE HORAS TÉCNICAS'!$F$316+'ESTIMATIVA DE HORAS TÉCNICAS'!G297*'ESTIMATIVA DE HORAS TÉCNICAS'!$F$315+'ESTIMATIVA DE HORAS TÉCNICAS'!H297*'ESTIMATIVA DE HORAS TÉCNICAS'!$F$314+'ESTIMATIVA DE HORAS TÉCNICAS'!I297*'ESTIMATIVA DE HORAS TÉCNICAS'!$F$318+'ESTIMATIVA DE HORAS TÉCNICAS'!J297*'ESTIMATIVA DE HORAS TÉCNICAS'!$F$319+'ESTIMATIVA DE HORAS TÉCNICAS'!K297*'ESTIMATIVA DE HORAS TÉCNICAS'!$F$317+'ESTIMATIVA DE HORAS TÉCNICAS'!L297*'ESTIMATIVA DE HORAS TÉCNICAS'!$F$324+'ESTIMATIVA DE HORAS TÉCNICAS'!M297*'ESTIMATIVA DE HORAS TÉCNICAS'!$F$323+'ESTIMATIVA DE HORAS TÉCNICAS'!N297*'ESTIMATIVA DE HORAS TÉCNICAS'!$F$322+'ESTIMATIVA DE HORAS TÉCNICAS'!O297*'ESTIMATIVA DE HORAS TÉCNICAS'!$F$321+'ESTIMATIVA DE HORAS TÉCNICAS'!P297*'ESTIMATIVA DE HORAS TÉCNICAS'!$F$320+'ESTIMATIVA DE HORAS TÉCNICAS'!Q297*'ESTIMATIVA DE HORAS TÉCNICAS'!$F$325+'ESTIMATIVA DE HORAS TÉCNICAS'!R297*'ESTIMATIVA DE HORAS TÉCNICAS'!$F$326+'ESTIMATIVA DE HORAS TÉCNICAS'!S297*'ESTIMATIVA DE HORAS TÉCNICAS'!$F$329+'ESTIMATIVA DE HORAS TÉCNICAS'!T297*'ESTIMATIVA DE HORAS TÉCNICAS'!$F$334</f>
        <v>3339.9819834901577</v>
      </c>
      <c r="E77" s="163">
        <f>'CALCULO DO FATO K'!D$10</f>
        <v>2.4264041095890412</v>
      </c>
      <c r="F77" s="217"/>
      <c r="G77" s="217"/>
      <c r="H77" s="163">
        <f t="shared" si="5"/>
        <v>8104.1460106938757</v>
      </c>
      <c r="I77" s="152"/>
      <c r="J77" s="120"/>
    </row>
    <row r="78" spans="1:10" s="559" customFormat="1" ht="15.6" x14ac:dyDescent="0.3">
      <c r="A78" s="564" t="s">
        <v>89</v>
      </c>
      <c r="B78" s="554" t="s">
        <v>44</v>
      </c>
      <c r="C78" s="565"/>
      <c r="D78" s="557"/>
      <c r="E78" s="566"/>
      <c r="F78" s="444">
        <f>'OUTROS CUSTOS DIRETOS'!F39</f>
        <v>260.5</v>
      </c>
      <c r="G78" s="444">
        <f>'CALCULO DO FATO K'!$D$11</f>
        <v>1.2557077625570778</v>
      </c>
      <c r="H78" s="444">
        <f>F78*G78</f>
        <v>327.1118721461188</v>
      </c>
      <c r="I78" s="562"/>
      <c r="J78" s="563"/>
    </row>
    <row r="79" spans="1:10" ht="15.6" x14ac:dyDescent="0.3">
      <c r="A79" s="170"/>
      <c r="B79" s="308"/>
      <c r="C79" s="161"/>
      <c r="D79" s="316"/>
      <c r="E79" s="217"/>
      <c r="F79" s="217"/>
      <c r="G79" s="217"/>
      <c r="H79" s="217"/>
      <c r="I79" s="152"/>
      <c r="J79" s="120"/>
    </row>
    <row r="80" spans="1:10" ht="16.5" customHeight="1" x14ac:dyDescent="0.3">
      <c r="A80" s="335"/>
      <c r="B80" s="137" t="s">
        <v>81</v>
      </c>
      <c r="C80" s="135"/>
      <c r="D80" s="319"/>
      <c r="E80" s="187"/>
      <c r="F80" s="187"/>
      <c r="G80" s="187"/>
      <c r="H80" s="187"/>
      <c r="I80" s="136">
        <f>SUM(H71:H79)</f>
        <v>54354.751943438619</v>
      </c>
    </row>
    <row r="81" spans="1:11" ht="16.5" customHeight="1" x14ac:dyDescent="0.3">
      <c r="A81" s="336"/>
      <c r="B81" s="188"/>
      <c r="C81" s="189"/>
      <c r="D81" s="320"/>
      <c r="E81" s="92"/>
      <c r="F81" s="92"/>
      <c r="G81" s="92"/>
      <c r="H81" s="92"/>
      <c r="I81" s="190"/>
    </row>
    <row r="82" spans="1:11" ht="16.2" thickBot="1" x14ac:dyDescent="0.35">
      <c r="A82" s="337"/>
      <c r="B82" s="193" t="s">
        <v>90</v>
      </c>
      <c r="C82" s="332">
        <f>SUM(C10:C81)</f>
        <v>1</v>
      </c>
      <c r="D82" s="321"/>
      <c r="E82" s="191"/>
      <c r="F82" s="191"/>
      <c r="G82" s="191"/>
      <c r="H82" s="191"/>
      <c r="I82" s="192">
        <f>I56+I44+I32+I20+I68+I80</f>
        <v>902423.33908775204</v>
      </c>
      <c r="K82" s="120"/>
    </row>
    <row r="83" spans="1:11" x14ac:dyDescent="0.3">
      <c r="B83" s="3"/>
    </row>
    <row r="84" spans="1:11" x14ac:dyDescent="0.3">
      <c r="B84" s="3"/>
    </row>
  </sheetData>
  <mergeCells count="5">
    <mergeCell ref="A7:C7"/>
    <mergeCell ref="A2:I3"/>
    <mergeCell ref="A4:I4"/>
    <mergeCell ref="A5:I5"/>
    <mergeCell ref="A6:I6"/>
  </mergeCells>
  <pageMargins left="0.23622047244094491" right="0.23622047244094491" top="0.35433070866141736" bottom="0.35433070866141736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C2:AL43"/>
  <sheetViews>
    <sheetView view="pageBreakPreview" zoomScale="60" zoomScaleNormal="85" workbookViewId="0">
      <selection activeCell="L65" activeCellId="1" sqref="D41 L65"/>
    </sheetView>
  </sheetViews>
  <sheetFormatPr defaultRowHeight="14.4" x14ac:dyDescent="0.3"/>
  <cols>
    <col min="3" max="3" width="11" customWidth="1"/>
    <col min="4" max="4" width="43" customWidth="1"/>
    <col min="5" max="5" width="12.6640625" customWidth="1"/>
    <col min="6" max="6" width="16" customWidth="1"/>
    <col min="7" max="9" width="12.88671875" customWidth="1"/>
    <col min="10" max="10" width="18.6640625" bestFit="1" customWidth="1"/>
    <col min="11" max="11" width="16.5546875" customWidth="1"/>
    <col min="12" max="14" width="12.88671875" customWidth="1"/>
    <col min="15" max="15" width="18.6640625" bestFit="1" customWidth="1"/>
    <col min="16" max="16" width="15.33203125" customWidth="1"/>
    <col min="17" max="19" width="12.88671875" customWidth="1"/>
    <col min="20" max="20" width="18.6640625" bestFit="1" customWidth="1"/>
    <col min="21" max="21" width="16.6640625" customWidth="1"/>
    <col min="22" max="24" width="12.88671875" customWidth="1"/>
    <col min="25" max="25" width="18.6640625" bestFit="1" customWidth="1"/>
    <col min="26" max="26" width="16" customWidth="1"/>
    <col min="27" max="29" width="12.88671875" customWidth="1"/>
    <col min="30" max="30" width="18.6640625" bestFit="1" customWidth="1"/>
    <col min="31" max="31" width="16.6640625" customWidth="1"/>
    <col min="32" max="34" width="12.88671875" customWidth="1"/>
    <col min="35" max="35" width="18.6640625" bestFit="1" customWidth="1"/>
    <col min="36" max="36" width="14.44140625" customWidth="1"/>
  </cols>
  <sheetData>
    <row r="2" spans="3:38" ht="21" x14ac:dyDescent="0.3">
      <c r="C2" s="595" t="s">
        <v>374</v>
      </c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408"/>
    </row>
    <row r="3" spans="3:38" ht="21" x14ac:dyDescent="0.3">
      <c r="C3" s="635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6"/>
      <c r="AD3" s="636"/>
      <c r="AE3" s="636"/>
      <c r="AF3" s="636"/>
      <c r="AG3" s="636"/>
      <c r="AH3" s="636"/>
      <c r="AI3" s="409"/>
    </row>
    <row r="4" spans="3:38" x14ac:dyDescent="0.3">
      <c r="C4" s="301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441"/>
    </row>
    <row r="5" spans="3:38" x14ac:dyDescent="0.3">
      <c r="C5" s="525" t="s">
        <v>1</v>
      </c>
      <c r="D5" s="637" t="s">
        <v>375</v>
      </c>
      <c r="E5" s="637"/>
      <c r="F5" s="637"/>
      <c r="G5" s="637"/>
      <c r="H5" s="637"/>
      <c r="I5" s="526"/>
      <c r="J5" s="526"/>
      <c r="K5" s="527"/>
      <c r="L5" s="527"/>
      <c r="M5" s="528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7"/>
      <c r="AC5" s="527"/>
      <c r="AD5" s="527"/>
      <c r="AE5" s="527"/>
      <c r="AF5" s="527"/>
      <c r="AG5" s="527"/>
      <c r="AH5" s="527"/>
      <c r="AI5" s="529"/>
    </row>
    <row r="6" spans="3:38" ht="42" customHeight="1" x14ac:dyDescent="0.3">
      <c r="C6" s="653" t="s">
        <v>512</v>
      </c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4"/>
      <c r="Z6" s="654"/>
      <c r="AA6" s="654"/>
      <c r="AB6" s="654"/>
      <c r="AC6" s="654"/>
      <c r="AD6" s="654"/>
      <c r="AE6" s="654"/>
      <c r="AF6" s="654"/>
      <c r="AG6" s="654"/>
      <c r="AH6" s="654"/>
      <c r="AI6" s="655"/>
    </row>
    <row r="7" spans="3:38" ht="15" customHeight="1" x14ac:dyDescent="0.3">
      <c r="C7" s="638" t="s">
        <v>374</v>
      </c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39"/>
      <c r="U7" s="639"/>
      <c r="V7" s="639"/>
      <c r="W7" s="639"/>
      <c r="X7" s="639"/>
      <c r="Y7" s="639"/>
      <c r="Z7" s="639"/>
      <c r="AA7" s="639"/>
      <c r="AB7" s="639"/>
      <c r="AC7" s="639"/>
      <c r="AD7" s="639"/>
      <c r="AE7" s="639"/>
      <c r="AF7" s="639"/>
      <c r="AG7" s="639"/>
      <c r="AH7" s="640"/>
      <c r="AI7" s="518"/>
    </row>
    <row r="8" spans="3:38" x14ac:dyDescent="0.3">
      <c r="C8" s="524" t="s">
        <v>3</v>
      </c>
      <c r="D8" s="17"/>
      <c r="E8" s="17">
        <f>AI25</f>
        <v>240</v>
      </c>
      <c r="F8" s="17"/>
      <c r="G8" s="18" t="s">
        <v>376</v>
      </c>
      <c r="H8" s="19"/>
      <c r="I8" s="26"/>
      <c r="J8" s="26"/>
      <c r="K8" s="26"/>
      <c r="L8" s="353"/>
      <c r="M8" s="353"/>
      <c r="N8" s="26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27"/>
    </row>
    <row r="9" spans="3:38" x14ac:dyDescent="0.3">
      <c r="C9" s="641"/>
      <c r="D9" s="642"/>
      <c r="E9" s="643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  <c r="AH9" s="644"/>
      <c r="AI9" s="645"/>
    </row>
    <row r="10" spans="3:38" x14ac:dyDescent="0.3">
      <c r="C10" s="651" t="s">
        <v>377</v>
      </c>
      <c r="D10" s="649" t="s">
        <v>378</v>
      </c>
      <c r="E10" s="646" t="s">
        <v>6</v>
      </c>
      <c r="F10" s="646"/>
      <c r="G10" s="646"/>
      <c r="H10" s="646"/>
      <c r="I10" s="646"/>
      <c r="J10" s="647"/>
      <c r="K10" s="648" t="s">
        <v>7</v>
      </c>
      <c r="L10" s="646"/>
      <c r="M10" s="646"/>
      <c r="N10" s="646"/>
      <c r="O10" s="647"/>
      <c r="P10" s="648" t="s">
        <v>8</v>
      </c>
      <c r="Q10" s="646"/>
      <c r="R10" s="646"/>
      <c r="S10" s="646"/>
      <c r="T10" s="647"/>
      <c r="U10" s="648" t="s">
        <v>9</v>
      </c>
      <c r="V10" s="646"/>
      <c r="W10" s="646"/>
      <c r="X10" s="646"/>
      <c r="Y10" s="647"/>
      <c r="Z10" s="648" t="s">
        <v>10</v>
      </c>
      <c r="AA10" s="646"/>
      <c r="AB10" s="646"/>
      <c r="AC10" s="646"/>
      <c r="AD10" s="647"/>
      <c r="AE10" s="648" t="s">
        <v>11</v>
      </c>
      <c r="AF10" s="646"/>
      <c r="AG10" s="646"/>
      <c r="AH10" s="646"/>
      <c r="AI10" s="647"/>
    </row>
    <row r="11" spans="3:38" ht="28.8" x14ac:dyDescent="0.3">
      <c r="C11" s="652"/>
      <c r="D11" s="650"/>
      <c r="E11" s="51" t="s">
        <v>379</v>
      </c>
      <c r="F11" s="313" t="s">
        <v>380</v>
      </c>
      <c r="G11" s="52" t="s">
        <v>381</v>
      </c>
      <c r="H11" s="351" t="s">
        <v>382</v>
      </c>
      <c r="I11" s="351" t="s">
        <v>383</v>
      </c>
      <c r="J11" s="55" t="s">
        <v>384</v>
      </c>
      <c r="K11" s="313" t="s">
        <v>380</v>
      </c>
      <c r="L11" s="52" t="s">
        <v>381</v>
      </c>
      <c r="M11" s="351" t="s">
        <v>382</v>
      </c>
      <c r="N11" s="351" t="s">
        <v>383</v>
      </c>
      <c r="O11" s="55" t="s">
        <v>384</v>
      </c>
      <c r="P11" s="313" t="s">
        <v>380</v>
      </c>
      <c r="Q11" s="52" t="s">
        <v>381</v>
      </c>
      <c r="R11" s="351" t="s">
        <v>382</v>
      </c>
      <c r="S11" s="351" t="s">
        <v>383</v>
      </c>
      <c r="T11" s="55" t="s">
        <v>384</v>
      </c>
      <c r="U11" s="313" t="s">
        <v>380</v>
      </c>
      <c r="V11" s="52" t="s">
        <v>381</v>
      </c>
      <c r="W11" s="351" t="s">
        <v>382</v>
      </c>
      <c r="X11" s="351" t="s">
        <v>383</v>
      </c>
      <c r="Y11" s="55" t="s">
        <v>384</v>
      </c>
      <c r="Z11" s="313" t="s">
        <v>380</v>
      </c>
      <c r="AA11" s="52" t="s">
        <v>381</v>
      </c>
      <c r="AB11" s="351" t="s">
        <v>382</v>
      </c>
      <c r="AC11" s="351" t="s">
        <v>383</v>
      </c>
      <c r="AD11" s="55" t="s">
        <v>384</v>
      </c>
      <c r="AE11" s="313" t="s">
        <v>380</v>
      </c>
      <c r="AF11" s="52" t="s">
        <v>381</v>
      </c>
      <c r="AG11" s="351" t="s">
        <v>382</v>
      </c>
      <c r="AH11" s="351" t="s">
        <v>383</v>
      </c>
      <c r="AI11" s="55" t="s">
        <v>384</v>
      </c>
    </row>
    <row r="12" spans="3:38" x14ac:dyDescent="0.3">
      <c r="C12" s="629">
        <v>1</v>
      </c>
      <c r="D12" s="631" t="s">
        <v>385</v>
      </c>
      <c r="E12" s="630">
        <v>1</v>
      </c>
      <c r="F12" s="657">
        <v>1</v>
      </c>
      <c r="G12" s="659">
        <v>22</v>
      </c>
      <c r="H12" s="661"/>
      <c r="I12" s="657">
        <v>3</v>
      </c>
      <c r="J12" s="663"/>
      <c r="K12" s="630">
        <v>1</v>
      </c>
      <c r="L12" s="657">
        <v>23</v>
      </c>
      <c r="M12" s="661"/>
      <c r="N12" s="657">
        <v>3</v>
      </c>
      <c r="O12" s="665"/>
      <c r="P12" s="630">
        <v>1</v>
      </c>
      <c r="Q12" s="657">
        <v>23</v>
      </c>
      <c r="R12" s="661"/>
      <c r="S12" s="657">
        <v>3</v>
      </c>
      <c r="T12" s="665"/>
      <c r="U12" s="630">
        <v>1</v>
      </c>
      <c r="V12" s="667">
        <v>4</v>
      </c>
      <c r="W12" s="667"/>
      <c r="X12" s="657">
        <v>1</v>
      </c>
      <c r="Y12" s="665"/>
      <c r="Z12" s="630">
        <v>1</v>
      </c>
      <c r="AA12" s="657">
        <v>9</v>
      </c>
      <c r="AB12" s="661"/>
      <c r="AC12" s="657">
        <v>1</v>
      </c>
      <c r="AD12" s="665"/>
      <c r="AE12" s="630">
        <v>1</v>
      </c>
      <c r="AF12" s="667">
        <v>4</v>
      </c>
      <c r="AG12" s="667"/>
      <c r="AH12" s="657">
        <v>1</v>
      </c>
      <c r="AI12" s="665"/>
      <c r="AK12" s="682">
        <f>SUM(E12:AI13)</f>
        <v>104</v>
      </c>
      <c r="AL12" s="681">
        <f>AK12/$AK24</f>
        <v>0.43333333333333335</v>
      </c>
    </row>
    <row r="13" spans="3:38" x14ac:dyDescent="0.3">
      <c r="C13" s="629"/>
      <c r="D13" s="631"/>
      <c r="E13" s="656"/>
      <c r="F13" s="658"/>
      <c r="G13" s="660"/>
      <c r="H13" s="662"/>
      <c r="I13" s="658"/>
      <c r="J13" s="664"/>
      <c r="K13" s="656"/>
      <c r="L13" s="658"/>
      <c r="M13" s="662"/>
      <c r="N13" s="658"/>
      <c r="O13" s="666"/>
      <c r="P13" s="656"/>
      <c r="Q13" s="658"/>
      <c r="R13" s="662"/>
      <c r="S13" s="658"/>
      <c r="T13" s="666"/>
      <c r="U13" s="656"/>
      <c r="V13" s="668"/>
      <c r="W13" s="668"/>
      <c r="X13" s="658"/>
      <c r="Y13" s="666"/>
      <c r="Z13" s="656"/>
      <c r="AA13" s="658"/>
      <c r="AB13" s="662"/>
      <c r="AC13" s="658"/>
      <c r="AD13" s="666"/>
      <c r="AE13" s="656"/>
      <c r="AF13" s="668"/>
      <c r="AG13" s="668"/>
      <c r="AH13" s="658"/>
      <c r="AI13" s="666"/>
      <c r="AK13" s="682"/>
      <c r="AL13" s="681"/>
    </row>
    <row r="14" spans="3:38" x14ac:dyDescent="0.3">
      <c r="C14" s="629">
        <v>2</v>
      </c>
      <c r="D14" s="631" t="s">
        <v>386</v>
      </c>
      <c r="E14" s="630"/>
      <c r="F14" s="657"/>
      <c r="G14" s="677">
        <v>5</v>
      </c>
      <c r="H14" s="671"/>
      <c r="I14" s="671">
        <v>1</v>
      </c>
      <c r="J14" s="673"/>
      <c r="K14" s="630"/>
      <c r="L14" s="657">
        <v>5</v>
      </c>
      <c r="M14" s="661"/>
      <c r="N14" s="657">
        <v>1</v>
      </c>
      <c r="O14" s="665"/>
      <c r="P14" s="630"/>
      <c r="Q14" s="657">
        <v>5</v>
      </c>
      <c r="R14" s="661"/>
      <c r="S14" s="657">
        <v>1</v>
      </c>
      <c r="T14" s="665"/>
      <c r="U14" s="630"/>
      <c r="V14" s="667">
        <v>2</v>
      </c>
      <c r="W14" s="667"/>
      <c r="X14" s="657">
        <v>1</v>
      </c>
      <c r="Y14" s="665"/>
      <c r="Z14" s="630"/>
      <c r="AA14" s="657">
        <v>2</v>
      </c>
      <c r="AB14" s="661"/>
      <c r="AC14" s="657">
        <v>1</v>
      </c>
      <c r="AD14" s="665"/>
      <c r="AE14" s="630"/>
      <c r="AF14" s="667">
        <v>2</v>
      </c>
      <c r="AG14" s="667"/>
      <c r="AH14" s="657">
        <v>1</v>
      </c>
      <c r="AI14" s="665"/>
      <c r="AK14" s="682">
        <f>SUM(E14:AI15)</f>
        <v>27</v>
      </c>
      <c r="AL14" s="681">
        <f>AK14/$AK24</f>
        <v>0.1125</v>
      </c>
    </row>
    <row r="15" spans="3:38" x14ac:dyDescent="0.3">
      <c r="C15" s="629"/>
      <c r="D15" s="631"/>
      <c r="E15" s="656"/>
      <c r="F15" s="658"/>
      <c r="G15" s="678"/>
      <c r="H15" s="675"/>
      <c r="I15" s="675"/>
      <c r="J15" s="676"/>
      <c r="K15" s="656"/>
      <c r="L15" s="658"/>
      <c r="M15" s="662"/>
      <c r="N15" s="658"/>
      <c r="O15" s="666"/>
      <c r="P15" s="656"/>
      <c r="Q15" s="658"/>
      <c r="R15" s="662"/>
      <c r="S15" s="658"/>
      <c r="T15" s="666"/>
      <c r="U15" s="656"/>
      <c r="V15" s="668"/>
      <c r="W15" s="668"/>
      <c r="X15" s="658"/>
      <c r="Y15" s="666"/>
      <c r="Z15" s="656"/>
      <c r="AA15" s="658"/>
      <c r="AB15" s="662"/>
      <c r="AC15" s="658"/>
      <c r="AD15" s="666"/>
      <c r="AE15" s="656"/>
      <c r="AF15" s="668"/>
      <c r="AG15" s="668"/>
      <c r="AH15" s="658"/>
      <c r="AI15" s="666"/>
      <c r="AK15" s="682"/>
      <c r="AL15" s="681"/>
    </row>
    <row r="16" spans="3:38" x14ac:dyDescent="0.3">
      <c r="C16" s="629">
        <v>3</v>
      </c>
      <c r="D16" s="631" t="s">
        <v>387</v>
      </c>
      <c r="E16" s="630"/>
      <c r="F16" s="657"/>
      <c r="G16" s="677">
        <v>4</v>
      </c>
      <c r="H16" s="671"/>
      <c r="I16" s="671">
        <v>1</v>
      </c>
      <c r="J16" s="673"/>
      <c r="K16" s="630"/>
      <c r="L16" s="657">
        <v>4</v>
      </c>
      <c r="M16" s="661"/>
      <c r="N16" s="657">
        <v>1</v>
      </c>
      <c r="O16" s="665"/>
      <c r="P16" s="630"/>
      <c r="Q16" s="657">
        <v>4</v>
      </c>
      <c r="R16" s="661"/>
      <c r="S16" s="657">
        <v>1</v>
      </c>
      <c r="T16" s="665"/>
      <c r="U16" s="630"/>
      <c r="V16" s="667">
        <v>2</v>
      </c>
      <c r="W16" s="667"/>
      <c r="X16" s="657">
        <v>1</v>
      </c>
      <c r="Y16" s="665"/>
      <c r="Z16" s="630"/>
      <c r="AA16" s="657">
        <v>4</v>
      </c>
      <c r="AB16" s="661"/>
      <c r="AC16" s="657">
        <v>1</v>
      </c>
      <c r="AD16" s="665"/>
      <c r="AE16" s="630"/>
      <c r="AF16" s="667">
        <v>2</v>
      </c>
      <c r="AG16" s="667"/>
      <c r="AH16" s="657">
        <v>1</v>
      </c>
      <c r="AI16" s="665"/>
      <c r="AK16" s="682">
        <f>SUM(E16:AI17)</f>
        <v>26</v>
      </c>
      <c r="AL16" s="681">
        <f>AK16/$AK24</f>
        <v>0.10833333333333334</v>
      </c>
    </row>
    <row r="17" spans="3:38" x14ac:dyDescent="0.3">
      <c r="C17" s="629"/>
      <c r="D17" s="631"/>
      <c r="E17" s="656"/>
      <c r="F17" s="658"/>
      <c r="G17" s="678"/>
      <c r="H17" s="675"/>
      <c r="I17" s="675"/>
      <c r="J17" s="676"/>
      <c r="K17" s="656"/>
      <c r="L17" s="658"/>
      <c r="M17" s="662"/>
      <c r="N17" s="658"/>
      <c r="O17" s="666"/>
      <c r="P17" s="656"/>
      <c r="Q17" s="658"/>
      <c r="R17" s="662"/>
      <c r="S17" s="658"/>
      <c r="T17" s="666"/>
      <c r="U17" s="656"/>
      <c r="V17" s="668"/>
      <c r="W17" s="668"/>
      <c r="X17" s="658"/>
      <c r="Y17" s="666"/>
      <c r="Z17" s="656"/>
      <c r="AA17" s="658"/>
      <c r="AB17" s="662"/>
      <c r="AC17" s="658"/>
      <c r="AD17" s="666"/>
      <c r="AE17" s="656"/>
      <c r="AF17" s="668"/>
      <c r="AG17" s="668"/>
      <c r="AH17" s="658"/>
      <c r="AI17" s="666"/>
      <c r="AK17" s="682"/>
      <c r="AL17" s="681"/>
    </row>
    <row r="18" spans="3:38" x14ac:dyDescent="0.3">
      <c r="C18" s="629">
        <v>4</v>
      </c>
      <c r="D18" s="631" t="s">
        <v>388</v>
      </c>
      <c r="E18" s="630"/>
      <c r="F18" s="657"/>
      <c r="G18" s="671">
        <v>4</v>
      </c>
      <c r="H18" s="671"/>
      <c r="I18" s="671">
        <v>1</v>
      </c>
      <c r="J18" s="673"/>
      <c r="K18" s="630"/>
      <c r="L18" s="657">
        <v>4</v>
      </c>
      <c r="M18" s="661"/>
      <c r="N18" s="657">
        <v>1</v>
      </c>
      <c r="O18" s="665"/>
      <c r="P18" s="630"/>
      <c r="Q18" s="657">
        <v>4</v>
      </c>
      <c r="R18" s="661"/>
      <c r="S18" s="657">
        <v>1</v>
      </c>
      <c r="T18" s="665"/>
      <c r="U18" s="630"/>
      <c r="V18" s="667">
        <v>2</v>
      </c>
      <c r="W18" s="667"/>
      <c r="X18" s="657">
        <v>1</v>
      </c>
      <c r="Y18" s="665"/>
      <c r="Z18" s="630"/>
      <c r="AA18" s="657">
        <v>2</v>
      </c>
      <c r="AB18" s="661"/>
      <c r="AC18" s="657">
        <v>1</v>
      </c>
      <c r="AD18" s="665"/>
      <c r="AE18" s="630"/>
      <c r="AF18" s="667">
        <v>2</v>
      </c>
      <c r="AG18" s="667"/>
      <c r="AH18" s="657">
        <v>1</v>
      </c>
      <c r="AI18" s="665"/>
      <c r="AK18" s="682">
        <f>SUM(E18:AI19)</f>
        <v>24</v>
      </c>
      <c r="AL18" s="681">
        <f>AK18/$AK24</f>
        <v>0.1</v>
      </c>
    </row>
    <row r="19" spans="3:38" x14ac:dyDescent="0.3">
      <c r="C19" s="630"/>
      <c r="D19" s="632"/>
      <c r="E19" s="656"/>
      <c r="F19" s="658"/>
      <c r="G19" s="675"/>
      <c r="H19" s="675"/>
      <c r="I19" s="675"/>
      <c r="J19" s="676"/>
      <c r="K19" s="656"/>
      <c r="L19" s="658"/>
      <c r="M19" s="662"/>
      <c r="N19" s="658"/>
      <c r="O19" s="666"/>
      <c r="P19" s="656"/>
      <c r="Q19" s="658"/>
      <c r="R19" s="662"/>
      <c r="S19" s="658"/>
      <c r="T19" s="666"/>
      <c r="U19" s="656"/>
      <c r="V19" s="668"/>
      <c r="W19" s="668"/>
      <c r="X19" s="658"/>
      <c r="Y19" s="666"/>
      <c r="Z19" s="656"/>
      <c r="AA19" s="658"/>
      <c r="AB19" s="662"/>
      <c r="AC19" s="658"/>
      <c r="AD19" s="666"/>
      <c r="AE19" s="656"/>
      <c r="AF19" s="668"/>
      <c r="AG19" s="668"/>
      <c r="AH19" s="658"/>
      <c r="AI19" s="666"/>
      <c r="AK19" s="682"/>
      <c r="AL19" s="681"/>
    </row>
    <row r="20" spans="3:38" x14ac:dyDescent="0.3">
      <c r="C20" s="629">
        <v>5</v>
      </c>
      <c r="D20" s="631" t="s">
        <v>389</v>
      </c>
      <c r="E20" s="630"/>
      <c r="F20" s="657"/>
      <c r="G20" s="671">
        <v>7</v>
      </c>
      <c r="H20" s="671"/>
      <c r="I20" s="671">
        <v>1</v>
      </c>
      <c r="J20" s="673"/>
      <c r="K20" s="630"/>
      <c r="L20" s="657">
        <v>7</v>
      </c>
      <c r="M20" s="661"/>
      <c r="N20" s="657">
        <v>1</v>
      </c>
      <c r="O20" s="665"/>
      <c r="P20" s="630"/>
      <c r="Q20" s="657">
        <v>7</v>
      </c>
      <c r="R20" s="661"/>
      <c r="S20" s="657">
        <v>1</v>
      </c>
      <c r="T20" s="665"/>
      <c r="U20" s="630"/>
      <c r="V20" s="667">
        <v>2</v>
      </c>
      <c r="W20" s="667"/>
      <c r="X20" s="657">
        <v>1</v>
      </c>
      <c r="Y20" s="665"/>
      <c r="Z20" s="630"/>
      <c r="AA20" s="657">
        <v>4</v>
      </c>
      <c r="AB20" s="661"/>
      <c r="AC20" s="657">
        <v>1</v>
      </c>
      <c r="AD20" s="665"/>
      <c r="AE20" s="630"/>
      <c r="AF20" s="667">
        <v>2</v>
      </c>
      <c r="AG20" s="667"/>
      <c r="AH20" s="657">
        <v>1</v>
      </c>
      <c r="AI20" s="665"/>
      <c r="AK20" s="682">
        <f>SUM(E20:AI21)</f>
        <v>35</v>
      </c>
      <c r="AL20" s="681">
        <f>AK20/$AK24</f>
        <v>0.14583333333333334</v>
      </c>
    </row>
    <row r="21" spans="3:38" x14ac:dyDescent="0.3">
      <c r="C21" s="629"/>
      <c r="D21" s="632"/>
      <c r="E21" s="656"/>
      <c r="F21" s="658"/>
      <c r="G21" s="675"/>
      <c r="H21" s="675"/>
      <c r="I21" s="675"/>
      <c r="J21" s="676"/>
      <c r="K21" s="656"/>
      <c r="L21" s="658"/>
      <c r="M21" s="662"/>
      <c r="N21" s="658"/>
      <c r="O21" s="666"/>
      <c r="P21" s="656"/>
      <c r="Q21" s="658"/>
      <c r="R21" s="662"/>
      <c r="S21" s="658"/>
      <c r="T21" s="666"/>
      <c r="U21" s="656"/>
      <c r="V21" s="668"/>
      <c r="W21" s="668"/>
      <c r="X21" s="658"/>
      <c r="Y21" s="666"/>
      <c r="Z21" s="656"/>
      <c r="AA21" s="658"/>
      <c r="AB21" s="662"/>
      <c r="AC21" s="658"/>
      <c r="AD21" s="666"/>
      <c r="AE21" s="656"/>
      <c r="AF21" s="668"/>
      <c r="AG21" s="668"/>
      <c r="AH21" s="658"/>
      <c r="AI21" s="666"/>
      <c r="AK21" s="682"/>
      <c r="AL21" s="681"/>
    </row>
    <row r="22" spans="3:38" x14ac:dyDescent="0.3">
      <c r="C22" s="633">
        <v>6</v>
      </c>
      <c r="D22" s="631" t="s">
        <v>390</v>
      </c>
      <c r="E22" s="630"/>
      <c r="F22" s="657"/>
      <c r="G22" s="671">
        <v>4</v>
      </c>
      <c r="H22" s="671"/>
      <c r="I22" s="671">
        <v>1</v>
      </c>
      <c r="J22" s="673"/>
      <c r="K22" s="630"/>
      <c r="L22" s="657">
        <v>4</v>
      </c>
      <c r="M22" s="671"/>
      <c r="N22" s="671">
        <v>1</v>
      </c>
      <c r="O22" s="673"/>
      <c r="P22" s="630"/>
      <c r="Q22" s="657">
        <v>4</v>
      </c>
      <c r="R22" s="671"/>
      <c r="S22" s="671">
        <v>1</v>
      </c>
      <c r="T22" s="673"/>
      <c r="U22" s="630"/>
      <c r="V22" s="679">
        <v>2</v>
      </c>
      <c r="W22" s="679"/>
      <c r="X22" s="671">
        <v>1</v>
      </c>
      <c r="Y22" s="673"/>
      <c r="Z22" s="630"/>
      <c r="AA22" s="671">
        <v>2</v>
      </c>
      <c r="AB22" s="671"/>
      <c r="AC22" s="671">
        <v>1</v>
      </c>
      <c r="AD22" s="673"/>
      <c r="AE22" s="630"/>
      <c r="AF22" s="679">
        <v>2</v>
      </c>
      <c r="AG22" s="679"/>
      <c r="AH22" s="671">
        <v>1</v>
      </c>
      <c r="AI22" s="673"/>
      <c r="AK22" s="682">
        <f>SUM(E22:AI23)</f>
        <v>24</v>
      </c>
      <c r="AL22" s="681">
        <f>AK22/$AK24</f>
        <v>0.1</v>
      </c>
    </row>
    <row r="23" spans="3:38" x14ac:dyDescent="0.3">
      <c r="C23" s="634"/>
      <c r="D23" s="632"/>
      <c r="E23" s="670"/>
      <c r="F23" s="669"/>
      <c r="G23" s="672"/>
      <c r="H23" s="672"/>
      <c r="I23" s="672"/>
      <c r="J23" s="674"/>
      <c r="K23" s="670"/>
      <c r="L23" s="669"/>
      <c r="M23" s="672"/>
      <c r="N23" s="672"/>
      <c r="O23" s="674"/>
      <c r="P23" s="670"/>
      <c r="Q23" s="669"/>
      <c r="R23" s="672"/>
      <c r="S23" s="672"/>
      <c r="T23" s="674"/>
      <c r="U23" s="670"/>
      <c r="V23" s="680"/>
      <c r="W23" s="680"/>
      <c r="X23" s="672"/>
      <c r="Y23" s="674"/>
      <c r="Z23" s="670"/>
      <c r="AA23" s="672"/>
      <c r="AB23" s="672"/>
      <c r="AC23" s="672"/>
      <c r="AD23" s="674"/>
      <c r="AE23" s="670"/>
      <c r="AF23" s="680"/>
      <c r="AG23" s="680"/>
      <c r="AH23" s="672"/>
      <c r="AI23" s="674"/>
      <c r="AK23" s="682"/>
      <c r="AL23" s="681"/>
    </row>
    <row r="24" spans="3:38" x14ac:dyDescent="0.3">
      <c r="C24" s="519"/>
      <c r="D24" s="53"/>
      <c r="E24" s="36"/>
      <c r="F24" s="37"/>
      <c r="G24" s="67" t="s">
        <v>391</v>
      </c>
      <c r="H24" s="38"/>
      <c r="I24" s="29"/>
      <c r="J24" s="29">
        <f>SUM(E12:J23)</f>
        <v>56</v>
      </c>
      <c r="K24" s="37"/>
      <c r="L24" s="37"/>
      <c r="M24" s="38"/>
      <c r="N24" s="39"/>
      <c r="O24" s="29">
        <f>SUM(K12:O23)</f>
        <v>56</v>
      </c>
      <c r="P24" s="37"/>
      <c r="Q24" s="37"/>
      <c r="R24" s="38"/>
      <c r="S24" s="39"/>
      <c r="T24" s="29">
        <f>SUM(P12:T23)</f>
        <v>56</v>
      </c>
      <c r="U24" s="37"/>
      <c r="V24" s="37"/>
      <c r="W24" s="38"/>
      <c r="X24" s="39"/>
      <c r="Y24" s="29">
        <f>SUM(U12:Y23)</f>
        <v>21</v>
      </c>
      <c r="Z24" s="37"/>
      <c r="AA24" s="37"/>
      <c r="AB24" s="38"/>
      <c r="AC24" s="39"/>
      <c r="AD24" s="29">
        <f>SUM(Z12:AD23)</f>
        <v>30</v>
      </c>
      <c r="AE24" s="36"/>
      <c r="AF24" s="37"/>
      <c r="AG24" s="37"/>
      <c r="AH24" s="39"/>
      <c r="AI24" s="29">
        <f>SUM(AE12:AI23)</f>
        <v>21</v>
      </c>
      <c r="AK24" s="520">
        <f>SUM(AK12:AK23)</f>
        <v>240</v>
      </c>
      <c r="AL24" s="521">
        <f>SUM(AL12:AL23)</f>
        <v>1.0000000000000002</v>
      </c>
    </row>
    <row r="25" spans="3:38" x14ac:dyDescent="0.3">
      <c r="C25" s="12"/>
      <c r="D25" s="20"/>
      <c r="E25" s="68"/>
      <c r="F25" s="13"/>
      <c r="G25" s="37" t="s">
        <v>392</v>
      </c>
      <c r="H25" s="37"/>
      <c r="I25" s="30"/>
      <c r="J25" s="76">
        <f>J24</f>
        <v>56</v>
      </c>
      <c r="K25" s="37"/>
      <c r="L25" s="37"/>
      <c r="M25" s="37"/>
      <c r="N25" s="37"/>
      <c r="O25" s="77">
        <f>J25+O24</f>
        <v>112</v>
      </c>
      <c r="P25" s="37"/>
      <c r="Q25" s="37"/>
      <c r="R25" s="37"/>
      <c r="S25" s="37"/>
      <c r="T25" s="77">
        <f>O25+T24</f>
        <v>168</v>
      </c>
      <c r="U25" s="37"/>
      <c r="V25" s="37"/>
      <c r="W25" s="37"/>
      <c r="X25" s="37"/>
      <c r="Y25" s="77">
        <f>T25+Y24</f>
        <v>189</v>
      </c>
      <c r="Z25" s="37"/>
      <c r="AA25" s="37"/>
      <c r="AB25" s="37"/>
      <c r="AC25" s="37"/>
      <c r="AD25" s="77">
        <f>Y25+AD24</f>
        <v>219</v>
      </c>
      <c r="AE25" s="37"/>
      <c r="AF25" s="37"/>
      <c r="AG25" s="37"/>
      <c r="AH25" s="37"/>
      <c r="AI25" s="77">
        <f>AD25+AI24</f>
        <v>240</v>
      </c>
    </row>
    <row r="26" spans="3:38" x14ac:dyDescent="0.3">
      <c r="C26" s="12"/>
      <c r="D26" s="20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10"/>
      <c r="AF26" s="35"/>
      <c r="AG26" s="35"/>
      <c r="AH26" s="35"/>
      <c r="AI26" s="14"/>
      <c r="AK26" s="522">
        <f>AI25/30</f>
        <v>8</v>
      </c>
    </row>
    <row r="27" spans="3:38" x14ac:dyDescent="0.3">
      <c r="C27" s="16"/>
      <c r="D27" s="21" t="s">
        <v>393</v>
      </c>
      <c r="E27" s="82"/>
      <c r="F27" s="310"/>
      <c r="G27" s="62"/>
      <c r="H27" s="63"/>
      <c r="I27" s="83"/>
      <c r="J27" s="80">
        <f>'ORÇAMENTO POR ESCOPO'!I20</f>
        <v>225442.27883586494</v>
      </c>
      <c r="K27" s="87"/>
      <c r="L27" s="56"/>
      <c r="M27" s="61"/>
      <c r="N27" s="83"/>
      <c r="O27" s="80">
        <f>'ORÇAMENTO POR ESCOPO'!I32</f>
        <v>225442.27883586494</v>
      </c>
      <c r="P27" s="87"/>
      <c r="Q27" s="56"/>
      <c r="R27" s="61"/>
      <c r="S27" s="83"/>
      <c r="T27" s="80">
        <f>'ORÇAMENTO POR ESCOPO'!I44</f>
        <v>225442.27883586494</v>
      </c>
      <c r="U27" s="87"/>
      <c r="V27" s="56"/>
      <c r="W27" s="61"/>
      <c r="X27" s="83"/>
      <c r="Y27" s="80">
        <f>'ORÇAMENTO POR ESCOPO'!I56</f>
        <v>54354.751943438619</v>
      </c>
      <c r="Z27" s="87"/>
      <c r="AA27" s="56"/>
      <c r="AB27" s="61"/>
      <c r="AC27" s="83"/>
      <c r="AD27" s="80">
        <f>'ORÇAMENTO POR ESCOPO'!I68</f>
        <v>117386.99869327988</v>
      </c>
      <c r="AE27" s="87"/>
      <c r="AF27" s="56"/>
      <c r="AG27" s="56"/>
      <c r="AH27" s="83"/>
      <c r="AI27" s="145">
        <f>'ORÇAMENTO POR ESCOPO'!I80</f>
        <v>54354.751943438619</v>
      </c>
      <c r="AJ27" s="147"/>
      <c r="AK27" s="522">
        <f>8*30</f>
        <v>240</v>
      </c>
    </row>
    <row r="28" spans="3:38" x14ac:dyDescent="0.3">
      <c r="C28" s="11"/>
      <c r="D28" s="22" t="s">
        <v>394</v>
      </c>
      <c r="E28" s="84"/>
      <c r="F28" s="4"/>
      <c r="G28" s="66"/>
      <c r="H28" s="78"/>
      <c r="I28" s="58"/>
      <c r="J28" s="81">
        <f>J27/'ORÇAMENTO POR ESCOPO'!I82</f>
        <v>0.24981875919095975</v>
      </c>
      <c r="K28" s="88"/>
      <c r="L28" s="49"/>
      <c r="M28" s="49"/>
      <c r="N28" s="58"/>
      <c r="O28" s="81">
        <f>O27/'ORÇAMENTO POR ESCOPO'!I82</f>
        <v>0.24981875919095975</v>
      </c>
      <c r="P28" s="88"/>
      <c r="Q28" s="49"/>
      <c r="R28" s="49"/>
      <c r="S28" s="58"/>
      <c r="T28" s="81">
        <f>T27/'ORÇAMENTO POR ESCOPO'!I82</f>
        <v>0.24981875919095975</v>
      </c>
      <c r="U28" s="88"/>
      <c r="V28" s="49"/>
      <c r="W28" s="49"/>
      <c r="X28" s="58"/>
      <c r="Y28" s="81">
        <f>Y27/'ORÇAMENTO POR ESCOPO'!I82</f>
        <v>6.0231988235571486E-2</v>
      </c>
      <c r="Z28" s="88"/>
      <c r="AA28" s="49"/>
      <c r="AB28" s="49"/>
      <c r="AC28" s="58"/>
      <c r="AD28" s="81">
        <f>AD27/'ORÇAMENTO POR ESCOPO'!I82</f>
        <v>0.13007974595597768</v>
      </c>
      <c r="AE28" s="88"/>
      <c r="AF28" s="49"/>
      <c r="AG28" s="49"/>
      <c r="AH28" s="58"/>
      <c r="AI28" s="91">
        <f>AI27/'ORÇAMENTO POR ESCOPO'!I82</f>
        <v>6.0231988235571486E-2</v>
      </c>
      <c r="AJ28" s="146"/>
    </row>
    <row r="29" spans="3:38" x14ac:dyDescent="0.3">
      <c r="C29" s="11"/>
      <c r="D29" s="23" t="s">
        <v>395</v>
      </c>
      <c r="E29" s="85"/>
      <c r="F29" s="311"/>
      <c r="G29" s="57"/>
      <c r="H29" s="79"/>
      <c r="I29" s="59"/>
      <c r="J29" s="31">
        <f>J27</f>
        <v>225442.27883586494</v>
      </c>
      <c r="K29" s="89"/>
      <c r="L29" s="57"/>
      <c r="M29" s="79"/>
      <c r="N29" s="59"/>
      <c r="O29" s="31">
        <f>J29+O27</f>
        <v>450884.55767172988</v>
      </c>
      <c r="P29" s="89"/>
      <c r="Q29" s="57"/>
      <c r="R29" s="79"/>
      <c r="S29" s="59"/>
      <c r="T29" s="31">
        <f>O29+T27</f>
        <v>676326.83650759479</v>
      </c>
      <c r="U29" s="89"/>
      <c r="V29" s="57"/>
      <c r="W29" s="79"/>
      <c r="X29" s="59"/>
      <c r="Y29" s="31">
        <f>T29+Y27</f>
        <v>730681.58845103346</v>
      </c>
      <c r="Z29" s="89"/>
      <c r="AA29" s="57"/>
      <c r="AB29" s="79"/>
      <c r="AC29" s="59"/>
      <c r="AD29" s="31">
        <f>Y29+AD27</f>
        <v>848068.58714431338</v>
      </c>
      <c r="AE29" s="89"/>
      <c r="AF29" s="57"/>
      <c r="AG29" s="57"/>
      <c r="AH29" s="59"/>
      <c r="AI29" s="31">
        <f>AD29+AI27</f>
        <v>902423.33908775204</v>
      </c>
    </row>
    <row r="30" spans="3:38" x14ac:dyDescent="0.3">
      <c r="C30" s="15"/>
      <c r="D30" s="24" t="s">
        <v>396</v>
      </c>
      <c r="E30" s="86"/>
      <c r="F30" s="312"/>
      <c r="G30" s="64"/>
      <c r="H30" s="65"/>
      <c r="I30" s="60"/>
      <c r="J30" s="32">
        <f>J28</f>
        <v>0.24981875919095975</v>
      </c>
      <c r="K30" s="90"/>
      <c r="L30" s="50"/>
      <c r="M30" s="50"/>
      <c r="N30" s="60"/>
      <c r="O30" s="32">
        <f>J30+O28</f>
        <v>0.4996375183819195</v>
      </c>
      <c r="P30" s="90"/>
      <c r="Q30" s="50"/>
      <c r="R30" s="50"/>
      <c r="S30" s="60"/>
      <c r="T30" s="32">
        <f>O30+T28</f>
        <v>0.74945627757287925</v>
      </c>
      <c r="U30" s="90"/>
      <c r="V30" s="50"/>
      <c r="W30" s="50"/>
      <c r="X30" s="60"/>
      <c r="Y30" s="32">
        <f>T30+Y28</f>
        <v>0.80968826580845077</v>
      </c>
      <c r="Z30" s="90"/>
      <c r="AA30" s="50"/>
      <c r="AB30" s="50"/>
      <c r="AC30" s="60"/>
      <c r="AD30" s="32">
        <f>Y30+AD28</f>
        <v>0.93976801176442848</v>
      </c>
      <c r="AE30" s="90"/>
      <c r="AF30" s="50"/>
      <c r="AG30" s="50"/>
      <c r="AH30" s="60"/>
      <c r="AI30" s="32">
        <f>AD30+AI28</f>
        <v>1</v>
      </c>
    </row>
    <row r="32" spans="3:38" s="522" customFormat="1" x14ac:dyDescent="0.3">
      <c r="J32" s="523">
        <v>56</v>
      </c>
      <c r="Y32" s="522">
        <v>21</v>
      </c>
      <c r="AD32" s="522">
        <v>30</v>
      </c>
      <c r="AI32" s="523">
        <v>21</v>
      </c>
    </row>
    <row r="34" spans="5:35" x14ac:dyDescent="0.3"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5:35" x14ac:dyDescent="0.3">
      <c r="E35" s="7"/>
      <c r="F35" s="7"/>
      <c r="G35" s="7"/>
      <c r="H35" s="7"/>
      <c r="I35" s="7"/>
      <c r="J35" s="7"/>
    </row>
    <row r="43" spans="5:35" x14ac:dyDescent="0.3">
      <c r="H43">
        <f>1908.65/1727.1</f>
        <v>1.1051184065774999</v>
      </c>
    </row>
  </sheetData>
  <mergeCells count="224">
    <mergeCell ref="AL22:AL23"/>
    <mergeCell ref="AL12:AL13"/>
    <mergeCell ref="AL20:AL21"/>
    <mergeCell ref="AL14:AL15"/>
    <mergeCell ref="AL16:AL17"/>
    <mergeCell ref="AL18:AL19"/>
    <mergeCell ref="L12:L13"/>
    <mergeCell ref="L14:L15"/>
    <mergeCell ref="L16:L17"/>
    <mergeCell ref="L18:L19"/>
    <mergeCell ref="L20:L21"/>
    <mergeCell ref="L22:L23"/>
    <mergeCell ref="AK22:AK23"/>
    <mergeCell ref="AK12:AK13"/>
    <mergeCell ref="AK14:AK15"/>
    <mergeCell ref="AK16:AK17"/>
    <mergeCell ref="AK18:AK19"/>
    <mergeCell ref="AK20:AK21"/>
    <mergeCell ref="AE20:AE21"/>
    <mergeCell ref="AG20:AG21"/>
    <mergeCell ref="AH20:AH21"/>
    <mergeCell ref="AI20:AI21"/>
    <mergeCell ref="AE22:AE23"/>
    <mergeCell ref="AG22:AG23"/>
    <mergeCell ref="AH12:AH13"/>
    <mergeCell ref="AI12:AI13"/>
    <mergeCell ref="AE14:AE15"/>
    <mergeCell ref="AG14:AG15"/>
    <mergeCell ref="AH14:AH15"/>
    <mergeCell ref="AI14:AI15"/>
    <mergeCell ref="AF12:AF13"/>
    <mergeCell ref="AF14:AF15"/>
    <mergeCell ref="AH22:AH23"/>
    <mergeCell ref="AI22:AI23"/>
    <mergeCell ref="AF20:AF21"/>
    <mergeCell ref="AF22:AF23"/>
    <mergeCell ref="AE16:AE17"/>
    <mergeCell ref="AG16:AG17"/>
    <mergeCell ref="AH16:AH17"/>
    <mergeCell ref="AI16:AI17"/>
    <mergeCell ref="AE18:AE19"/>
    <mergeCell ref="AG18:AG19"/>
    <mergeCell ref="AH18:AH19"/>
    <mergeCell ref="AI18:AI19"/>
    <mergeCell ref="AF16:AF17"/>
    <mergeCell ref="AF18:AF19"/>
    <mergeCell ref="AD20:AD21"/>
    <mergeCell ref="Z22:Z23"/>
    <mergeCell ref="AB22:AB23"/>
    <mergeCell ref="AC22:AC23"/>
    <mergeCell ref="AD22:AD23"/>
    <mergeCell ref="AA20:AA21"/>
    <mergeCell ref="AA22:AA23"/>
    <mergeCell ref="AE12:AE13"/>
    <mergeCell ref="AG12:AG13"/>
    <mergeCell ref="AD14:AD15"/>
    <mergeCell ref="AA12:AA13"/>
    <mergeCell ref="AA14:AA15"/>
    <mergeCell ref="Z16:Z17"/>
    <mergeCell ref="AB16:AB17"/>
    <mergeCell ref="AC16:AC17"/>
    <mergeCell ref="AD16:AD17"/>
    <mergeCell ref="Z18:Z19"/>
    <mergeCell ref="AB18:AB19"/>
    <mergeCell ref="AC18:AC19"/>
    <mergeCell ref="AD18:AD19"/>
    <mergeCell ref="AA16:AA17"/>
    <mergeCell ref="AA18:AA19"/>
    <mergeCell ref="U22:U23"/>
    <mergeCell ref="W22:W23"/>
    <mergeCell ref="X22:X23"/>
    <mergeCell ref="Y22:Y23"/>
    <mergeCell ref="V20:V21"/>
    <mergeCell ref="V22:V23"/>
    <mergeCell ref="Z12:Z13"/>
    <mergeCell ref="AB12:AB13"/>
    <mergeCell ref="AC12:AC13"/>
    <mergeCell ref="Z14:Z15"/>
    <mergeCell ref="AB14:AB15"/>
    <mergeCell ref="AC14:AC15"/>
    <mergeCell ref="Z20:Z21"/>
    <mergeCell ref="AB20:AB21"/>
    <mergeCell ref="AC20:AC21"/>
    <mergeCell ref="X16:X17"/>
    <mergeCell ref="Y16:Y17"/>
    <mergeCell ref="U18:U19"/>
    <mergeCell ref="W18:W19"/>
    <mergeCell ref="X18:X19"/>
    <mergeCell ref="Y18:Y19"/>
    <mergeCell ref="V16:V17"/>
    <mergeCell ref="V18:V19"/>
    <mergeCell ref="W20:W21"/>
    <mergeCell ref="X20:X21"/>
    <mergeCell ref="Y20:Y21"/>
    <mergeCell ref="U14:U15"/>
    <mergeCell ref="W14:W15"/>
    <mergeCell ref="X14:X15"/>
    <mergeCell ref="Y14:Y15"/>
    <mergeCell ref="V12:V13"/>
    <mergeCell ref="V14:V15"/>
    <mergeCell ref="P22:P23"/>
    <mergeCell ref="R22:R23"/>
    <mergeCell ref="S22:S23"/>
    <mergeCell ref="T22:T23"/>
    <mergeCell ref="U12:U13"/>
    <mergeCell ref="U16:U17"/>
    <mergeCell ref="U20:U21"/>
    <mergeCell ref="Q12:Q13"/>
    <mergeCell ref="Q14:Q15"/>
    <mergeCell ref="Q16:Q17"/>
    <mergeCell ref="Q18:Q19"/>
    <mergeCell ref="Q20:Q21"/>
    <mergeCell ref="Q22:Q23"/>
    <mergeCell ref="P18:P19"/>
    <mergeCell ref="R18:R19"/>
    <mergeCell ref="S18:S19"/>
    <mergeCell ref="T18:T19"/>
    <mergeCell ref="W16:W17"/>
    <mergeCell ref="P20:P21"/>
    <mergeCell ref="R20:R21"/>
    <mergeCell ref="S20:S21"/>
    <mergeCell ref="T20:T21"/>
    <mergeCell ref="P14:P15"/>
    <mergeCell ref="R14:R15"/>
    <mergeCell ref="S14:S15"/>
    <mergeCell ref="T14:T15"/>
    <mergeCell ref="P16:P17"/>
    <mergeCell ref="R16:R17"/>
    <mergeCell ref="S16:S17"/>
    <mergeCell ref="T16:T17"/>
    <mergeCell ref="N22:N23"/>
    <mergeCell ref="O22:O23"/>
    <mergeCell ref="K12:K13"/>
    <mergeCell ref="K14:K15"/>
    <mergeCell ref="K16:K17"/>
    <mergeCell ref="K18:K19"/>
    <mergeCell ref="K20:K21"/>
    <mergeCell ref="K22:K23"/>
    <mergeCell ref="N18:N19"/>
    <mergeCell ref="O18:O19"/>
    <mergeCell ref="M20:M21"/>
    <mergeCell ref="N20:N21"/>
    <mergeCell ref="O20:O21"/>
    <mergeCell ref="N14:N15"/>
    <mergeCell ref="O14:O15"/>
    <mergeCell ref="M16:M17"/>
    <mergeCell ref="N16:N17"/>
    <mergeCell ref="O16:O17"/>
    <mergeCell ref="G22:G23"/>
    <mergeCell ref="H22:H23"/>
    <mergeCell ref="I22:I23"/>
    <mergeCell ref="J22:J23"/>
    <mergeCell ref="M12:M13"/>
    <mergeCell ref="M14:M15"/>
    <mergeCell ref="M18:M19"/>
    <mergeCell ref="M22:M23"/>
    <mergeCell ref="G18:G19"/>
    <mergeCell ref="H18:H19"/>
    <mergeCell ref="I18:I19"/>
    <mergeCell ref="J18:J19"/>
    <mergeCell ref="G20:G21"/>
    <mergeCell ref="H20:H21"/>
    <mergeCell ref="I20:I21"/>
    <mergeCell ref="J20:J21"/>
    <mergeCell ref="G14:G15"/>
    <mergeCell ref="H14:H15"/>
    <mergeCell ref="I14:I15"/>
    <mergeCell ref="J14:J15"/>
    <mergeCell ref="G16:G17"/>
    <mergeCell ref="H16:H17"/>
    <mergeCell ref="I16:I17"/>
    <mergeCell ref="J16:J17"/>
    <mergeCell ref="F14:F15"/>
    <mergeCell ref="F16:F17"/>
    <mergeCell ref="F18:F19"/>
    <mergeCell ref="F20:F21"/>
    <mergeCell ref="F22:F23"/>
    <mergeCell ref="E14:E15"/>
    <mergeCell ref="E16:E17"/>
    <mergeCell ref="E18:E19"/>
    <mergeCell ref="E20:E21"/>
    <mergeCell ref="E22:E23"/>
    <mergeCell ref="U10:Y10"/>
    <mergeCell ref="Z10:AD10"/>
    <mergeCell ref="E12:E13"/>
    <mergeCell ref="F12:F13"/>
    <mergeCell ref="G12:G13"/>
    <mergeCell ref="H12:H13"/>
    <mergeCell ref="I12:I13"/>
    <mergeCell ref="J12:J13"/>
    <mergeCell ref="N12:N13"/>
    <mergeCell ref="O12:O13"/>
    <mergeCell ref="P12:P13"/>
    <mergeCell ref="R12:R13"/>
    <mergeCell ref="S12:S13"/>
    <mergeCell ref="T12:T13"/>
    <mergeCell ref="W12:W13"/>
    <mergeCell ref="X12:X13"/>
    <mergeCell ref="Y12:Y13"/>
    <mergeCell ref="AD12:AD13"/>
    <mergeCell ref="C18:C19"/>
    <mergeCell ref="D18:D19"/>
    <mergeCell ref="C22:C23"/>
    <mergeCell ref="D22:D23"/>
    <mergeCell ref="C20:C21"/>
    <mergeCell ref="D20:D21"/>
    <mergeCell ref="C2:AH3"/>
    <mergeCell ref="D5:H5"/>
    <mergeCell ref="C7:AH7"/>
    <mergeCell ref="C9:D9"/>
    <mergeCell ref="E9:AI9"/>
    <mergeCell ref="E10:J10"/>
    <mergeCell ref="K10:O10"/>
    <mergeCell ref="AE10:AI10"/>
    <mergeCell ref="D10:D11"/>
    <mergeCell ref="C10:C11"/>
    <mergeCell ref="C6:AI6"/>
    <mergeCell ref="P10:T10"/>
    <mergeCell ref="C16:C17"/>
    <mergeCell ref="C14:C15"/>
    <mergeCell ref="D14:D15"/>
    <mergeCell ref="D16:D17"/>
    <mergeCell ref="C12:C13"/>
    <mergeCell ref="D12:D13"/>
  </mergeCells>
  <pageMargins left="0.25" right="0.25" top="0.75" bottom="0.75" header="0.3" footer="0.3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C2:H34"/>
  <sheetViews>
    <sheetView view="pageBreakPreview" zoomScale="60" zoomScaleNormal="100" workbookViewId="0">
      <selection activeCell="L65" activeCellId="1" sqref="D41 L65"/>
    </sheetView>
  </sheetViews>
  <sheetFormatPr defaultRowHeight="14.4" x14ac:dyDescent="0.3"/>
  <cols>
    <col min="3" max="3" width="36.5546875" bestFit="1" customWidth="1"/>
    <col min="4" max="4" width="53" bestFit="1" customWidth="1"/>
    <col min="5" max="5" width="11.5546875" bestFit="1" customWidth="1"/>
    <col min="7" max="7" width="11.5546875" bestFit="1" customWidth="1"/>
    <col min="8" max="8" width="13.33203125" bestFit="1" customWidth="1"/>
    <col min="9" max="9" width="10.5546875" bestFit="1" customWidth="1"/>
    <col min="10" max="10" width="9.5546875" bestFit="1" customWidth="1"/>
    <col min="11" max="12" width="10.5546875" bestFit="1" customWidth="1"/>
    <col min="13" max="13" width="11.5546875" bestFit="1" customWidth="1"/>
  </cols>
  <sheetData>
    <row r="2" spans="3:8" x14ac:dyDescent="0.3">
      <c r="C2" s="636" t="s">
        <v>346</v>
      </c>
      <c r="D2" s="636"/>
      <c r="E2" s="636"/>
    </row>
    <row r="3" spans="3:8" x14ac:dyDescent="0.3">
      <c r="C3" s="636"/>
      <c r="D3" s="636"/>
      <c r="E3" s="636"/>
    </row>
    <row r="5" spans="3:8" x14ac:dyDescent="0.3">
      <c r="C5" t="s">
        <v>347</v>
      </c>
    </row>
    <row r="6" spans="3:8" x14ac:dyDescent="0.3">
      <c r="C6" s="4" t="s">
        <v>348</v>
      </c>
      <c r="D6" s="7">
        <v>0.73229999999999995</v>
      </c>
      <c r="E6" s="40"/>
      <c r="G6" s="120"/>
      <c r="H6" s="120"/>
    </row>
    <row r="7" spans="3:8" x14ac:dyDescent="0.3">
      <c r="C7" s="4" t="s">
        <v>349</v>
      </c>
      <c r="D7" s="7">
        <v>0.2</v>
      </c>
      <c r="E7" s="99"/>
      <c r="F7" s="361" t="s">
        <v>350</v>
      </c>
    </row>
    <row r="8" spans="3:8" x14ac:dyDescent="0.3">
      <c r="C8" s="4" t="s">
        <v>351</v>
      </c>
      <c r="D8" s="7">
        <v>0.1</v>
      </c>
      <c r="E8" s="99"/>
      <c r="F8" s="361" t="s">
        <v>352</v>
      </c>
    </row>
    <row r="9" spans="3:8" x14ac:dyDescent="0.3">
      <c r="C9" s="4" t="s">
        <v>353</v>
      </c>
      <c r="D9" s="7">
        <f>G30</f>
        <v>0.14155251141552516</v>
      </c>
      <c r="F9" s="120"/>
    </row>
    <row r="10" spans="3:8" x14ac:dyDescent="0.3">
      <c r="C10" s="273" t="s">
        <v>354</v>
      </c>
      <c r="D10" s="274">
        <f>(1+D6+D7)*(1+D8)*(1+D9)</f>
        <v>2.4264041095890412</v>
      </c>
    </row>
    <row r="11" spans="3:8" x14ac:dyDescent="0.3">
      <c r="C11" s="273" t="s">
        <v>355</v>
      </c>
      <c r="D11" s="274">
        <f>(1+D8)*(1+D9)</f>
        <v>1.2557077625570778</v>
      </c>
    </row>
    <row r="12" spans="3:8" x14ac:dyDescent="0.3">
      <c r="D12" s="120"/>
      <c r="H12" s="1"/>
    </row>
    <row r="13" spans="3:8" ht="32.25" customHeight="1" x14ac:dyDescent="0.3">
      <c r="C13" s="686" t="s">
        <v>356</v>
      </c>
      <c r="D13" s="687"/>
      <c r="E13" s="688"/>
      <c r="H13" s="1"/>
    </row>
    <row r="14" spans="3:8" x14ac:dyDescent="0.3">
      <c r="C14" s="9"/>
      <c r="E14" s="8"/>
      <c r="H14" s="1"/>
    </row>
    <row r="15" spans="3:8" x14ac:dyDescent="0.3">
      <c r="C15" s="9" t="s">
        <v>357</v>
      </c>
      <c r="E15" s="8"/>
      <c r="H15" s="5"/>
    </row>
    <row r="16" spans="3:8" x14ac:dyDescent="0.3">
      <c r="C16" s="9" t="s">
        <v>358</v>
      </c>
      <c r="E16" s="8"/>
      <c r="H16" s="5"/>
    </row>
    <row r="17" spans="3:8" x14ac:dyDescent="0.3">
      <c r="C17" s="9" t="s">
        <v>359</v>
      </c>
      <c r="E17" s="8"/>
    </row>
    <row r="18" spans="3:8" x14ac:dyDescent="0.3">
      <c r="C18" s="9" t="s">
        <v>360</v>
      </c>
      <c r="E18" s="8"/>
    </row>
    <row r="19" spans="3:8" x14ac:dyDescent="0.3">
      <c r="C19" s="9" t="s">
        <v>361</v>
      </c>
      <c r="E19" s="8"/>
    </row>
    <row r="20" spans="3:8" x14ac:dyDescent="0.3">
      <c r="C20" s="9" t="s">
        <v>362</v>
      </c>
      <c r="E20" s="8"/>
    </row>
    <row r="21" spans="3:8" x14ac:dyDescent="0.3">
      <c r="C21" s="9" t="s">
        <v>363</v>
      </c>
      <c r="E21" s="8"/>
    </row>
    <row r="22" spans="3:8" x14ac:dyDescent="0.3">
      <c r="C22" s="9" t="s">
        <v>364</v>
      </c>
      <c r="E22" s="8"/>
    </row>
    <row r="23" spans="3:8" x14ac:dyDescent="0.3">
      <c r="C23" s="577" t="s">
        <v>508</v>
      </c>
      <c r="E23" s="8"/>
    </row>
    <row r="24" spans="3:8" x14ac:dyDescent="0.3">
      <c r="C24" s="9" t="s">
        <v>365</v>
      </c>
      <c r="E24" s="8"/>
    </row>
    <row r="25" spans="3:8" x14ac:dyDescent="0.3">
      <c r="C25" s="9" t="s">
        <v>366</v>
      </c>
      <c r="E25" s="8"/>
    </row>
    <row r="26" spans="3:8" ht="27.75" customHeight="1" x14ac:dyDescent="0.3">
      <c r="C26" s="689" t="s">
        <v>367</v>
      </c>
      <c r="D26" s="683"/>
      <c r="E26" s="690"/>
    </row>
    <row r="27" spans="3:8" x14ac:dyDescent="0.3">
      <c r="C27" s="360" t="s">
        <v>368</v>
      </c>
      <c r="E27" s="8"/>
      <c r="F27" s="362">
        <v>1.6500000000000001E-2</v>
      </c>
      <c r="G27" s="4">
        <v>1.6500000000000001E-2</v>
      </c>
      <c r="H27" s="4">
        <f>G27*0.8</f>
        <v>1.3200000000000002E-2</v>
      </c>
    </row>
    <row r="28" spans="3:8" x14ac:dyDescent="0.3">
      <c r="C28" s="360" t="s">
        <v>369</v>
      </c>
      <c r="E28" s="8"/>
      <c r="F28" s="362">
        <v>7.5999999999999998E-2</v>
      </c>
      <c r="G28" s="359">
        <v>7.5999999999999998E-2</v>
      </c>
      <c r="H28" s="359">
        <f>G28*0.8</f>
        <v>6.08E-2</v>
      </c>
    </row>
    <row r="29" spans="3:8" s="25" customFormat="1" ht="15" customHeight="1" thickBot="1" x14ac:dyDescent="0.35">
      <c r="C29" s="689" t="s">
        <v>370</v>
      </c>
      <c r="D29" s="683"/>
      <c r="E29" s="690"/>
      <c r="F29" s="70">
        <v>0.05</v>
      </c>
      <c r="G29" s="359">
        <v>0.05</v>
      </c>
      <c r="H29" s="359">
        <f>G29</f>
        <v>0.05</v>
      </c>
    </row>
    <row r="30" spans="3:8" ht="15" thickBot="1" x14ac:dyDescent="0.35">
      <c r="C30" s="71" t="s">
        <v>371</v>
      </c>
      <c r="D30" s="72"/>
      <c r="E30" s="73"/>
      <c r="F30" s="74"/>
      <c r="G30" s="75">
        <f>(1/(1-H27-H28-H29))-1</f>
        <v>0.14155251141552516</v>
      </c>
    </row>
    <row r="32" spans="3:8" x14ac:dyDescent="0.3">
      <c r="C32" t="s">
        <v>372</v>
      </c>
    </row>
    <row r="33" spans="3:5" ht="31.5" customHeight="1" x14ac:dyDescent="0.3">
      <c r="C33" s="683" t="s">
        <v>373</v>
      </c>
      <c r="D33" s="683"/>
      <c r="E33" s="683"/>
    </row>
    <row r="34" spans="3:5" ht="77.25" customHeight="1" x14ac:dyDescent="0.3">
      <c r="C34" s="684" t="s">
        <v>509</v>
      </c>
      <c r="D34" s="685"/>
      <c r="E34" s="685"/>
    </row>
  </sheetData>
  <mergeCells count="6">
    <mergeCell ref="C2:E3"/>
    <mergeCell ref="C33:E33"/>
    <mergeCell ref="C34:E34"/>
    <mergeCell ref="C13:E13"/>
    <mergeCell ref="C26:E26"/>
    <mergeCell ref="C29:E29"/>
  </mergeCells>
  <printOptions horizontalCentered="1"/>
  <pageMargins left="0.51181102362204722" right="0.51181102362204722" top="0.39370078740157483" bottom="0.78740157480314965" header="0.31496062992125984" footer="0.31496062992125984"/>
  <pageSetup paperSize="9" scale="91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"/>
  <sheetViews>
    <sheetView view="pageBreakPreview" zoomScale="60" zoomScaleNormal="100" workbookViewId="0">
      <selection activeCell="L65" activeCellId="1" sqref="D41 L65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G58"/>
  <sheetViews>
    <sheetView zoomScaleNormal="100" workbookViewId="0">
      <selection activeCell="L65" activeCellId="1" sqref="D41 L65"/>
    </sheetView>
  </sheetViews>
  <sheetFormatPr defaultRowHeight="15.6" x14ac:dyDescent="0.3"/>
  <cols>
    <col min="1" max="1" width="13.6640625" customWidth="1"/>
    <col min="2" max="2" width="110.33203125" style="43" customWidth="1"/>
    <col min="3" max="3" width="19.109375" style="230" customWidth="1"/>
    <col min="4" max="4" width="13.44140625" style="225" customWidth="1"/>
    <col min="5" max="5" width="18.5546875" style="230" customWidth="1"/>
    <col min="6" max="6" width="18.109375" style="3" customWidth="1"/>
    <col min="7" max="8" width="13.33203125" bestFit="1" customWidth="1"/>
  </cols>
  <sheetData>
    <row r="1" spans="1:7" ht="16.2" thickBot="1" x14ac:dyDescent="0.35">
      <c r="G1" s="120"/>
    </row>
    <row r="2" spans="1:7" ht="15" customHeight="1" x14ac:dyDescent="0.3">
      <c r="A2" s="691" t="s">
        <v>413</v>
      </c>
      <c r="B2" s="692"/>
      <c r="C2" s="692"/>
      <c r="D2" s="692"/>
      <c r="E2" s="692"/>
      <c r="F2" s="693"/>
      <c r="G2" s="120"/>
    </row>
    <row r="3" spans="1:7" ht="15.75" customHeight="1" thickBot="1" x14ac:dyDescent="0.35">
      <c r="A3" s="694"/>
      <c r="B3" s="618"/>
      <c r="C3" s="618"/>
      <c r="D3" s="618"/>
      <c r="E3" s="618"/>
      <c r="F3" s="695"/>
    </row>
    <row r="4" spans="1:7" ht="14.4" x14ac:dyDescent="0.3">
      <c r="A4" s="696" t="s">
        <v>26</v>
      </c>
      <c r="B4" s="697"/>
      <c r="C4" s="697"/>
      <c r="D4" s="697"/>
      <c r="E4" s="697"/>
      <c r="F4" s="698"/>
      <c r="G4" s="120"/>
    </row>
    <row r="5" spans="1:7" ht="29.25" customHeight="1" x14ac:dyDescent="0.3">
      <c r="A5" s="699" t="s">
        <v>514</v>
      </c>
      <c r="B5" s="700"/>
      <c r="C5" s="700"/>
      <c r="D5" s="700"/>
      <c r="E5" s="700"/>
      <c r="F5" s="701"/>
    </row>
    <row r="6" spans="1:7" ht="15" thickBot="1" x14ac:dyDescent="0.35">
      <c r="A6" s="702" t="s">
        <v>510</v>
      </c>
      <c r="B6" s="703"/>
      <c r="C6" s="703"/>
      <c r="D6" s="703"/>
      <c r="E6" s="703"/>
      <c r="F6" s="704"/>
    </row>
    <row r="7" spans="1:7" x14ac:dyDescent="0.3">
      <c r="A7" s="612"/>
      <c r="B7" s="613"/>
      <c r="C7" s="613"/>
    </row>
    <row r="8" spans="1:7" x14ac:dyDescent="0.3">
      <c r="A8" s="219" t="s">
        <v>27</v>
      </c>
      <c r="B8" s="275" t="s">
        <v>414</v>
      </c>
      <c r="C8" s="231" t="s">
        <v>415</v>
      </c>
      <c r="D8" s="226" t="s">
        <v>4</v>
      </c>
      <c r="E8" s="221" t="s">
        <v>416</v>
      </c>
      <c r="F8" s="220" t="s">
        <v>417</v>
      </c>
    </row>
    <row r="9" spans="1:7" x14ac:dyDescent="0.3">
      <c r="A9" s="170" t="s">
        <v>37</v>
      </c>
      <c r="B9" s="308" t="s">
        <v>117</v>
      </c>
      <c r="C9" s="309">
        <v>101301.82513367347</v>
      </c>
      <c r="D9" s="328">
        <f t="shared" ref="D9:D50" si="0">C9/$C$53</f>
        <v>0.11225532490779574</v>
      </c>
      <c r="E9" s="232">
        <f>D9</f>
        <v>0.11225532490779574</v>
      </c>
      <c r="F9" s="272" t="str">
        <f t="shared" ref="F9:F15" si="1">IF(E9&lt;$D$56,$C$56,IF(E9&lt;$D$57,$C$57,$C$58))</f>
        <v>A</v>
      </c>
    </row>
    <row r="10" spans="1:7" x14ac:dyDescent="0.3">
      <c r="A10" s="170" t="s">
        <v>47</v>
      </c>
      <c r="B10" s="308" t="s">
        <v>170</v>
      </c>
      <c r="C10" s="163">
        <v>101301.82513367347</v>
      </c>
      <c r="D10" s="328">
        <f t="shared" si="0"/>
        <v>0.11225532490779574</v>
      </c>
      <c r="E10" s="232">
        <f>D10+E9</f>
        <v>0.22451064981559149</v>
      </c>
      <c r="F10" s="272" t="str">
        <f t="shared" si="1"/>
        <v>A</v>
      </c>
    </row>
    <row r="11" spans="1:7" x14ac:dyDescent="0.3">
      <c r="A11" s="170" t="s">
        <v>56</v>
      </c>
      <c r="B11" s="308" t="s">
        <v>197</v>
      </c>
      <c r="C11" s="424">
        <v>101301.82513367347</v>
      </c>
      <c r="D11" s="328">
        <f t="shared" si="0"/>
        <v>0.11225532490779574</v>
      </c>
      <c r="E11" s="232">
        <f t="shared" ref="E11:E50" si="2">D11+E10</f>
        <v>0.33676597472338721</v>
      </c>
      <c r="F11" s="272" t="str">
        <f t="shared" si="1"/>
        <v>A</v>
      </c>
    </row>
    <row r="12" spans="1:7" x14ac:dyDescent="0.3">
      <c r="A12" s="555" t="s">
        <v>74</v>
      </c>
      <c r="B12" s="554" t="s">
        <v>249</v>
      </c>
      <c r="C12" s="163">
        <v>52676.949069510192</v>
      </c>
      <c r="D12" s="328">
        <f t="shared" si="0"/>
        <v>5.8372768952053775E-2</v>
      </c>
      <c r="E12" s="232">
        <f t="shared" si="2"/>
        <v>0.395138743675441</v>
      </c>
      <c r="F12" s="272" t="str">
        <f t="shared" si="1"/>
        <v>A</v>
      </c>
    </row>
    <row r="13" spans="1:7" x14ac:dyDescent="0.3">
      <c r="A13" s="176" t="s">
        <v>38</v>
      </c>
      <c r="B13" s="172" t="s">
        <v>487</v>
      </c>
      <c r="C13" s="424">
        <v>33767.275044557813</v>
      </c>
      <c r="D13" s="328">
        <f t="shared" si="0"/>
        <v>3.7418441635931901E-2</v>
      </c>
      <c r="E13" s="232">
        <f t="shared" si="2"/>
        <v>0.43255718531137288</v>
      </c>
      <c r="F13" s="272" t="str">
        <f t="shared" si="1"/>
        <v>A</v>
      </c>
    </row>
    <row r="14" spans="1:7" x14ac:dyDescent="0.3">
      <c r="A14" s="176" t="s">
        <v>42</v>
      </c>
      <c r="B14" s="234" t="s">
        <v>483</v>
      </c>
      <c r="C14" s="424">
        <v>33767.275044557813</v>
      </c>
      <c r="D14" s="328">
        <f t="shared" si="0"/>
        <v>3.7418441635931901E-2</v>
      </c>
      <c r="E14" s="232">
        <f t="shared" si="2"/>
        <v>0.46997562694730477</v>
      </c>
      <c r="F14" s="272" t="str">
        <f t="shared" si="1"/>
        <v>A</v>
      </c>
    </row>
    <row r="15" spans="1:7" x14ac:dyDescent="0.3">
      <c r="A15" s="170" t="s">
        <v>48</v>
      </c>
      <c r="B15" s="308" t="s">
        <v>486</v>
      </c>
      <c r="C15" s="309">
        <v>33767.275044557813</v>
      </c>
      <c r="D15" s="328">
        <f t="shared" si="0"/>
        <v>3.7418441635931901E-2</v>
      </c>
      <c r="E15" s="232">
        <f t="shared" si="2"/>
        <v>0.50739406858323666</v>
      </c>
      <c r="F15" s="272" t="str">
        <f t="shared" si="1"/>
        <v>A</v>
      </c>
    </row>
    <row r="16" spans="1:7" x14ac:dyDescent="0.3">
      <c r="A16" s="170" t="s">
        <v>52</v>
      </c>
      <c r="B16" s="308" t="s">
        <v>488</v>
      </c>
      <c r="C16" s="163">
        <v>33767.275044557813</v>
      </c>
      <c r="D16" s="328">
        <f t="shared" si="0"/>
        <v>3.7418441635931901E-2</v>
      </c>
      <c r="E16" s="232">
        <f t="shared" si="2"/>
        <v>0.54481251021916854</v>
      </c>
      <c r="F16" s="272" t="str">
        <f t="shared" ref="F16:F19" si="3">IF(E16&lt;$D$56,$C$56,IF(E16&lt;$D$57,$C$57,$C$58))</f>
        <v>A</v>
      </c>
    </row>
    <row r="17" spans="1:6" x14ac:dyDescent="0.3">
      <c r="A17" s="555" t="s">
        <v>57</v>
      </c>
      <c r="B17" s="554" t="s">
        <v>489</v>
      </c>
      <c r="C17" s="163">
        <v>33767.275044557813</v>
      </c>
      <c r="D17" s="328">
        <f t="shared" si="0"/>
        <v>3.7418441635931901E-2</v>
      </c>
      <c r="E17" s="232">
        <f t="shared" si="2"/>
        <v>0.58223095185510043</v>
      </c>
      <c r="F17" s="272" t="str">
        <f t="shared" si="3"/>
        <v>A</v>
      </c>
    </row>
    <row r="18" spans="1:6" x14ac:dyDescent="0.3">
      <c r="A18" s="555" t="s">
        <v>61</v>
      </c>
      <c r="B18" s="554" t="s">
        <v>492</v>
      </c>
      <c r="C18" s="163">
        <v>33767.275044557813</v>
      </c>
      <c r="D18" s="328">
        <f t="shared" si="0"/>
        <v>3.7418441635931901E-2</v>
      </c>
      <c r="E18" s="232">
        <f t="shared" si="2"/>
        <v>0.61964939349103232</v>
      </c>
      <c r="F18" s="272" t="str">
        <f t="shared" si="3"/>
        <v>A</v>
      </c>
    </row>
    <row r="19" spans="1:6" x14ac:dyDescent="0.3">
      <c r="A19" s="555" t="s">
        <v>65</v>
      </c>
      <c r="B19" s="554" t="s">
        <v>223</v>
      </c>
      <c r="C19" s="163">
        <v>24312.438032081627</v>
      </c>
      <c r="D19" s="328">
        <f t="shared" si="0"/>
        <v>2.6941277977870971E-2</v>
      </c>
      <c r="E19" s="232">
        <f t="shared" si="2"/>
        <v>0.64659067146890326</v>
      </c>
      <c r="F19" s="272" t="str">
        <f t="shared" si="3"/>
        <v>A</v>
      </c>
    </row>
    <row r="20" spans="1:6" x14ac:dyDescent="0.3">
      <c r="A20" s="564" t="s">
        <v>83</v>
      </c>
      <c r="B20" s="554" t="s">
        <v>275</v>
      </c>
      <c r="C20" s="163">
        <v>24312.438032081627</v>
      </c>
      <c r="D20" s="328">
        <f t="shared" si="0"/>
        <v>2.6941277977870971E-2</v>
      </c>
      <c r="E20" s="232">
        <f t="shared" si="2"/>
        <v>0.67353194944677419</v>
      </c>
      <c r="F20" s="571" t="str">
        <f>IF(E20&lt;$D$56,$C$56,IF(E20&lt;$D$57,$C$57,$C$58))</f>
        <v>B</v>
      </c>
    </row>
    <row r="21" spans="1:6" x14ac:dyDescent="0.3">
      <c r="A21" s="564" t="s">
        <v>40</v>
      </c>
      <c r="B21" s="554" t="s">
        <v>482</v>
      </c>
      <c r="C21" s="163">
        <v>22511.51669637188</v>
      </c>
      <c r="D21" s="328">
        <f t="shared" si="0"/>
        <v>2.4945627757287942E-2</v>
      </c>
      <c r="E21" s="232">
        <f t="shared" si="2"/>
        <v>0.69847757720406212</v>
      </c>
      <c r="F21" s="571" t="str">
        <f>IF(E21&lt;$D$56,$C$56,IF(E21&lt;$D$57,$C$57,$C$58))</f>
        <v>B</v>
      </c>
    </row>
    <row r="22" spans="1:6" x14ac:dyDescent="0.3">
      <c r="A22" s="176" t="s">
        <v>41</v>
      </c>
      <c r="B22" s="234" t="s">
        <v>162</v>
      </c>
      <c r="C22" s="424">
        <v>22511.51669637188</v>
      </c>
      <c r="D22" s="328">
        <f t="shared" si="0"/>
        <v>2.4945627757287942E-2</v>
      </c>
      <c r="E22" s="232">
        <f t="shared" si="2"/>
        <v>0.72342320496135004</v>
      </c>
      <c r="F22" s="571" t="str">
        <f>IF(E22&lt;$D$56,$C$56,IF(E22&lt;$D$57,$C$57,$C$58))</f>
        <v>B</v>
      </c>
    </row>
    <row r="23" spans="1:6" x14ac:dyDescent="0.3">
      <c r="A23" s="176" t="s">
        <v>50</v>
      </c>
      <c r="B23" s="234" t="s">
        <v>485</v>
      </c>
      <c r="C23" s="163">
        <v>22511.51669637188</v>
      </c>
      <c r="D23" s="328">
        <f t="shared" si="0"/>
        <v>2.4945627757287942E-2</v>
      </c>
      <c r="E23" s="232">
        <f t="shared" si="2"/>
        <v>0.74836883271863797</v>
      </c>
      <c r="F23" s="571" t="str">
        <f t="shared" ref="F23:F30" si="4">IF(E23&lt;$D$56,$C$56,IF(E23&lt;$D$57,$C$57,$C$58))</f>
        <v>B</v>
      </c>
    </row>
    <row r="24" spans="1:6" x14ac:dyDescent="0.3">
      <c r="A24" s="170" t="s">
        <v>51</v>
      </c>
      <c r="B24" s="308" t="s">
        <v>193</v>
      </c>
      <c r="C24" s="163">
        <v>22511.51669637188</v>
      </c>
      <c r="D24" s="328">
        <f t="shared" si="0"/>
        <v>2.4945627757287942E-2</v>
      </c>
      <c r="E24" s="232">
        <f t="shared" si="2"/>
        <v>0.77331446047592589</v>
      </c>
      <c r="F24" s="571" t="str">
        <f t="shared" si="4"/>
        <v>B</v>
      </c>
    </row>
    <row r="25" spans="1:6" x14ac:dyDescent="0.3">
      <c r="A25" s="555" t="s">
        <v>59</v>
      </c>
      <c r="B25" s="554" t="s">
        <v>491</v>
      </c>
      <c r="C25" s="163">
        <v>22511.51669637188</v>
      </c>
      <c r="D25" s="328">
        <f t="shared" si="0"/>
        <v>2.4945627757287942E-2</v>
      </c>
      <c r="E25" s="232">
        <f t="shared" si="2"/>
        <v>0.79826008823321382</v>
      </c>
      <c r="F25" s="571" t="str">
        <f t="shared" si="4"/>
        <v>B</v>
      </c>
    </row>
    <row r="26" spans="1:6" x14ac:dyDescent="0.3">
      <c r="A26" s="555" t="s">
        <v>60</v>
      </c>
      <c r="B26" s="554" t="s">
        <v>220</v>
      </c>
      <c r="C26" s="163">
        <v>22511.51669637188</v>
      </c>
      <c r="D26" s="328">
        <f t="shared" si="0"/>
        <v>2.4945627757287942E-2</v>
      </c>
      <c r="E26" s="232">
        <f t="shared" si="2"/>
        <v>0.82320571599050174</v>
      </c>
      <c r="F26" s="571" t="str">
        <f t="shared" si="4"/>
        <v>B</v>
      </c>
    </row>
    <row r="27" spans="1:6" x14ac:dyDescent="0.3">
      <c r="A27" s="555" t="s">
        <v>75</v>
      </c>
      <c r="B27" s="554" t="s">
        <v>497</v>
      </c>
      <c r="C27" s="163">
        <v>17558.983023170065</v>
      </c>
      <c r="D27" s="328">
        <f t="shared" si="0"/>
        <v>1.9457589650684594E-2</v>
      </c>
      <c r="E27" s="232">
        <f t="shared" si="2"/>
        <v>0.8426633056411863</v>
      </c>
      <c r="F27" s="571" t="str">
        <f t="shared" si="4"/>
        <v>B</v>
      </c>
    </row>
    <row r="28" spans="1:6" x14ac:dyDescent="0.3">
      <c r="A28" s="555" t="s">
        <v>79</v>
      </c>
      <c r="B28" s="554" t="s">
        <v>500</v>
      </c>
      <c r="C28" s="163">
        <v>17558.983023170065</v>
      </c>
      <c r="D28" s="328">
        <f t="shared" si="0"/>
        <v>1.9457589650684594E-2</v>
      </c>
      <c r="E28" s="232">
        <f t="shared" si="2"/>
        <v>0.86212089529187086</v>
      </c>
      <c r="F28" s="571" t="str">
        <f t="shared" si="4"/>
        <v>B</v>
      </c>
    </row>
    <row r="29" spans="1:6" x14ac:dyDescent="0.3">
      <c r="A29" s="555" t="s">
        <v>77</v>
      </c>
      <c r="B29" s="554" t="s">
        <v>499</v>
      </c>
      <c r="C29" s="163">
        <v>11705.988682113373</v>
      </c>
      <c r="D29" s="328">
        <f t="shared" si="0"/>
        <v>1.2971726433789724E-2</v>
      </c>
      <c r="E29" s="232">
        <f t="shared" si="2"/>
        <v>0.8750926217256606</v>
      </c>
      <c r="F29" s="571" t="str">
        <f t="shared" si="4"/>
        <v>B</v>
      </c>
    </row>
    <row r="30" spans="1:6" x14ac:dyDescent="0.3">
      <c r="A30" s="555" t="s">
        <v>78</v>
      </c>
      <c r="B30" s="554" t="s">
        <v>272</v>
      </c>
      <c r="C30" s="163">
        <v>11705.988682113373</v>
      </c>
      <c r="D30" s="328">
        <f t="shared" si="0"/>
        <v>1.2971726433789724E-2</v>
      </c>
      <c r="E30" s="232">
        <f t="shared" si="2"/>
        <v>0.88806434815945035</v>
      </c>
      <c r="F30" s="571" t="str">
        <f t="shared" si="4"/>
        <v>B</v>
      </c>
    </row>
    <row r="31" spans="1:6" x14ac:dyDescent="0.3">
      <c r="A31" s="170" t="s">
        <v>39</v>
      </c>
      <c r="B31" s="308" t="s">
        <v>481</v>
      </c>
      <c r="C31" s="163">
        <v>11255.75834818594</v>
      </c>
      <c r="D31" s="328">
        <f t="shared" si="0"/>
        <v>1.2472813878643971E-2</v>
      </c>
      <c r="E31" s="232">
        <f t="shared" si="2"/>
        <v>0.90053716203809431</v>
      </c>
      <c r="F31" s="570" t="str">
        <f t="shared" ref="F31:F44" si="5">IF(E31&lt;$D$56,$C$56,IF(E31&lt;$D$57,$C$57,$C$58))</f>
        <v>C</v>
      </c>
    </row>
    <row r="32" spans="1:6" x14ac:dyDescent="0.3">
      <c r="A32" s="176" t="s">
        <v>49</v>
      </c>
      <c r="B32" s="234" t="s">
        <v>484</v>
      </c>
      <c r="C32" s="424">
        <v>11255.75834818594</v>
      </c>
      <c r="D32" s="328">
        <f t="shared" si="0"/>
        <v>1.2472813878643971E-2</v>
      </c>
      <c r="E32" s="232">
        <f t="shared" si="2"/>
        <v>0.91300997591673827</v>
      </c>
      <c r="F32" s="570" t="str">
        <f t="shared" si="5"/>
        <v>C</v>
      </c>
    </row>
    <row r="33" spans="1:6" x14ac:dyDescent="0.3">
      <c r="A33" s="555" t="s">
        <v>58</v>
      </c>
      <c r="B33" s="554" t="s">
        <v>490</v>
      </c>
      <c r="C33" s="163">
        <v>11255.75834818594</v>
      </c>
      <c r="D33" s="328">
        <f t="shared" si="0"/>
        <v>1.2472813878643971E-2</v>
      </c>
      <c r="E33" s="232">
        <f t="shared" si="2"/>
        <v>0.92548278979538223</v>
      </c>
      <c r="F33" s="570" t="str">
        <f t="shared" si="5"/>
        <v>C</v>
      </c>
    </row>
    <row r="34" spans="1:6" x14ac:dyDescent="0.3">
      <c r="A34" s="555" t="s">
        <v>66</v>
      </c>
      <c r="B34" s="554" t="s">
        <v>493</v>
      </c>
      <c r="C34" s="163">
        <v>8104.1460106938757</v>
      </c>
      <c r="D34" s="328">
        <f t="shared" si="0"/>
        <v>8.9804259926236571E-3</v>
      </c>
      <c r="E34" s="232">
        <f t="shared" si="2"/>
        <v>0.93446321578800584</v>
      </c>
      <c r="F34" s="570" t="str">
        <f t="shared" si="5"/>
        <v>C</v>
      </c>
    </row>
    <row r="35" spans="1:6" x14ac:dyDescent="0.3">
      <c r="A35" s="555" t="s">
        <v>70</v>
      </c>
      <c r="B35" s="554" t="s">
        <v>496</v>
      </c>
      <c r="C35" s="163">
        <v>8104.1460106938757</v>
      </c>
      <c r="D35" s="328">
        <f t="shared" si="0"/>
        <v>8.9804259926236571E-3</v>
      </c>
      <c r="E35" s="232">
        <f t="shared" si="2"/>
        <v>0.94344364178062945</v>
      </c>
      <c r="F35" s="570" t="str">
        <f t="shared" si="5"/>
        <v>C</v>
      </c>
    </row>
    <row r="36" spans="1:6" x14ac:dyDescent="0.3">
      <c r="A36" s="564" t="s">
        <v>84</v>
      </c>
      <c r="B36" s="554" t="s">
        <v>501</v>
      </c>
      <c r="C36" s="163">
        <v>8104.1460106938757</v>
      </c>
      <c r="D36" s="328">
        <f t="shared" si="0"/>
        <v>8.9804259926236571E-3</v>
      </c>
      <c r="E36" s="232">
        <f t="shared" si="2"/>
        <v>0.95242406777325306</v>
      </c>
      <c r="F36" s="570" t="str">
        <f t="shared" si="5"/>
        <v>C</v>
      </c>
    </row>
    <row r="37" spans="1:6" x14ac:dyDescent="0.3">
      <c r="A37" s="564" t="s">
        <v>88</v>
      </c>
      <c r="B37" s="554" t="s">
        <v>504</v>
      </c>
      <c r="C37" s="163">
        <v>8104.1460106938757</v>
      </c>
      <c r="D37" s="328">
        <f t="shared" si="0"/>
        <v>8.9804259926236571E-3</v>
      </c>
      <c r="E37" s="232">
        <f t="shared" si="2"/>
        <v>0.96140449376587667</v>
      </c>
      <c r="F37" s="570" t="str">
        <f t="shared" si="5"/>
        <v>C</v>
      </c>
    </row>
    <row r="38" spans="1:6" x14ac:dyDescent="0.3">
      <c r="A38" s="555" t="s">
        <v>76</v>
      </c>
      <c r="B38" s="554" t="s">
        <v>498</v>
      </c>
      <c r="C38" s="163">
        <v>5852.9943410566866</v>
      </c>
      <c r="D38" s="328">
        <f t="shared" si="0"/>
        <v>6.485863216894862E-3</v>
      </c>
      <c r="E38" s="232">
        <f t="shared" si="2"/>
        <v>0.96789035698277148</v>
      </c>
      <c r="F38" s="570" t="str">
        <f t="shared" si="5"/>
        <v>C</v>
      </c>
    </row>
    <row r="39" spans="1:6" x14ac:dyDescent="0.3">
      <c r="A39" s="555" t="s">
        <v>68</v>
      </c>
      <c r="B39" s="554" t="s">
        <v>495</v>
      </c>
      <c r="C39" s="163">
        <v>5402.7640071292499</v>
      </c>
      <c r="D39" s="328">
        <f t="shared" si="0"/>
        <v>5.9869506617491039E-3</v>
      </c>
      <c r="E39" s="232">
        <f t="shared" si="2"/>
        <v>0.97387730764452063</v>
      </c>
      <c r="F39" s="570" t="str">
        <f t="shared" si="5"/>
        <v>C</v>
      </c>
    </row>
    <row r="40" spans="1:6" x14ac:dyDescent="0.3">
      <c r="A40" s="555" t="s">
        <v>69</v>
      </c>
      <c r="B40" s="554" t="s">
        <v>246</v>
      </c>
      <c r="C40" s="163">
        <v>5402.7640071292499</v>
      </c>
      <c r="D40" s="328">
        <f t="shared" si="0"/>
        <v>5.9869506617491039E-3</v>
      </c>
      <c r="E40" s="232">
        <f t="shared" si="2"/>
        <v>0.97986425830626978</v>
      </c>
      <c r="F40" s="570" t="str">
        <f t="shared" si="5"/>
        <v>C</v>
      </c>
    </row>
    <row r="41" spans="1:6" x14ac:dyDescent="0.3">
      <c r="A41" s="564" t="s">
        <v>86</v>
      </c>
      <c r="B41" s="554" t="s">
        <v>503</v>
      </c>
      <c r="C41" s="163">
        <v>5402.7640071292499</v>
      </c>
      <c r="D41" s="328">
        <f t="shared" si="0"/>
        <v>5.9869506617491039E-3</v>
      </c>
      <c r="E41" s="232">
        <f t="shared" si="2"/>
        <v>0.98585120896801892</v>
      </c>
      <c r="F41" s="570" t="str">
        <f t="shared" si="5"/>
        <v>C</v>
      </c>
    </row>
    <row r="42" spans="1:6" x14ac:dyDescent="0.3">
      <c r="A42" s="564" t="s">
        <v>87</v>
      </c>
      <c r="B42" s="554" t="s">
        <v>298</v>
      </c>
      <c r="C42" s="163">
        <v>5402.7640071292499</v>
      </c>
      <c r="D42" s="328">
        <f t="shared" si="0"/>
        <v>5.9869506617491039E-3</v>
      </c>
      <c r="E42" s="232">
        <f t="shared" si="2"/>
        <v>0.99183815962976807</v>
      </c>
      <c r="F42" s="570" t="str">
        <f t="shared" si="5"/>
        <v>C</v>
      </c>
    </row>
    <row r="43" spans="1:6" x14ac:dyDescent="0.3">
      <c r="A43" s="555" t="s">
        <v>67</v>
      </c>
      <c r="B43" s="554" t="s">
        <v>494</v>
      </c>
      <c r="C43" s="163">
        <v>2701.3820035646249</v>
      </c>
      <c r="D43" s="328">
        <f t="shared" si="0"/>
        <v>2.9934753308745519E-3</v>
      </c>
      <c r="E43" s="232">
        <f t="shared" si="2"/>
        <v>0.99483163496064264</v>
      </c>
      <c r="F43" s="570" t="str">
        <f t="shared" si="5"/>
        <v>C</v>
      </c>
    </row>
    <row r="44" spans="1:6" x14ac:dyDescent="0.3">
      <c r="A44" s="564" t="s">
        <v>85</v>
      </c>
      <c r="B44" s="554" t="s">
        <v>502</v>
      </c>
      <c r="C44" s="163">
        <v>2701.3820035646249</v>
      </c>
      <c r="D44" s="328">
        <f t="shared" si="0"/>
        <v>2.9934753308745519E-3</v>
      </c>
      <c r="E44" s="232">
        <f t="shared" si="2"/>
        <v>0.99782511029151721</v>
      </c>
      <c r="F44" s="570" t="str">
        <f t="shared" si="5"/>
        <v>C</v>
      </c>
    </row>
    <row r="45" spans="1:6" x14ac:dyDescent="0.3">
      <c r="A45" s="176" t="s">
        <v>43</v>
      </c>
      <c r="B45" s="234" t="s">
        <v>44</v>
      </c>
      <c r="C45" s="424">
        <v>327.1118721461188</v>
      </c>
      <c r="D45" s="328">
        <f t="shared" si="0"/>
        <v>3.6248161808048106E-4</v>
      </c>
      <c r="E45" s="232">
        <f t="shared" si="2"/>
        <v>0.99818759190959772</v>
      </c>
      <c r="F45" s="570" t="str">
        <f t="shared" ref="F45:F50" si="6">IF(E45&lt;$D$56,$C$56,IF(E45&lt;$D$57,$C$57,$C$58))</f>
        <v>C</v>
      </c>
    </row>
    <row r="46" spans="1:6" x14ac:dyDescent="0.3">
      <c r="A46" s="564" t="s">
        <v>53</v>
      </c>
      <c r="B46" s="554" t="s">
        <v>44</v>
      </c>
      <c r="C46" s="163">
        <v>327.1118721461188</v>
      </c>
      <c r="D46" s="328">
        <f t="shared" si="0"/>
        <v>3.6248161808048106E-4</v>
      </c>
      <c r="E46" s="232">
        <f t="shared" si="2"/>
        <v>0.99855007352767822</v>
      </c>
      <c r="F46" s="570" t="str">
        <f t="shared" si="6"/>
        <v>C</v>
      </c>
    </row>
    <row r="47" spans="1:6" x14ac:dyDescent="0.3">
      <c r="A47" s="555" t="s">
        <v>62</v>
      </c>
      <c r="B47" s="554" t="s">
        <v>44</v>
      </c>
      <c r="C47" s="163">
        <v>327.1118721461188</v>
      </c>
      <c r="D47" s="328">
        <f t="shared" si="0"/>
        <v>3.6248161808048106E-4</v>
      </c>
      <c r="E47" s="232">
        <f t="shared" si="2"/>
        <v>0.99891255514575872</v>
      </c>
      <c r="F47" s="570" t="str">
        <f t="shared" si="6"/>
        <v>C</v>
      </c>
    </row>
    <row r="48" spans="1:6" x14ac:dyDescent="0.3">
      <c r="A48" s="555" t="s">
        <v>71</v>
      </c>
      <c r="B48" s="554" t="s">
        <v>44</v>
      </c>
      <c r="C48" s="163">
        <v>327.1118721461188</v>
      </c>
      <c r="D48" s="328">
        <f t="shared" si="0"/>
        <v>3.6248161808048106E-4</v>
      </c>
      <c r="E48" s="232">
        <f t="shared" si="2"/>
        <v>0.99927503676383922</v>
      </c>
      <c r="F48" s="570" t="str">
        <f t="shared" si="6"/>
        <v>C</v>
      </c>
    </row>
    <row r="49" spans="1:6" x14ac:dyDescent="0.3">
      <c r="A49" s="555" t="s">
        <v>80</v>
      </c>
      <c r="B49" s="554" t="s">
        <v>44</v>
      </c>
      <c r="C49" s="163">
        <v>327.1118721461188</v>
      </c>
      <c r="D49" s="328">
        <f t="shared" si="0"/>
        <v>3.6248161808048106E-4</v>
      </c>
      <c r="E49" s="232">
        <f t="shared" si="2"/>
        <v>0.99963751838191972</v>
      </c>
      <c r="F49" s="570" t="str">
        <f t="shared" si="6"/>
        <v>C</v>
      </c>
    </row>
    <row r="50" spans="1:6" x14ac:dyDescent="0.3">
      <c r="A50" s="555" t="s">
        <v>89</v>
      </c>
      <c r="B50" s="554" t="s">
        <v>44</v>
      </c>
      <c r="C50" s="163">
        <v>327.1118721461188</v>
      </c>
      <c r="D50" s="328">
        <f t="shared" si="0"/>
        <v>3.6248161808048106E-4</v>
      </c>
      <c r="E50" s="232">
        <f t="shared" si="2"/>
        <v>1.0000000000000002</v>
      </c>
      <c r="F50" s="570" t="str">
        <f t="shared" si="6"/>
        <v>C</v>
      </c>
    </row>
    <row r="51" spans="1:6" x14ac:dyDescent="0.3">
      <c r="A51" s="564"/>
      <c r="B51" s="554"/>
      <c r="C51" s="163"/>
      <c r="D51" s="328"/>
      <c r="E51" s="232"/>
      <c r="F51" s="579"/>
    </row>
    <row r="52" spans="1:6" x14ac:dyDescent="0.3">
      <c r="C52" s="120"/>
      <c r="D52" s="568"/>
      <c r="E52" s="569"/>
      <c r="F52" s="569"/>
    </row>
    <row r="53" spans="1:6" x14ac:dyDescent="0.3">
      <c r="C53" s="530">
        <f>SUM(C9:C51)</f>
        <v>902423.33908775146</v>
      </c>
    </row>
    <row r="55" spans="1:6" x14ac:dyDescent="0.3">
      <c r="C55" s="174" t="s">
        <v>417</v>
      </c>
      <c r="D55" s="227" t="s">
        <v>4</v>
      </c>
    </row>
    <row r="56" spans="1:6" x14ac:dyDescent="0.3">
      <c r="C56" s="174" t="s">
        <v>418</v>
      </c>
      <c r="D56" s="222">
        <v>0.65</v>
      </c>
    </row>
    <row r="57" spans="1:6" x14ac:dyDescent="0.3">
      <c r="C57" s="174" t="s">
        <v>419</v>
      </c>
      <c r="D57" s="223">
        <v>0.9</v>
      </c>
    </row>
    <row r="58" spans="1:6" x14ac:dyDescent="0.3">
      <c r="C58" s="174" t="s">
        <v>420</v>
      </c>
      <c r="D58" s="224">
        <v>1</v>
      </c>
    </row>
  </sheetData>
  <autoFilter ref="A8:F8" xr:uid="{00000000-0009-0000-0000-000005000000}">
    <sortState xmlns:xlrd2="http://schemas.microsoft.com/office/spreadsheetml/2017/richdata2" ref="A9:F40">
      <sortCondition descending="1" ref="D8"/>
    </sortState>
  </autoFilter>
  <sortState xmlns:xlrd2="http://schemas.microsoft.com/office/spreadsheetml/2017/richdata2" ref="A10:D50">
    <sortCondition descending="1" ref="C10:C50"/>
  </sortState>
  <mergeCells count="5">
    <mergeCell ref="A2:F3"/>
    <mergeCell ref="A4:F4"/>
    <mergeCell ref="A5:F5"/>
    <mergeCell ref="A6:F6"/>
    <mergeCell ref="A7:C7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colBreaks count="1" manualBreakCount="1">
    <brk id="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358"/>
  <sheetViews>
    <sheetView view="pageBreakPreview" zoomScale="60" zoomScaleNormal="100" workbookViewId="0">
      <pane ySplit="11" topLeftCell="A12" activePane="bottomLeft" state="frozen"/>
      <selection activeCell="L65" activeCellId="1" sqref="D41 L65"/>
      <selection pane="bottomLeft" activeCell="L65" activeCellId="1" sqref="D41 L65"/>
    </sheetView>
  </sheetViews>
  <sheetFormatPr defaultRowHeight="14.4" x14ac:dyDescent="0.3"/>
  <cols>
    <col min="1" max="1" width="18.33203125" style="370" customWidth="1"/>
    <col min="2" max="2" width="72.6640625" style="43" customWidth="1"/>
    <col min="3" max="3" width="8.6640625" customWidth="1"/>
    <col min="4" max="4" width="14.88671875" customWidth="1"/>
    <col min="5" max="5" width="10.88671875" style="2" customWidth="1"/>
    <col min="6" max="6" width="17.33203125" style="3" customWidth="1"/>
    <col min="7" max="7" width="14.88671875" style="3" bestFit="1" customWidth="1"/>
    <col min="8" max="8" width="15.88671875" style="3" customWidth="1"/>
    <col min="9" max="11" width="15.33203125" style="3" customWidth="1"/>
    <col min="12" max="12" width="17.109375" style="3" customWidth="1"/>
    <col min="13" max="13" width="16.109375" style="3" hidden="1" customWidth="1"/>
    <col min="14" max="14" width="19.109375" style="3" bestFit="1" customWidth="1"/>
    <col min="15" max="15" width="15" style="3" hidden="1" customWidth="1"/>
    <col min="16" max="16" width="13.44140625" style="3" hidden="1" customWidth="1"/>
    <col min="17" max="17" width="13.44140625" style="3" customWidth="1"/>
    <col min="18" max="19" width="14.6640625" style="3" customWidth="1"/>
    <col min="20" max="20" width="17.44140625" style="3" customWidth="1"/>
    <col min="21" max="21" width="18.6640625" customWidth="1"/>
    <col min="22" max="22" width="12.44140625" bestFit="1" customWidth="1"/>
    <col min="23" max="23" width="15.6640625" customWidth="1"/>
    <col min="24" max="24" width="13.88671875" bestFit="1" customWidth="1"/>
  </cols>
  <sheetData>
    <row r="1" spans="1:23" hidden="1" x14ac:dyDescent="0.3"/>
    <row r="2" spans="1:23" hidden="1" x14ac:dyDescent="0.3">
      <c r="A2" s="636" t="s">
        <v>91</v>
      </c>
      <c r="B2" s="636"/>
      <c r="C2" s="636"/>
      <c r="D2" s="636"/>
      <c r="E2" s="636"/>
    </row>
    <row r="3" spans="1:23" hidden="1" x14ac:dyDescent="0.3">
      <c r="A3" s="636"/>
      <c r="B3" s="636"/>
      <c r="C3" s="636"/>
      <c r="D3" s="636"/>
      <c r="E3" s="636"/>
    </row>
    <row r="4" spans="1:23" hidden="1" x14ac:dyDescent="0.3">
      <c r="A4" s="371"/>
      <c r="B4" s="237"/>
      <c r="C4" s="28"/>
      <c r="D4" s="28"/>
      <c r="E4" s="47"/>
      <c r="F4" s="111"/>
      <c r="G4" s="114"/>
    </row>
    <row r="5" spans="1:23" hidden="1" x14ac:dyDescent="0.3">
      <c r="A5" s="503" t="s">
        <v>26</v>
      </c>
      <c r="B5" s="504"/>
      <c r="C5" s="504"/>
      <c r="D5" s="504"/>
      <c r="E5" s="504"/>
      <c r="F5" s="504"/>
      <c r="G5" s="505"/>
      <c r="H5" s="260"/>
      <c r="I5" s="260"/>
      <c r="J5" s="260"/>
      <c r="K5" s="260"/>
      <c r="L5" s="260"/>
      <c r="M5" s="260"/>
      <c r="N5" s="111"/>
      <c r="O5" s="111"/>
      <c r="P5" s="111"/>
      <c r="Q5" s="111"/>
      <c r="R5" s="111"/>
      <c r="S5" s="111"/>
      <c r="T5" s="111"/>
    </row>
    <row r="6" spans="1:23" hidden="1" x14ac:dyDescent="0.3">
      <c r="A6" s="503" t="s">
        <v>92</v>
      </c>
      <c r="C6" s="504"/>
      <c r="D6" s="504"/>
      <c r="E6" s="504"/>
      <c r="F6" s="504"/>
      <c r="G6" s="505"/>
      <c r="H6" s="180"/>
      <c r="I6" s="180"/>
      <c r="J6" s="180"/>
      <c r="K6" s="180"/>
      <c r="L6" s="180"/>
      <c r="M6" s="180"/>
    </row>
    <row r="7" spans="1:23" hidden="1" x14ac:dyDescent="0.3">
      <c r="A7" s="506" t="s">
        <v>93</v>
      </c>
      <c r="B7" s="254"/>
      <c r="C7" s="48"/>
      <c r="D7" s="48"/>
      <c r="E7" s="69"/>
      <c r="F7" s="112"/>
      <c r="G7" s="115"/>
      <c r="H7" s="261"/>
      <c r="I7" s="261"/>
      <c r="J7" s="261"/>
      <c r="K7" s="261"/>
      <c r="L7" s="261"/>
      <c r="M7" s="261"/>
      <c r="N7" s="116"/>
      <c r="O7" s="116"/>
      <c r="P7" s="116"/>
      <c r="Q7" s="116"/>
      <c r="R7" s="116"/>
    </row>
    <row r="8" spans="1:23" hidden="1" x14ac:dyDescent="0.3">
      <c r="A8" s="612" t="s">
        <v>94</v>
      </c>
      <c r="B8" s="613"/>
      <c r="C8" s="613"/>
      <c r="D8" s="613"/>
      <c r="E8" s="705"/>
      <c r="F8" s="141"/>
      <c r="G8" s="141"/>
      <c r="H8" s="141"/>
      <c r="I8" s="141"/>
      <c r="J8" s="141"/>
      <c r="K8" s="141"/>
      <c r="L8" s="141"/>
    </row>
    <row r="9" spans="1:23" x14ac:dyDescent="0.3">
      <c r="A9" s="372" t="s">
        <v>27</v>
      </c>
      <c r="B9" s="253"/>
      <c r="C9" s="578" t="s">
        <v>95</v>
      </c>
      <c r="D9" s="194" t="s">
        <v>96</v>
      </c>
      <c r="E9" s="195"/>
      <c r="F9" s="710" t="s">
        <v>97</v>
      </c>
      <c r="G9" s="711"/>
      <c r="H9" s="711"/>
      <c r="I9" s="711"/>
      <c r="J9" s="711"/>
      <c r="K9" s="711"/>
      <c r="L9" s="711"/>
      <c r="M9" s="711"/>
      <c r="N9" s="711"/>
      <c r="O9" s="711"/>
      <c r="P9" s="711"/>
      <c r="Q9" s="711"/>
      <c r="R9" s="711"/>
      <c r="S9" s="354"/>
      <c r="T9" s="354"/>
    </row>
    <row r="10" spans="1:23" x14ac:dyDescent="0.3">
      <c r="A10" s="373"/>
      <c r="B10" s="252"/>
      <c r="C10" s="196"/>
      <c r="D10" s="196"/>
      <c r="E10" s="197"/>
      <c r="F10" s="706" t="s">
        <v>98</v>
      </c>
      <c r="G10" s="706"/>
      <c r="H10" s="706"/>
      <c r="I10" s="706"/>
      <c r="J10" s="706"/>
      <c r="K10" s="706"/>
      <c r="L10" s="706"/>
      <c r="M10" s="706"/>
      <c r="N10" s="706"/>
      <c r="O10" s="706"/>
      <c r="P10" s="706"/>
      <c r="Q10" s="706"/>
      <c r="R10" s="706"/>
      <c r="S10" s="352"/>
      <c r="T10" s="352"/>
    </row>
    <row r="11" spans="1:23" ht="43.2" x14ac:dyDescent="0.3">
      <c r="A11" s="374" t="s">
        <v>36</v>
      </c>
      <c r="B11" s="251" t="s">
        <v>99</v>
      </c>
      <c r="C11" s="199"/>
      <c r="D11" s="200"/>
      <c r="E11" s="201"/>
      <c r="F11" s="257" t="s">
        <v>100</v>
      </c>
      <c r="G11" s="257" t="s">
        <v>101</v>
      </c>
      <c r="H11" s="257" t="s">
        <v>102</v>
      </c>
      <c r="I11" s="257" t="s">
        <v>103</v>
      </c>
      <c r="J11" s="256" t="s">
        <v>104</v>
      </c>
      <c r="K11" s="271" t="s">
        <v>105</v>
      </c>
      <c r="L11" s="533" t="s">
        <v>106</v>
      </c>
      <c r="M11" s="271" t="s">
        <v>107</v>
      </c>
      <c r="N11" s="533" t="s">
        <v>108</v>
      </c>
      <c r="O11" s="256" t="s">
        <v>109</v>
      </c>
      <c r="P11" s="257" t="s">
        <v>110</v>
      </c>
      <c r="Q11" s="256" t="s">
        <v>111</v>
      </c>
      <c r="R11" s="255" t="s">
        <v>112</v>
      </c>
      <c r="S11" s="255" t="s">
        <v>113</v>
      </c>
      <c r="T11" s="257" t="s">
        <v>114</v>
      </c>
    </row>
    <row r="12" spans="1:23" ht="20.25" customHeight="1" x14ac:dyDescent="0.3">
      <c r="A12" s="375"/>
      <c r="B12" s="250"/>
      <c r="C12" s="198"/>
      <c r="D12" s="198"/>
      <c r="E12" s="400" t="s">
        <v>115</v>
      </c>
      <c r="F12" s="401">
        <f>TRUNC(H316,2)</f>
        <v>880</v>
      </c>
      <c r="G12" s="93">
        <f>TRUNC(H315,2)</f>
        <v>880</v>
      </c>
      <c r="H12" s="93">
        <f>TRUNC(H314,2)</f>
        <v>440</v>
      </c>
      <c r="I12" s="93">
        <f>TRUNC(H318,2)</f>
        <v>880</v>
      </c>
      <c r="J12" s="93">
        <f>TRUNC(H319,2)</f>
        <v>880</v>
      </c>
      <c r="K12" s="93">
        <f>TRUNC(H317,2)</f>
        <v>440</v>
      </c>
      <c r="L12" s="93">
        <f>TRUNC(H324,2)</f>
        <v>1100</v>
      </c>
      <c r="M12" s="93">
        <f>TRUNC(H323,2)</f>
        <v>0</v>
      </c>
      <c r="N12" s="93">
        <f>TRUNC(H322,2)</f>
        <v>660</v>
      </c>
      <c r="O12" s="93">
        <f>TRUNC(H321,2)</f>
        <v>0</v>
      </c>
      <c r="P12" s="93">
        <f>TRUNC(H320,2)</f>
        <v>0</v>
      </c>
      <c r="Q12" s="93">
        <f>TRUNC(H325,2)</f>
        <v>880</v>
      </c>
      <c r="R12" s="93">
        <f>TRUNC(H326,2)</f>
        <v>880</v>
      </c>
      <c r="S12" s="93">
        <f>TRUNC(H329,2)</f>
        <v>1760</v>
      </c>
      <c r="T12" s="93">
        <f>TRUNC(H334,2)</f>
        <v>880</v>
      </c>
      <c r="U12" s="121"/>
      <c r="V12" s="159"/>
      <c r="W12" s="160"/>
    </row>
    <row r="13" spans="1:23" ht="20.25" customHeight="1" x14ac:dyDescent="0.3">
      <c r="A13" s="376" t="s">
        <v>36</v>
      </c>
      <c r="B13" s="398" t="s">
        <v>116</v>
      </c>
      <c r="C13" s="399">
        <v>0.25</v>
      </c>
      <c r="D13" s="164"/>
      <c r="E13" s="165"/>
      <c r="F13" s="266">
        <f>TRUNC(($C$13*F$12),2)</f>
        <v>220</v>
      </c>
      <c r="G13" s="266">
        <f>TRUNC(($C$13*G$12),2)</f>
        <v>220</v>
      </c>
      <c r="H13" s="266">
        <f t="shared" ref="H13:T13" si="0">TRUNC(($C$13*H$12),2)</f>
        <v>110</v>
      </c>
      <c r="I13" s="266">
        <f t="shared" si="0"/>
        <v>220</v>
      </c>
      <c r="J13" s="266">
        <f t="shared" si="0"/>
        <v>220</v>
      </c>
      <c r="K13" s="266">
        <f t="shared" si="0"/>
        <v>110</v>
      </c>
      <c r="L13" s="266">
        <f t="shared" si="0"/>
        <v>275</v>
      </c>
      <c r="M13" s="266">
        <f t="shared" si="0"/>
        <v>0</v>
      </c>
      <c r="N13" s="266">
        <f t="shared" si="0"/>
        <v>165</v>
      </c>
      <c r="O13" s="266">
        <f t="shared" si="0"/>
        <v>0</v>
      </c>
      <c r="P13" s="266">
        <f t="shared" si="0"/>
        <v>0</v>
      </c>
      <c r="Q13" s="266">
        <f t="shared" si="0"/>
        <v>220</v>
      </c>
      <c r="R13" s="266">
        <f t="shared" si="0"/>
        <v>220</v>
      </c>
      <c r="S13" s="266">
        <f t="shared" si="0"/>
        <v>440</v>
      </c>
      <c r="T13" s="266">
        <f t="shared" si="0"/>
        <v>220</v>
      </c>
      <c r="U13" s="121"/>
      <c r="V13" s="159"/>
      <c r="W13" s="160"/>
    </row>
    <row r="14" spans="1:23" ht="15.6" x14ac:dyDescent="0.3">
      <c r="A14" s="377"/>
      <c r="B14" s="249"/>
      <c r="C14" s="157"/>
      <c r="D14" s="258"/>
      <c r="E14" s="158"/>
      <c r="F14" s="270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179"/>
      <c r="T14" s="407"/>
    </row>
    <row r="15" spans="1:23" s="122" customFormat="1" ht="15.6" x14ac:dyDescent="0.3">
      <c r="A15" s="378" t="s">
        <v>37</v>
      </c>
      <c r="B15" s="248" t="s">
        <v>117</v>
      </c>
      <c r="C15" s="171"/>
      <c r="D15" s="155"/>
      <c r="E15" s="156"/>
      <c r="F15" s="405">
        <f t="shared" ref="F15:P15" si="1">TRUNC((0.45*F13),2)</f>
        <v>99</v>
      </c>
      <c r="G15" s="405">
        <f t="shared" si="1"/>
        <v>99</v>
      </c>
      <c r="H15" s="405">
        <f t="shared" si="1"/>
        <v>49.5</v>
      </c>
      <c r="I15" s="405">
        <f t="shared" si="1"/>
        <v>99</v>
      </c>
      <c r="J15" s="405">
        <f t="shared" si="1"/>
        <v>99</v>
      </c>
      <c r="K15" s="405">
        <f t="shared" si="1"/>
        <v>49.5</v>
      </c>
      <c r="L15" s="405">
        <f t="shared" si="1"/>
        <v>123.75</v>
      </c>
      <c r="M15" s="405">
        <f t="shared" si="1"/>
        <v>0</v>
      </c>
      <c r="N15" s="405">
        <f t="shared" si="1"/>
        <v>74.25</v>
      </c>
      <c r="O15" s="405">
        <f t="shared" si="1"/>
        <v>0</v>
      </c>
      <c r="P15" s="405">
        <f t="shared" si="1"/>
        <v>0</v>
      </c>
      <c r="Q15" s="405">
        <f t="shared" ref="Q15" si="2">TRUNC((0.45*Q13),2)</f>
        <v>99</v>
      </c>
      <c r="R15" s="405">
        <f t="shared" ref="R15:S15" si="3">TRUNC((0.45*R13),2)</f>
        <v>99</v>
      </c>
      <c r="S15" s="405">
        <f t="shared" si="3"/>
        <v>198</v>
      </c>
      <c r="T15" s="405">
        <f t="shared" ref="T15" si="4">TRUNC((0.45*T13),2)</f>
        <v>99</v>
      </c>
    </row>
    <row r="16" spans="1:23" ht="15.6" x14ac:dyDescent="0.3">
      <c r="A16" s="377" t="s">
        <v>118</v>
      </c>
      <c r="B16" s="482" t="s">
        <v>119</v>
      </c>
      <c r="C16" s="157"/>
      <c r="D16" s="397" t="s">
        <v>120</v>
      </c>
      <c r="E16" s="267"/>
      <c r="F16" s="403">
        <f>0.5*F15</f>
        <v>49.5</v>
      </c>
      <c r="G16" s="403">
        <f>0.5*G15</f>
        <v>49.5</v>
      </c>
      <c r="H16" s="403">
        <f>0.5*H15</f>
        <v>24.75</v>
      </c>
      <c r="I16" s="403">
        <f>0.1*I15</f>
        <v>9.9</v>
      </c>
      <c r="J16" s="403">
        <f>0.1*J15</f>
        <v>9.9</v>
      </c>
      <c r="K16" s="403">
        <f>0.1*K15</f>
        <v>4.95</v>
      </c>
      <c r="L16" s="403"/>
      <c r="M16" s="403"/>
      <c r="N16" s="403"/>
      <c r="O16" s="403"/>
      <c r="P16" s="403">
        <f>1*P15</f>
        <v>0</v>
      </c>
      <c r="Q16" s="403">
        <f>0.1*Q15</f>
        <v>9.9</v>
      </c>
      <c r="R16" s="403">
        <f>0.1*R15</f>
        <v>9.9</v>
      </c>
      <c r="S16" s="403">
        <f>0.1*S15</f>
        <v>19.8</v>
      </c>
      <c r="T16" s="403">
        <f>0.1*T15</f>
        <v>9.9</v>
      </c>
      <c r="U16" s="121"/>
      <c r="V16" s="120"/>
    </row>
    <row r="17" spans="1:24" ht="15.6" x14ac:dyDescent="0.3">
      <c r="A17" s="377" t="s">
        <v>121</v>
      </c>
      <c r="B17" s="482" t="s">
        <v>122</v>
      </c>
      <c r="C17" s="157"/>
      <c r="D17" s="397" t="s">
        <v>120</v>
      </c>
      <c r="E17" s="267"/>
      <c r="F17" s="403"/>
      <c r="G17" s="403"/>
      <c r="H17" s="403"/>
      <c r="I17" s="403"/>
      <c r="J17" s="403"/>
      <c r="K17" s="403"/>
      <c r="L17" s="403">
        <f>0.3*L15</f>
        <v>37.125</v>
      </c>
      <c r="M17" s="403">
        <f>0.3*M15</f>
        <v>0</v>
      </c>
      <c r="N17" s="403"/>
      <c r="O17" s="403"/>
      <c r="P17" s="403"/>
      <c r="Q17" s="403">
        <f>0.15*Q15</f>
        <v>14.85</v>
      </c>
      <c r="R17" s="403">
        <f>0.15*R15</f>
        <v>14.85</v>
      </c>
      <c r="S17" s="403">
        <f>0.15*S15</f>
        <v>29.7</v>
      </c>
      <c r="T17" s="403">
        <f>0.15*T15</f>
        <v>14.85</v>
      </c>
      <c r="U17" s="121"/>
      <c r="V17" s="120"/>
      <c r="W17" s="121"/>
    </row>
    <row r="18" spans="1:24" ht="15.6" x14ac:dyDescent="0.3">
      <c r="A18" s="377" t="s">
        <v>123</v>
      </c>
      <c r="B18" s="482" t="s">
        <v>124</v>
      </c>
      <c r="C18" s="157"/>
      <c r="D18" s="397" t="s">
        <v>120</v>
      </c>
      <c r="E18" s="267"/>
      <c r="F18" s="403"/>
      <c r="G18" s="403"/>
      <c r="H18" s="403"/>
      <c r="I18" s="403"/>
      <c r="J18" s="403"/>
      <c r="K18" s="403"/>
      <c r="L18" s="403">
        <f>0.3*L15</f>
        <v>37.125</v>
      </c>
      <c r="M18" s="403">
        <f>0.3*M15</f>
        <v>0</v>
      </c>
      <c r="N18" s="403"/>
      <c r="O18" s="403"/>
      <c r="P18" s="403"/>
      <c r="Q18" s="403">
        <f>0.15*Q15</f>
        <v>14.85</v>
      </c>
      <c r="R18" s="403">
        <f>0.15*R15</f>
        <v>14.85</v>
      </c>
      <c r="S18" s="403">
        <f>0.15*S15</f>
        <v>29.7</v>
      </c>
      <c r="T18" s="403">
        <f>0.15*T15</f>
        <v>14.85</v>
      </c>
      <c r="U18" s="121"/>
      <c r="V18" s="120"/>
      <c r="W18" s="121"/>
      <c r="X18" s="120"/>
    </row>
    <row r="19" spans="1:24" ht="15.6" x14ac:dyDescent="0.3">
      <c r="A19" s="377" t="s">
        <v>125</v>
      </c>
      <c r="B19" s="567" t="s">
        <v>480</v>
      </c>
      <c r="C19" s="157"/>
      <c r="D19" s="397" t="s">
        <v>120</v>
      </c>
      <c r="E19" s="267"/>
      <c r="F19" s="403"/>
      <c r="G19" s="403"/>
      <c r="H19" s="403"/>
      <c r="I19" s="403"/>
      <c r="J19" s="403"/>
      <c r="K19" s="403"/>
      <c r="L19" s="403">
        <f>0.05*L15</f>
        <v>6.1875</v>
      </c>
      <c r="M19" s="403">
        <f>0.05*M15</f>
        <v>0</v>
      </c>
      <c r="N19" s="403">
        <f>0.4*N15</f>
        <v>29.700000000000003</v>
      </c>
      <c r="O19" s="403">
        <f>0.4*O15</f>
        <v>0</v>
      </c>
      <c r="P19" s="403"/>
      <c r="Q19" s="403">
        <f>0.1*Q15</f>
        <v>9.9</v>
      </c>
      <c r="R19" s="403">
        <f>0.1*R15</f>
        <v>9.9</v>
      </c>
      <c r="S19" s="403">
        <f>0.1*S15</f>
        <v>19.8</v>
      </c>
      <c r="T19" s="403">
        <f>0.1*T15</f>
        <v>9.9</v>
      </c>
      <c r="U19" s="121"/>
      <c r="V19" s="120"/>
      <c r="W19" s="121"/>
      <c r="X19" s="120"/>
    </row>
    <row r="20" spans="1:24" ht="15.6" x14ac:dyDescent="0.3">
      <c r="A20" s="379" t="s">
        <v>127</v>
      </c>
      <c r="B20" s="482" t="s">
        <v>128</v>
      </c>
      <c r="C20" s="157"/>
      <c r="D20" s="397" t="s">
        <v>120</v>
      </c>
      <c r="E20" s="267"/>
      <c r="F20" s="403"/>
      <c r="G20" s="403"/>
      <c r="H20" s="403"/>
      <c r="I20" s="403"/>
      <c r="J20" s="403"/>
      <c r="K20" s="403"/>
      <c r="L20" s="403">
        <f>0.3*L15</f>
        <v>37.125</v>
      </c>
      <c r="M20" s="403">
        <f>0.3*M15</f>
        <v>0</v>
      </c>
      <c r="N20" s="403"/>
      <c r="O20" s="403"/>
      <c r="P20" s="403"/>
      <c r="Q20" s="403">
        <f>0.15*Q15</f>
        <v>14.85</v>
      </c>
      <c r="R20" s="403">
        <f>0.15*R15</f>
        <v>14.85</v>
      </c>
      <c r="S20" s="403">
        <f>0.15*S15</f>
        <v>29.7</v>
      </c>
      <c r="T20" s="403">
        <f>0.15*T15</f>
        <v>14.85</v>
      </c>
      <c r="U20" s="121"/>
      <c r="V20" s="120"/>
      <c r="W20" s="121"/>
    </row>
    <row r="21" spans="1:24" ht="15.6" x14ac:dyDescent="0.3">
      <c r="A21" s="377" t="s">
        <v>129</v>
      </c>
      <c r="B21" s="482" t="s">
        <v>130</v>
      </c>
      <c r="C21" s="173"/>
      <c r="D21" s="454" t="s">
        <v>120</v>
      </c>
      <c r="E21" s="151"/>
      <c r="F21" s="403"/>
      <c r="G21" s="403"/>
      <c r="H21" s="403"/>
      <c r="I21" s="403"/>
      <c r="J21" s="403"/>
      <c r="K21" s="403"/>
      <c r="L21" s="403">
        <f>0.05*L15</f>
        <v>6.1875</v>
      </c>
      <c r="M21" s="403">
        <f>0.05*M15</f>
        <v>0</v>
      </c>
      <c r="N21" s="403">
        <f>0.6*N15</f>
        <v>44.55</v>
      </c>
      <c r="O21" s="403">
        <f>0.6*O15</f>
        <v>0</v>
      </c>
      <c r="P21" s="403"/>
      <c r="Q21" s="403">
        <f>0.15*Q15</f>
        <v>14.85</v>
      </c>
      <c r="R21" s="403">
        <f>0.15*R15</f>
        <v>14.85</v>
      </c>
      <c r="S21" s="403">
        <f>0.15*S15</f>
        <v>29.7</v>
      </c>
      <c r="T21" s="403">
        <f>0.15*T15</f>
        <v>14.85</v>
      </c>
      <c r="U21" s="121"/>
      <c r="V21" s="120"/>
    </row>
    <row r="22" spans="1:24" ht="15.6" x14ac:dyDescent="0.3">
      <c r="A22" s="377" t="s">
        <v>131</v>
      </c>
      <c r="B22" s="482" t="s">
        <v>132</v>
      </c>
      <c r="C22" s="157"/>
      <c r="D22" s="397" t="s">
        <v>120</v>
      </c>
      <c r="E22" s="267"/>
      <c r="F22" s="403">
        <f>0.5*F15</f>
        <v>49.5</v>
      </c>
      <c r="G22" s="403">
        <f>0.5*G15</f>
        <v>49.5</v>
      </c>
      <c r="H22" s="403">
        <f>0.5*H15</f>
        <v>24.75</v>
      </c>
      <c r="I22" s="403">
        <f>0.9*I15</f>
        <v>89.100000000000009</v>
      </c>
      <c r="J22" s="403">
        <f>0.9*J15</f>
        <v>89.100000000000009</v>
      </c>
      <c r="K22" s="403">
        <f>0.9*K15</f>
        <v>44.550000000000004</v>
      </c>
      <c r="L22" s="403"/>
      <c r="M22" s="403"/>
      <c r="N22" s="403"/>
      <c r="O22" s="403"/>
      <c r="P22" s="403"/>
      <c r="Q22" s="403">
        <f>0.2*Q15</f>
        <v>19.8</v>
      </c>
      <c r="R22" s="403">
        <f>0.2*R15</f>
        <v>19.8</v>
      </c>
      <c r="S22" s="403">
        <f>0.2*S15</f>
        <v>39.6</v>
      </c>
      <c r="T22" s="403">
        <f>0.2*T15</f>
        <v>19.8</v>
      </c>
      <c r="U22" s="121"/>
      <c r="V22" s="120"/>
    </row>
    <row r="23" spans="1:24" ht="16.5" hidden="1" customHeight="1" x14ac:dyDescent="0.3">
      <c r="A23" s="377"/>
      <c r="B23" s="263"/>
      <c r="C23" s="157"/>
      <c r="D23" s="258"/>
      <c r="E23" s="158"/>
      <c r="F23" s="404">
        <f t="shared" ref="F23:K23" si="5">F15-SUM(F16:F22)</f>
        <v>0</v>
      </c>
      <c r="G23" s="404">
        <f t="shared" si="5"/>
        <v>0</v>
      </c>
      <c r="H23" s="404">
        <f t="shared" si="5"/>
        <v>0</v>
      </c>
      <c r="I23" s="404">
        <f t="shared" si="5"/>
        <v>0</v>
      </c>
      <c r="J23" s="404">
        <f t="shared" si="5"/>
        <v>0</v>
      </c>
      <c r="K23" s="404">
        <f t="shared" si="5"/>
        <v>0</v>
      </c>
      <c r="L23" s="404">
        <f t="shared" ref="L23" si="6">L15-SUM(L16:L22)</f>
        <v>0</v>
      </c>
      <c r="M23" s="404">
        <f t="shared" ref="M23:N23" si="7">M15-SUM(M16:M22)</f>
        <v>0</v>
      </c>
      <c r="N23" s="404">
        <f t="shared" si="7"/>
        <v>0</v>
      </c>
      <c r="O23" s="404">
        <f t="shared" ref="O23:P23" si="8">O15-SUM(O16:O22)</f>
        <v>0</v>
      </c>
      <c r="P23" s="404">
        <f t="shared" si="8"/>
        <v>0</v>
      </c>
      <c r="Q23" s="404">
        <f>Q15-SUM(Q16:Q22)</f>
        <v>0</v>
      </c>
      <c r="R23" s="404">
        <f>R15-SUM(R16:R22)</f>
        <v>0</v>
      </c>
      <c r="S23" s="404">
        <f>S15-SUM(S16:S22)</f>
        <v>0</v>
      </c>
      <c r="T23" s="404">
        <f>T15-SUM(T16:T22)</f>
        <v>0</v>
      </c>
      <c r="V23" s="121"/>
      <c r="W23" s="121"/>
    </row>
    <row r="24" spans="1:24" ht="15.6" x14ac:dyDescent="0.3">
      <c r="A24" s="377"/>
      <c r="B24" s="263"/>
      <c r="C24" s="157"/>
      <c r="D24" s="308"/>
      <c r="E24" s="158"/>
      <c r="F24" s="270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407"/>
    </row>
    <row r="25" spans="1:24" s="96" customFormat="1" ht="15.6" x14ac:dyDescent="0.3">
      <c r="A25" s="381" t="s">
        <v>38</v>
      </c>
      <c r="B25" s="245" t="s">
        <v>487</v>
      </c>
      <c r="C25" s="149"/>
      <c r="D25" s="94"/>
      <c r="E25" s="95"/>
      <c r="F25" s="402">
        <f t="shared" ref="F25:T25" si="9">TRUNC((0.15*F13),2)</f>
        <v>33</v>
      </c>
      <c r="G25" s="402">
        <f t="shared" si="9"/>
        <v>33</v>
      </c>
      <c r="H25" s="402">
        <f t="shared" si="9"/>
        <v>16.5</v>
      </c>
      <c r="I25" s="402">
        <f t="shared" si="9"/>
        <v>33</v>
      </c>
      <c r="J25" s="402">
        <f t="shared" si="9"/>
        <v>33</v>
      </c>
      <c r="K25" s="402">
        <f t="shared" si="9"/>
        <v>16.5</v>
      </c>
      <c r="L25" s="402">
        <f t="shared" si="9"/>
        <v>41.25</v>
      </c>
      <c r="M25" s="402">
        <f t="shared" si="9"/>
        <v>0</v>
      </c>
      <c r="N25" s="402">
        <f t="shared" si="9"/>
        <v>24.75</v>
      </c>
      <c r="O25" s="402">
        <f t="shared" si="9"/>
        <v>0</v>
      </c>
      <c r="P25" s="402">
        <f t="shared" si="9"/>
        <v>0</v>
      </c>
      <c r="Q25" s="402">
        <f t="shared" si="9"/>
        <v>33</v>
      </c>
      <c r="R25" s="402">
        <f t="shared" si="9"/>
        <v>33</v>
      </c>
      <c r="S25" s="402">
        <f t="shared" si="9"/>
        <v>66</v>
      </c>
      <c r="T25" s="402">
        <f t="shared" si="9"/>
        <v>33</v>
      </c>
    </row>
    <row r="26" spans="1:24" ht="15.6" x14ac:dyDescent="0.3">
      <c r="A26" s="377" t="s">
        <v>133</v>
      </c>
      <c r="B26" s="263" t="s">
        <v>134</v>
      </c>
      <c r="C26" s="109"/>
      <c r="D26" s="258" t="s">
        <v>120</v>
      </c>
      <c r="E26" s="158"/>
      <c r="F26" s="403">
        <f>0.1*F25</f>
        <v>3.3000000000000003</v>
      </c>
      <c r="G26" s="403">
        <f>0.1*G25</f>
        <v>3.3000000000000003</v>
      </c>
      <c r="H26" s="403">
        <f>0.1*H25</f>
        <v>1.6500000000000001</v>
      </c>
      <c r="I26" s="403">
        <f>0.6*I25</f>
        <v>19.8</v>
      </c>
      <c r="J26" s="403">
        <f>0.6*J25</f>
        <v>19.8</v>
      </c>
      <c r="K26" s="403">
        <f>0.6*K25</f>
        <v>9.9</v>
      </c>
      <c r="L26" s="403"/>
      <c r="M26" s="403"/>
      <c r="N26" s="403"/>
      <c r="O26" s="403"/>
      <c r="P26" s="403"/>
      <c r="Q26" s="403">
        <f>0.1*Q25</f>
        <v>3.3000000000000003</v>
      </c>
      <c r="R26" s="403">
        <f>0.1*R25</f>
        <v>3.3000000000000003</v>
      </c>
      <c r="S26" s="403">
        <f>0.1*S25</f>
        <v>6.6000000000000005</v>
      </c>
      <c r="T26" s="403">
        <f>0.1*T25</f>
        <v>3.3000000000000003</v>
      </c>
    </row>
    <row r="27" spans="1:24" ht="15.6" x14ac:dyDescent="0.3">
      <c r="A27" s="377" t="s">
        <v>135</v>
      </c>
      <c r="B27" s="264" t="s">
        <v>136</v>
      </c>
      <c r="C27" s="167"/>
      <c r="D27" s="174" t="s">
        <v>120</v>
      </c>
      <c r="E27" s="175"/>
      <c r="F27" s="403">
        <f>0.3*F25</f>
        <v>9.9</v>
      </c>
      <c r="G27" s="403">
        <f>0.3*G25</f>
        <v>9.9</v>
      </c>
      <c r="H27" s="403">
        <f>0.3*H25</f>
        <v>4.95</v>
      </c>
      <c r="I27" s="403">
        <f>0.1*I25</f>
        <v>3.3000000000000003</v>
      </c>
      <c r="J27" s="403">
        <f>0.1*J25</f>
        <v>3.3000000000000003</v>
      </c>
      <c r="K27" s="403">
        <f>0.1*K25</f>
        <v>1.6500000000000001</v>
      </c>
      <c r="L27" s="403"/>
      <c r="M27" s="403"/>
      <c r="N27" s="403"/>
      <c r="O27" s="403"/>
      <c r="P27" s="403"/>
      <c r="Q27" s="403">
        <f>0.1*Q25</f>
        <v>3.3000000000000003</v>
      </c>
      <c r="R27" s="403">
        <f>0.1*R25</f>
        <v>3.3000000000000003</v>
      </c>
      <c r="S27" s="403">
        <f>0.1*S25</f>
        <v>6.6000000000000005</v>
      </c>
      <c r="T27" s="403">
        <f>0.1*T25</f>
        <v>3.3000000000000003</v>
      </c>
    </row>
    <row r="28" spans="1:24" ht="15.6" x14ac:dyDescent="0.3">
      <c r="A28" s="377" t="s">
        <v>137</v>
      </c>
      <c r="B28" s="263" t="s">
        <v>138</v>
      </c>
      <c r="C28" s="167"/>
      <c r="D28" s="258" t="s">
        <v>120</v>
      </c>
      <c r="E28" s="175"/>
      <c r="F28" s="403"/>
      <c r="G28" s="403"/>
      <c r="H28" s="403"/>
      <c r="I28" s="403"/>
      <c r="J28" s="403"/>
      <c r="K28" s="403"/>
      <c r="L28" s="403">
        <f>0.2*L25</f>
        <v>8.25</v>
      </c>
      <c r="M28" s="403">
        <f>0.2*M25</f>
        <v>0</v>
      </c>
      <c r="N28" s="403"/>
      <c r="O28" s="403"/>
      <c r="P28" s="403"/>
      <c r="Q28" s="403">
        <f>0.1*Q25</f>
        <v>3.3000000000000003</v>
      </c>
      <c r="R28" s="403">
        <f>0.1*R25</f>
        <v>3.3000000000000003</v>
      </c>
      <c r="S28" s="403">
        <f>0.1*S25</f>
        <v>6.6000000000000005</v>
      </c>
      <c r="T28" s="403">
        <f>0.1*T25</f>
        <v>3.3000000000000003</v>
      </c>
    </row>
    <row r="29" spans="1:24" ht="15.6" x14ac:dyDescent="0.3">
      <c r="A29" s="377" t="s">
        <v>139</v>
      </c>
      <c r="B29" s="264" t="s">
        <v>140</v>
      </c>
      <c r="C29" s="109"/>
      <c r="D29" s="174" t="s">
        <v>120</v>
      </c>
      <c r="E29" s="158"/>
      <c r="F29" s="403"/>
      <c r="G29" s="403"/>
      <c r="H29" s="403"/>
      <c r="I29" s="403"/>
      <c r="J29" s="403"/>
      <c r="K29" s="403"/>
      <c r="L29" s="403">
        <f>0.2*L25</f>
        <v>8.25</v>
      </c>
      <c r="M29" s="403">
        <f>0.2*M25</f>
        <v>0</v>
      </c>
      <c r="N29" s="403"/>
      <c r="O29" s="403"/>
      <c r="P29" s="403"/>
      <c r="Q29" s="403">
        <f>0.1*Q25</f>
        <v>3.3000000000000003</v>
      </c>
      <c r="R29" s="403">
        <f>0.1*R25</f>
        <v>3.3000000000000003</v>
      </c>
      <c r="S29" s="403">
        <f>0.1*S25</f>
        <v>6.6000000000000005</v>
      </c>
      <c r="T29" s="403">
        <f>0.1*T25</f>
        <v>3.3000000000000003</v>
      </c>
    </row>
    <row r="30" spans="1:24" ht="15.6" x14ac:dyDescent="0.3">
      <c r="A30" s="377" t="s">
        <v>141</v>
      </c>
      <c r="B30" s="263" t="s">
        <v>142</v>
      </c>
      <c r="C30" s="109"/>
      <c r="D30" s="258" t="s">
        <v>120</v>
      </c>
      <c r="E30" s="158"/>
      <c r="F30" s="403"/>
      <c r="G30" s="403"/>
      <c r="H30" s="403"/>
      <c r="I30" s="403"/>
      <c r="J30" s="403"/>
      <c r="K30" s="403"/>
      <c r="L30" s="403">
        <f>0.15*L25</f>
        <v>6.1875</v>
      </c>
      <c r="M30" s="403">
        <f>0.15*M25</f>
        <v>0</v>
      </c>
      <c r="N30" s="403"/>
      <c r="O30" s="403"/>
      <c r="P30" s="403"/>
      <c r="Q30" s="403">
        <f>0.05*Q25</f>
        <v>1.6500000000000001</v>
      </c>
      <c r="R30" s="403">
        <f>0.05*R25</f>
        <v>1.6500000000000001</v>
      </c>
      <c r="S30" s="403">
        <f>0.05*S25</f>
        <v>3.3000000000000003</v>
      </c>
      <c r="T30" s="403">
        <f>0.05*T25</f>
        <v>1.6500000000000001</v>
      </c>
    </row>
    <row r="31" spans="1:24" ht="15.6" x14ac:dyDescent="0.3">
      <c r="A31" s="377" t="s">
        <v>143</v>
      </c>
      <c r="B31" s="263" t="s">
        <v>144</v>
      </c>
      <c r="C31" s="109"/>
      <c r="D31" s="174" t="s">
        <v>120</v>
      </c>
      <c r="E31" s="158"/>
      <c r="F31" s="403"/>
      <c r="G31" s="403"/>
      <c r="H31" s="403"/>
      <c r="I31" s="403"/>
      <c r="J31" s="403"/>
      <c r="K31" s="403"/>
      <c r="L31" s="403">
        <f>0.15*L25</f>
        <v>6.1875</v>
      </c>
      <c r="M31" s="403">
        <f>0.15*M25</f>
        <v>0</v>
      </c>
      <c r="N31" s="403"/>
      <c r="O31" s="403"/>
      <c r="P31" s="403"/>
      <c r="Q31" s="403">
        <f>0.05*Q25</f>
        <v>1.6500000000000001</v>
      </c>
      <c r="R31" s="403">
        <f>0.05*R25</f>
        <v>1.6500000000000001</v>
      </c>
      <c r="S31" s="403">
        <f>0.05*S25</f>
        <v>3.3000000000000003</v>
      </c>
      <c r="T31" s="403">
        <f>0.05*T25</f>
        <v>1.6500000000000001</v>
      </c>
    </row>
    <row r="32" spans="1:24" ht="15.6" x14ac:dyDescent="0.3">
      <c r="A32" s="377" t="s">
        <v>145</v>
      </c>
      <c r="B32" s="263" t="s">
        <v>146</v>
      </c>
      <c r="C32" s="109"/>
      <c r="D32" s="258" t="s">
        <v>120</v>
      </c>
      <c r="E32" s="158"/>
      <c r="F32" s="403">
        <f>0.15*F25</f>
        <v>4.95</v>
      </c>
      <c r="G32" s="403">
        <f>0.15*G25</f>
        <v>4.95</v>
      </c>
      <c r="H32" s="403">
        <f>0.15*H25</f>
        <v>2.4750000000000001</v>
      </c>
      <c r="I32" s="403">
        <f>0.1*I25</f>
        <v>3.3000000000000003</v>
      </c>
      <c r="J32" s="403">
        <f>0.1*J25</f>
        <v>3.3000000000000003</v>
      </c>
      <c r="K32" s="403">
        <f>0.1*K25</f>
        <v>1.6500000000000001</v>
      </c>
      <c r="L32" s="403">
        <f>0.15*L25</f>
        <v>6.1875</v>
      </c>
      <c r="M32" s="403">
        <f>0.15*M25</f>
        <v>0</v>
      </c>
      <c r="N32" s="403"/>
      <c r="O32" s="403"/>
      <c r="P32" s="403"/>
      <c r="Q32" s="403">
        <f>0.1*Q25</f>
        <v>3.3000000000000003</v>
      </c>
      <c r="R32" s="403">
        <f>0.1*R25</f>
        <v>3.3000000000000003</v>
      </c>
      <c r="S32" s="403">
        <f>0.1*S25</f>
        <v>6.6000000000000005</v>
      </c>
      <c r="T32" s="403">
        <f>0.1*T25</f>
        <v>3.3000000000000003</v>
      </c>
    </row>
    <row r="33" spans="1:20" ht="15.6" x14ac:dyDescent="0.3">
      <c r="A33" s="377" t="s">
        <v>147</v>
      </c>
      <c r="B33" s="263" t="s">
        <v>148</v>
      </c>
      <c r="C33" s="109"/>
      <c r="D33" s="174" t="s">
        <v>120</v>
      </c>
      <c r="E33" s="158"/>
      <c r="F33" s="403"/>
      <c r="G33" s="403"/>
      <c r="H33" s="403"/>
      <c r="I33" s="403"/>
      <c r="J33" s="403"/>
      <c r="K33" s="403"/>
      <c r="L33" s="403">
        <f>0.15*L25</f>
        <v>6.1875</v>
      </c>
      <c r="M33" s="403">
        <f>0.15*M25</f>
        <v>0</v>
      </c>
      <c r="N33" s="403">
        <f>0.6*N25</f>
        <v>14.85</v>
      </c>
      <c r="O33" s="403">
        <f>0.6*O25</f>
        <v>0</v>
      </c>
      <c r="P33" s="403"/>
      <c r="Q33" s="403">
        <f>0.1*Q25</f>
        <v>3.3000000000000003</v>
      </c>
      <c r="R33" s="403">
        <f>0.1*R25</f>
        <v>3.3000000000000003</v>
      </c>
      <c r="S33" s="403">
        <f>0.1*S25</f>
        <v>6.6000000000000005</v>
      </c>
      <c r="T33" s="403">
        <f>0.1*T25</f>
        <v>3.3000000000000003</v>
      </c>
    </row>
    <row r="34" spans="1:20" ht="15.6" x14ac:dyDescent="0.3">
      <c r="A34" s="377" t="s">
        <v>149</v>
      </c>
      <c r="B34" s="233" t="s">
        <v>150</v>
      </c>
      <c r="C34" s="109"/>
      <c r="D34" s="258" t="s">
        <v>120</v>
      </c>
      <c r="E34" s="158"/>
      <c r="F34" s="403"/>
      <c r="G34" s="403"/>
      <c r="H34" s="403"/>
      <c r="I34" s="403"/>
      <c r="J34" s="403"/>
      <c r="K34" s="403"/>
      <c r="L34" s="403"/>
      <c r="M34" s="403"/>
      <c r="N34" s="403">
        <f>0.4*N25</f>
        <v>9.9</v>
      </c>
      <c r="O34" s="403">
        <f>0.4*O25</f>
        <v>0</v>
      </c>
      <c r="P34" s="403"/>
      <c r="Q34" s="403">
        <f>0.1*Q25</f>
        <v>3.3000000000000003</v>
      </c>
      <c r="R34" s="403">
        <f>0.1*R25</f>
        <v>3.3000000000000003</v>
      </c>
      <c r="S34" s="403">
        <f>0.1*S25</f>
        <v>6.6000000000000005</v>
      </c>
      <c r="T34" s="403">
        <f>0.1*T25</f>
        <v>3.3000000000000003</v>
      </c>
    </row>
    <row r="35" spans="1:20" ht="15.6" x14ac:dyDescent="0.3">
      <c r="A35" s="377" t="s">
        <v>151</v>
      </c>
      <c r="B35" s="263" t="s">
        <v>152</v>
      </c>
      <c r="C35" s="109"/>
      <c r="D35" s="174" t="s">
        <v>120</v>
      </c>
      <c r="E35" s="158"/>
      <c r="F35" s="403">
        <f>0.3*F25</f>
        <v>9.9</v>
      </c>
      <c r="G35" s="403">
        <f>0.3*G25</f>
        <v>9.9</v>
      </c>
      <c r="H35" s="403">
        <f>0.3*H25</f>
        <v>4.95</v>
      </c>
      <c r="I35" s="403">
        <f>0.1*I25</f>
        <v>3.3000000000000003</v>
      </c>
      <c r="J35" s="403">
        <f>0.1*J25</f>
        <v>3.3000000000000003</v>
      </c>
      <c r="K35" s="403">
        <f>0.1*K25</f>
        <v>1.6500000000000001</v>
      </c>
      <c r="L35" s="403"/>
      <c r="M35" s="403"/>
      <c r="N35" s="403"/>
      <c r="O35" s="403"/>
      <c r="P35" s="403">
        <f>0.4*P25</f>
        <v>0</v>
      </c>
      <c r="Q35" s="403">
        <f>0.1*Q25</f>
        <v>3.3000000000000003</v>
      </c>
      <c r="R35" s="403">
        <f>0.1*R25</f>
        <v>3.3000000000000003</v>
      </c>
      <c r="S35" s="403">
        <f>0.1*S25</f>
        <v>6.6000000000000005</v>
      </c>
      <c r="T35" s="403">
        <f>0.1*T25</f>
        <v>3.3000000000000003</v>
      </c>
    </row>
    <row r="36" spans="1:20" ht="15.6" x14ac:dyDescent="0.3">
      <c r="A36" s="377" t="s">
        <v>153</v>
      </c>
      <c r="B36" s="263" t="s">
        <v>154</v>
      </c>
      <c r="C36" s="109"/>
      <c r="D36" s="258" t="s">
        <v>120</v>
      </c>
      <c r="E36" s="158"/>
      <c r="F36" s="403">
        <f>0.15*F25</f>
        <v>4.95</v>
      </c>
      <c r="G36" s="403">
        <f>0.15*G25</f>
        <v>4.95</v>
      </c>
      <c r="H36" s="403">
        <f>0.15*H25</f>
        <v>2.4750000000000001</v>
      </c>
      <c r="I36" s="403">
        <f>0.1*I25</f>
        <v>3.3000000000000003</v>
      </c>
      <c r="J36" s="403">
        <f>0.1*J25</f>
        <v>3.3000000000000003</v>
      </c>
      <c r="K36" s="403">
        <f>0.1*K25</f>
        <v>1.6500000000000001</v>
      </c>
      <c r="L36" s="403"/>
      <c r="M36" s="403"/>
      <c r="N36" s="403"/>
      <c r="O36" s="403"/>
      <c r="P36" s="403"/>
      <c r="Q36" s="403">
        <f>0.1*Q25</f>
        <v>3.3000000000000003</v>
      </c>
      <c r="R36" s="403">
        <f>0.1*R25</f>
        <v>3.3000000000000003</v>
      </c>
      <c r="S36" s="403">
        <f>0.1*S25</f>
        <v>6.6000000000000005</v>
      </c>
      <c r="T36" s="403">
        <f>0.1*T25</f>
        <v>3.3000000000000003</v>
      </c>
    </row>
    <row r="37" spans="1:20" s="99" customFormat="1" ht="15.6" hidden="1" x14ac:dyDescent="0.3">
      <c r="A37" s="380"/>
      <c r="B37" s="247"/>
      <c r="C37" s="109"/>
      <c r="D37" s="97"/>
      <c r="E37" s="98"/>
      <c r="F37" s="404">
        <f t="shared" ref="F37:P37" si="10">F25-SUM(F26:F36)</f>
        <v>0</v>
      </c>
      <c r="G37" s="404">
        <f t="shared" si="10"/>
        <v>0</v>
      </c>
      <c r="H37" s="404">
        <f t="shared" si="10"/>
        <v>0</v>
      </c>
      <c r="I37" s="404">
        <f t="shared" si="10"/>
        <v>0</v>
      </c>
      <c r="J37" s="404">
        <f t="shared" si="10"/>
        <v>0</v>
      </c>
      <c r="K37" s="404">
        <f t="shared" si="10"/>
        <v>0</v>
      </c>
      <c r="L37" s="404">
        <f t="shared" si="10"/>
        <v>0</v>
      </c>
      <c r="M37" s="404">
        <f t="shared" si="10"/>
        <v>0</v>
      </c>
      <c r="N37" s="404">
        <f t="shared" si="10"/>
        <v>0</v>
      </c>
      <c r="O37" s="404">
        <f t="shared" si="10"/>
        <v>0</v>
      </c>
      <c r="P37" s="404">
        <f t="shared" si="10"/>
        <v>0</v>
      </c>
      <c r="Q37" s="404">
        <f t="shared" ref="Q37" si="11">Q25-SUM(Q26:Q36)</f>
        <v>0</v>
      </c>
      <c r="R37" s="404">
        <f t="shared" ref="R37:S37" si="12">R25-SUM(R26:R36)</f>
        <v>0</v>
      </c>
      <c r="S37" s="404">
        <f t="shared" si="12"/>
        <v>0</v>
      </c>
      <c r="T37" s="404">
        <f t="shared" ref="T37" si="13">T25-SUM(T26:T36)</f>
        <v>0</v>
      </c>
    </row>
    <row r="38" spans="1:20" ht="15.6" x14ac:dyDescent="0.3">
      <c r="A38" s="377"/>
      <c r="B38" s="263"/>
      <c r="C38" s="157"/>
      <c r="D38" s="258"/>
      <c r="E38" s="158"/>
      <c r="F38" s="270"/>
      <c r="G38" s="270"/>
      <c r="H38" s="270"/>
      <c r="I38" s="270"/>
      <c r="J38" s="270"/>
      <c r="K38" s="270"/>
      <c r="L38" s="268"/>
      <c r="M38" s="268"/>
      <c r="N38" s="268"/>
      <c r="O38" s="268"/>
      <c r="P38" s="268"/>
      <c r="Q38" s="268"/>
      <c r="R38" s="268"/>
      <c r="S38" s="268"/>
      <c r="T38" s="407"/>
    </row>
    <row r="39" spans="1:20" s="96" customFormat="1" ht="15.6" x14ac:dyDescent="0.3">
      <c r="A39" s="572" t="s">
        <v>39</v>
      </c>
      <c r="B39" s="245" t="s">
        <v>481</v>
      </c>
      <c r="C39" s="149"/>
      <c r="D39" s="94"/>
      <c r="E39" s="95"/>
      <c r="F39" s="402">
        <f t="shared" ref="F39:L39" si="14">TRUNC((0.05*F13),2)</f>
        <v>11</v>
      </c>
      <c r="G39" s="402">
        <f t="shared" si="14"/>
        <v>11</v>
      </c>
      <c r="H39" s="402">
        <f t="shared" si="14"/>
        <v>5.5</v>
      </c>
      <c r="I39" s="402">
        <f t="shared" si="14"/>
        <v>11</v>
      </c>
      <c r="J39" s="402">
        <f t="shared" si="14"/>
        <v>11</v>
      </c>
      <c r="K39" s="402">
        <f t="shared" si="14"/>
        <v>5.5</v>
      </c>
      <c r="L39" s="402">
        <f t="shared" si="14"/>
        <v>13.75</v>
      </c>
      <c r="M39" s="402">
        <f t="shared" ref="M39:P39" si="15">TRUNC((0.1*M13),2)</f>
        <v>0</v>
      </c>
      <c r="N39" s="402">
        <f>TRUNC((0.05*N13),2)</f>
        <v>8.25</v>
      </c>
      <c r="O39" s="402">
        <f t="shared" si="15"/>
        <v>0</v>
      </c>
      <c r="P39" s="402">
        <f t="shared" si="15"/>
        <v>0</v>
      </c>
      <c r="Q39" s="402">
        <f>TRUNC((0.05*Q13),2)</f>
        <v>11</v>
      </c>
      <c r="R39" s="402">
        <f>TRUNC((0.05*R13),2)</f>
        <v>11</v>
      </c>
      <c r="S39" s="402">
        <f>TRUNC((0.05*S13),2)</f>
        <v>22</v>
      </c>
      <c r="T39" s="402">
        <f>TRUNC((0.05*T13),2)</f>
        <v>11</v>
      </c>
    </row>
    <row r="40" spans="1:20" ht="15.6" x14ac:dyDescent="0.3">
      <c r="A40" s="573" t="s">
        <v>155</v>
      </c>
      <c r="B40" s="264" t="s">
        <v>159</v>
      </c>
      <c r="C40" s="173"/>
      <c r="D40" s="174" t="s">
        <v>120</v>
      </c>
      <c r="E40" s="175"/>
      <c r="F40" s="403">
        <f t="shared" ref="F40:T40" si="16">1*F39</f>
        <v>11</v>
      </c>
      <c r="G40" s="403">
        <f t="shared" si="16"/>
        <v>11</v>
      </c>
      <c r="H40" s="403">
        <f t="shared" si="16"/>
        <v>5.5</v>
      </c>
      <c r="I40" s="403">
        <f t="shared" si="16"/>
        <v>11</v>
      </c>
      <c r="J40" s="403">
        <f t="shared" si="16"/>
        <v>11</v>
      </c>
      <c r="K40" s="403">
        <f t="shared" si="16"/>
        <v>5.5</v>
      </c>
      <c r="L40" s="403">
        <f t="shared" si="16"/>
        <v>13.75</v>
      </c>
      <c r="M40" s="403">
        <f t="shared" si="16"/>
        <v>0</v>
      </c>
      <c r="N40" s="403">
        <f t="shared" si="16"/>
        <v>8.25</v>
      </c>
      <c r="O40" s="403">
        <f t="shared" si="16"/>
        <v>0</v>
      </c>
      <c r="P40" s="403">
        <f t="shared" si="16"/>
        <v>0</v>
      </c>
      <c r="Q40" s="403">
        <f t="shared" si="16"/>
        <v>11</v>
      </c>
      <c r="R40" s="403">
        <f t="shared" si="16"/>
        <v>11</v>
      </c>
      <c r="S40" s="403">
        <f t="shared" si="16"/>
        <v>22</v>
      </c>
      <c r="T40" s="403">
        <f t="shared" si="16"/>
        <v>11</v>
      </c>
    </row>
    <row r="41" spans="1:20" s="99" customFormat="1" ht="15.6" hidden="1" x14ac:dyDescent="0.3">
      <c r="A41" s="382"/>
      <c r="B41" s="246"/>
      <c r="C41" s="168"/>
      <c r="D41" s="169"/>
      <c r="E41" s="144"/>
      <c r="F41" s="404">
        <f t="shared" ref="F41:T41" si="17">F39-SUM(F40:F40)</f>
        <v>0</v>
      </c>
      <c r="G41" s="404">
        <f t="shared" si="17"/>
        <v>0</v>
      </c>
      <c r="H41" s="404">
        <f t="shared" si="17"/>
        <v>0</v>
      </c>
      <c r="I41" s="404">
        <f t="shared" si="17"/>
        <v>0</v>
      </c>
      <c r="J41" s="404">
        <f t="shared" si="17"/>
        <v>0</v>
      </c>
      <c r="K41" s="404">
        <f t="shared" si="17"/>
        <v>0</v>
      </c>
      <c r="L41" s="404">
        <f t="shared" si="17"/>
        <v>0</v>
      </c>
      <c r="M41" s="404">
        <f t="shared" si="17"/>
        <v>0</v>
      </c>
      <c r="N41" s="404">
        <f t="shared" si="17"/>
        <v>0</v>
      </c>
      <c r="O41" s="404">
        <f t="shared" si="17"/>
        <v>0</v>
      </c>
      <c r="P41" s="404">
        <f t="shared" si="17"/>
        <v>0</v>
      </c>
      <c r="Q41" s="404">
        <f t="shared" si="17"/>
        <v>0</v>
      </c>
      <c r="R41" s="404">
        <f t="shared" si="17"/>
        <v>0</v>
      </c>
      <c r="S41" s="404">
        <f t="shared" si="17"/>
        <v>0</v>
      </c>
      <c r="T41" s="404">
        <f t="shared" si="17"/>
        <v>0</v>
      </c>
    </row>
    <row r="42" spans="1:20" ht="15.6" x14ac:dyDescent="0.3">
      <c r="A42" s="380"/>
      <c r="B42" s="247"/>
      <c r="C42" s="157"/>
      <c r="D42" s="258"/>
      <c r="E42" s="158"/>
      <c r="F42" s="270"/>
      <c r="G42" s="270"/>
      <c r="H42" s="270"/>
      <c r="I42" s="270"/>
      <c r="J42" s="270"/>
      <c r="K42" s="270"/>
      <c r="L42" s="269"/>
      <c r="M42" s="269"/>
      <c r="N42" s="269"/>
      <c r="O42" s="269"/>
      <c r="P42" s="269"/>
      <c r="Q42" s="269"/>
      <c r="R42" s="269"/>
      <c r="S42" s="269"/>
      <c r="T42" s="407"/>
    </row>
    <row r="43" spans="1:20" s="96" customFormat="1" ht="15.6" x14ac:dyDescent="0.3">
      <c r="A43" s="572" t="s">
        <v>40</v>
      </c>
      <c r="B43" s="245" t="s">
        <v>482</v>
      </c>
      <c r="C43" s="149"/>
      <c r="D43" s="94"/>
      <c r="E43" s="95"/>
      <c r="F43" s="402">
        <f t="shared" ref="F43:T43" si="18">TRUNC((0.1*F13),2)</f>
        <v>22</v>
      </c>
      <c r="G43" s="402">
        <f t="shared" si="18"/>
        <v>22</v>
      </c>
      <c r="H43" s="402">
        <f t="shared" si="18"/>
        <v>11</v>
      </c>
      <c r="I43" s="402">
        <f t="shared" si="18"/>
        <v>22</v>
      </c>
      <c r="J43" s="402">
        <f t="shared" si="18"/>
        <v>22</v>
      </c>
      <c r="K43" s="402">
        <f t="shared" si="18"/>
        <v>11</v>
      </c>
      <c r="L43" s="402">
        <f t="shared" si="18"/>
        <v>27.5</v>
      </c>
      <c r="M43" s="402">
        <f t="shared" si="18"/>
        <v>0</v>
      </c>
      <c r="N43" s="402">
        <f t="shared" si="18"/>
        <v>16.5</v>
      </c>
      <c r="O43" s="402">
        <f t="shared" si="18"/>
        <v>0</v>
      </c>
      <c r="P43" s="402">
        <f t="shared" si="18"/>
        <v>0</v>
      </c>
      <c r="Q43" s="402">
        <f t="shared" si="18"/>
        <v>22</v>
      </c>
      <c r="R43" s="402">
        <f t="shared" si="18"/>
        <v>22</v>
      </c>
      <c r="S43" s="402">
        <f t="shared" si="18"/>
        <v>44</v>
      </c>
      <c r="T43" s="402">
        <f t="shared" si="18"/>
        <v>22</v>
      </c>
    </row>
    <row r="44" spans="1:20" ht="15.6" x14ac:dyDescent="0.3">
      <c r="A44" s="573" t="s">
        <v>156</v>
      </c>
      <c r="B44" s="264" t="s">
        <v>160</v>
      </c>
      <c r="C44" s="173"/>
      <c r="D44" s="174" t="s">
        <v>120</v>
      </c>
      <c r="E44" s="175"/>
      <c r="F44" s="403">
        <f t="shared" ref="F44:T44" si="19">1*F43</f>
        <v>22</v>
      </c>
      <c r="G44" s="403">
        <f t="shared" si="19"/>
        <v>22</v>
      </c>
      <c r="H44" s="403">
        <f t="shared" si="19"/>
        <v>11</v>
      </c>
      <c r="I44" s="403">
        <f t="shared" si="19"/>
        <v>22</v>
      </c>
      <c r="J44" s="403">
        <f t="shared" si="19"/>
        <v>22</v>
      </c>
      <c r="K44" s="403">
        <f t="shared" si="19"/>
        <v>11</v>
      </c>
      <c r="L44" s="403">
        <f t="shared" si="19"/>
        <v>27.5</v>
      </c>
      <c r="M44" s="403">
        <f t="shared" si="19"/>
        <v>0</v>
      </c>
      <c r="N44" s="403">
        <f t="shared" si="19"/>
        <v>16.5</v>
      </c>
      <c r="O44" s="403">
        <f t="shared" si="19"/>
        <v>0</v>
      </c>
      <c r="P44" s="403">
        <f t="shared" si="19"/>
        <v>0</v>
      </c>
      <c r="Q44" s="403">
        <f t="shared" si="19"/>
        <v>22</v>
      </c>
      <c r="R44" s="403">
        <f t="shared" si="19"/>
        <v>22</v>
      </c>
      <c r="S44" s="403">
        <f t="shared" si="19"/>
        <v>44</v>
      </c>
      <c r="T44" s="403">
        <f t="shared" si="19"/>
        <v>22</v>
      </c>
    </row>
    <row r="45" spans="1:20" s="99" customFormat="1" ht="15.6" hidden="1" x14ac:dyDescent="0.3">
      <c r="A45" s="380"/>
      <c r="B45" s="247"/>
      <c r="C45" s="139"/>
      <c r="D45" s="97"/>
      <c r="E45" s="98"/>
      <c r="F45" s="404">
        <f t="shared" ref="F45:T45" si="20">F43-SUM(F44:F44)</f>
        <v>0</v>
      </c>
      <c r="G45" s="404">
        <f t="shared" si="20"/>
        <v>0</v>
      </c>
      <c r="H45" s="404">
        <f t="shared" si="20"/>
        <v>0</v>
      </c>
      <c r="I45" s="404">
        <f t="shared" si="20"/>
        <v>0</v>
      </c>
      <c r="J45" s="404">
        <f t="shared" si="20"/>
        <v>0</v>
      </c>
      <c r="K45" s="404">
        <f t="shared" si="20"/>
        <v>0</v>
      </c>
      <c r="L45" s="404">
        <f t="shared" si="20"/>
        <v>0</v>
      </c>
      <c r="M45" s="404">
        <f t="shared" si="20"/>
        <v>0</v>
      </c>
      <c r="N45" s="404">
        <f t="shared" si="20"/>
        <v>0</v>
      </c>
      <c r="O45" s="404">
        <f t="shared" si="20"/>
        <v>0</v>
      </c>
      <c r="P45" s="404">
        <f t="shared" si="20"/>
        <v>0</v>
      </c>
      <c r="Q45" s="404">
        <f t="shared" si="20"/>
        <v>0</v>
      </c>
      <c r="R45" s="404">
        <f t="shared" si="20"/>
        <v>0</v>
      </c>
      <c r="S45" s="404">
        <f t="shared" si="20"/>
        <v>0</v>
      </c>
      <c r="T45" s="404">
        <f t="shared" si="20"/>
        <v>0</v>
      </c>
    </row>
    <row r="46" spans="1:20" ht="15.6" x14ac:dyDescent="0.3">
      <c r="A46" s="377"/>
      <c r="B46" s="263"/>
      <c r="C46" s="157"/>
      <c r="D46" s="258"/>
      <c r="E46" s="158"/>
      <c r="F46" s="270"/>
      <c r="G46" s="270"/>
      <c r="H46" s="270"/>
      <c r="I46" s="270"/>
      <c r="J46" s="270"/>
      <c r="K46" s="270"/>
      <c r="L46" s="269"/>
      <c r="M46" s="269"/>
      <c r="N46" s="269"/>
      <c r="O46" s="269"/>
      <c r="P46" s="269"/>
      <c r="Q46" s="269"/>
      <c r="R46" s="269"/>
      <c r="S46" s="269"/>
      <c r="T46" s="407"/>
    </row>
    <row r="47" spans="1:20" s="96" customFormat="1" ht="15.6" x14ac:dyDescent="0.3">
      <c r="A47" s="381" t="s">
        <v>41</v>
      </c>
      <c r="B47" s="265" t="s">
        <v>162</v>
      </c>
      <c r="C47" s="149"/>
      <c r="D47" s="94"/>
      <c r="E47" s="95"/>
      <c r="F47" s="402">
        <f t="shared" ref="F47:T47" si="21">TRUNC((0.1*F13),2)</f>
        <v>22</v>
      </c>
      <c r="G47" s="402">
        <f t="shared" si="21"/>
        <v>22</v>
      </c>
      <c r="H47" s="402">
        <f t="shared" si="21"/>
        <v>11</v>
      </c>
      <c r="I47" s="402">
        <f t="shared" si="21"/>
        <v>22</v>
      </c>
      <c r="J47" s="402">
        <f t="shared" si="21"/>
        <v>22</v>
      </c>
      <c r="K47" s="402">
        <f t="shared" si="21"/>
        <v>11</v>
      </c>
      <c r="L47" s="402">
        <f t="shared" si="21"/>
        <v>27.5</v>
      </c>
      <c r="M47" s="402">
        <f t="shared" si="21"/>
        <v>0</v>
      </c>
      <c r="N47" s="402">
        <f t="shared" si="21"/>
        <v>16.5</v>
      </c>
      <c r="O47" s="402">
        <f t="shared" si="21"/>
        <v>0</v>
      </c>
      <c r="P47" s="402">
        <f t="shared" si="21"/>
        <v>0</v>
      </c>
      <c r="Q47" s="402">
        <f t="shared" si="21"/>
        <v>22</v>
      </c>
      <c r="R47" s="402">
        <f t="shared" si="21"/>
        <v>22</v>
      </c>
      <c r="S47" s="402">
        <f t="shared" si="21"/>
        <v>44</v>
      </c>
      <c r="T47" s="402">
        <f t="shared" si="21"/>
        <v>22</v>
      </c>
    </row>
    <row r="48" spans="1:20" ht="15.6" x14ac:dyDescent="0.3">
      <c r="A48" s="379" t="s">
        <v>157</v>
      </c>
      <c r="B48" s="233" t="s">
        <v>164</v>
      </c>
      <c r="C48" s="172"/>
      <c r="D48" s="174" t="s">
        <v>120</v>
      </c>
      <c r="E48" s="175"/>
      <c r="F48" s="406">
        <f t="shared" ref="F48:L48" si="22">0.5*F47</f>
        <v>11</v>
      </c>
      <c r="G48" s="406">
        <f t="shared" si="22"/>
        <v>11</v>
      </c>
      <c r="H48" s="406">
        <f t="shared" si="22"/>
        <v>5.5</v>
      </c>
      <c r="I48" s="406">
        <f t="shared" si="22"/>
        <v>11</v>
      </c>
      <c r="J48" s="406">
        <f t="shared" si="22"/>
        <v>11</v>
      </c>
      <c r="K48" s="406">
        <f t="shared" si="22"/>
        <v>5.5</v>
      </c>
      <c r="L48" s="406">
        <f t="shared" si="22"/>
        <v>13.75</v>
      </c>
      <c r="M48" s="406">
        <f t="shared" ref="M48:P48" si="23">0.2*M47</f>
        <v>0</v>
      </c>
      <c r="N48" s="406">
        <f>0.5*N47</f>
        <v>8.25</v>
      </c>
      <c r="O48" s="406">
        <f t="shared" si="23"/>
        <v>0</v>
      </c>
      <c r="P48" s="406">
        <f t="shared" si="23"/>
        <v>0</v>
      </c>
      <c r="Q48" s="406">
        <f>0.5*Q47</f>
        <v>11</v>
      </c>
      <c r="R48" s="406">
        <f>0.5*R47</f>
        <v>11</v>
      </c>
      <c r="S48" s="406">
        <f>0.5*S47</f>
        <v>22</v>
      </c>
      <c r="T48" s="406">
        <f>0.5*T47</f>
        <v>11</v>
      </c>
    </row>
    <row r="49" spans="1:23" ht="15.6" x14ac:dyDescent="0.3">
      <c r="A49" s="379" t="s">
        <v>158</v>
      </c>
      <c r="B49" s="574" t="s">
        <v>165</v>
      </c>
      <c r="C49" s="172"/>
      <c r="D49" s="174" t="s">
        <v>120</v>
      </c>
      <c r="E49" s="175"/>
      <c r="F49" s="406">
        <f t="shared" ref="F49:L49" si="24">0.5*F47</f>
        <v>11</v>
      </c>
      <c r="G49" s="406">
        <f t="shared" si="24"/>
        <v>11</v>
      </c>
      <c r="H49" s="406">
        <f t="shared" si="24"/>
        <v>5.5</v>
      </c>
      <c r="I49" s="406">
        <f t="shared" si="24"/>
        <v>11</v>
      </c>
      <c r="J49" s="406">
        <f t="shared" si="24"/>
        <v>11</v>
      </c>
      <c r="K49" s="406">
        <f t="shared" si="24"/>
        <v>5.5</v>
      </c>
      <c r="L49" s="406">
        <f t="shared" si="24"/>
        <v>13.75</v>
      </c>
      <c r="M49" s="406">
        <f t="shared" ref="M49:P49" si="25">0.1*M47</f>
        <v>0</v>
      </c>
      <c r="N49" s="406">
        <f>0.5*N47</f>
        <v>8.25</v>
      </c>
      <c r="O49" s="406">
        <f t="shared" si="25"/>
        <v>0</v>
      </c>
      <c r="P49" s="406">
        <f t="shared" si="25"/>
        <v>0</v>
      </c>
      <c r="Q49" s="406">
        <f>0.5*Q47</f>
        <v>11</v>
      </c>
      <c r="R49" s="406">
        <f>0.5*R47</f>
        <v>11</v>
      </c>
      <c r="S49" s="406">
        <f>0.5*S47</f>
        <v>22</v>
      </c>
      <c r="T49" s="406">
        <f>0.5*T47</f>
        <v>11</v>
      </c>
    </row>
    <row r="50" spans="1:23" s="99" customFormat="1" ht="15.6" hidden="1" x14ac:dyDescent="0.3">
      <c r="A50" s="380"/>
      <c r="B50" s="247"/>
      <c r="C50" s="139"/>
      <c r="D50" s="97"/>
      <c r="E50" s="98"/>
      <c r="F50" s="404">
        <f t="shared" ref="F50:T50" si="26">F47-SUM(F48:F49)</f>
        <v>0</v>
      </c>
      <c r="G50" s="404">
        <f t="shared" si="26"/>
        <v>0</v>
      </c>
      <c r="H50" s="404">
        <f t="shared" si="26"/>
        <v>0</v>
      </c>
      <c r="I50" s="404">
        <f t="shared" si="26"/>
        <v>0</v>
      </c>
      <c r="J50" s="404">
        <f t="shared" si="26"/>
        <v>0</v>
      </c>
      <c r="K50" s="404">
        <f t="shared" si="26"/>
        <v>0</v>
      </c>
      <c r="L50" s="404">
        <f t="shared" si="26"/>
        <v>0</v>
      </c>
      <c r="M50" s="404">
        <f t="shared" si="26"/>
        <v>0</v>
      </c>
      <c r="N50" s="404">
        <f t="shared" si="26"/>
        <v>0</v>
      </c>
      <c r="O50" s="404">
        <f t="shared" si="26"/>
        <v>0</v>
      </c>
      <c r="P50" s="404">
        <f t="shared" si="26"/>
        <v>0</v>
      </c>
      <c r="Q50" s="404">
        <f t="shared" si="26"/>
        <v>0</v>
      </c>
      <c r="R50" s="404">
        <f t="shared" si="26"/>
        <v>0</v>
      </c>
      <c r="S50" s="404">
        <f t="shared" si="26"/>
        <v>0</v>
      </c>
      <c r="T50" s="404">
        <f t="shared" si="26"/>
        <v>0</v>
      </c>
    </row>
    <row r="51" spans="1:23" ht="15.6" x14ac:dyDescent="0.3">
      <c r="A51" s="377"/>
      <c r="B51" s="263"/>
      <c r="C51" s="157"/>
      <c r="D51" s="258"/>
      <c r="E51" s="158"/>
      <c r="F51" s="270"/>
      <c r="G51" s="270"/>
      <c r="H51" s="270"/>
      <c r="I51" s="270"/>
      <c r="J51" s="270"/>
      <c r="K51" s="270"/>
      <c r="L51" s="269"/>
      <c r="M51" s="269"/>
      <c r="N51" s="269"/>
      <c r="O51" s="269"/>
      <c r="P51" s="269"/>
      <c r="Q51" s="269"/>
      <c r="R51" s="269"/>
      <c r="S51" s="269"/>
      <c r="T51" s="407"/>
    </row>
    <row r="52" spans="1:23" s="106" customFormat="1" ht="15.6" x14ac:dyDescent="0.3">
      <c r="A52" s="572" t="s">
        <v>42</v>
      </c>
      <c r="B52" s="575" t="s">
        <v>483</v>
      </c>
      <c r="C52" s="103"/>
      <c r="D52" s="104"/>
      <c r="E52" s="105"/>
      <c r="F52" s="402">
        <f t="shared" ref="F52:L52" si="27">TRUNC((0.15*F13),2)</f>
        <v>33</v>
      </c>
      <c r="G52" s="402">
        <f t="shared" si="27"/>
        <v>33</v>
      </c>
      <c r="H52" s="402">
        <f t="shared" si="27"/>
        <v>16.5</v>
      </c>
      <c r="I52" s="402">
        <f t="shared" si="27"/>
        <v>33</v>
      </c>
      <c r="J52" s="402">
        <f t="shared" si="27"/>
        <v>33</v>
      </c>
      <c r="K52" s="402">
        <f t="shared" si="27"/>
        <v>16.5</v>
      </c>
      <c r="L52" s="402">
        <f t="shared" si="27"/>
        <v>41.25</v>
      </c>
      <c r="M52" s="402">
        <f t="shared" ref="M52:P52" si="28">TRUNC((0.1*M13),2)</f>
        <v>0</v>
      </c>
      <c r="N52" s="402">
        <f>TRUNC((0.15*N13),2)</f>
        <v>24.75</v>
      </c>
      <c r="O52" s="402">
        <f t="shared" si="28"/>
        <v>0</v>
      </c>
      <c r="P52" s="402">
        <f t="shared" si="28"/>
        <v>0</v>
      </c>
      <c r="Q52" s="402">
        <f>TRUNC((0.15*Q13),2)</f>
        <v>33</v>
      </c>
      <c r="R52" s="402">
        <f>TRUNC((0.15*R13),2)</f>
        <v>33</v>
      </c>
      <c r="S52" s="402">
        <f>TRUNC((0.15*S13),2)</f>
        <v>66</v>
      </c>
      <c r="T52" s="402">
        <f>TRUNC((0.15*T13),2)</f>
        <v>33</v>
      </c>
    </row>
    <row r="53" spans="1:23" ht="15.6" x14ac:dyDescent="0.3">
      <c r="A53" s="573" t="s">
        <v>163</v>
      </c>
      <c r="B53" s="574" t="s">
        <v>161</v>
      </c>
      <c r="C53" s="173"/>
      <c r="D53" s="174" t="s">
        <v>120</v>
      </c>
      <c r="E53" s="175"/>
      <c r="F53" s="403">
        <f t="shared" ref="F53:L53" si="29">1*F52</f>
        <v>33</v>
      </c>
      <c r="G53" s="403">
        <f t="shared" si="29"/>
        <v>33</v>
      </c>
      <c r="H53" s="403">
        <f t="shared" si="29"/>
        <v>16.5</v>
      </c>
      <c r="I53" s="403">
        <f t="shared" si="29"/>
        <v>33</v>
      </c>
      <c r="J53" s="403">
        <f t="shared" si="29"/>
        <v>33</v>
      </c>
      <c r="K53" s="403">
        <f t="shared" si="29"/>
        <v>16.5</v>
      </c>
      <c r="L53" s="403">
        <f t="shared" si="29"/>
        <v>41.25</v>
      </c>
      <c r="M53" s="403">
        <f t="shared" ref="M53:P53" si="30">0.5*M52</f>
        <v>0</v>
      </c>
      <c r="N53" s="403">
        <f>1*N52</f>
        <v>24.75</v>
      </c>
      <c r="O53" s="403">
        <f t="shared" si="30"/>
        <v>0</v>
      </c>
      <c r="P53" s="403">
        <f t="shared" si="30"/>
        <v>0</v>
      </c>
      <c r="Q53" s="403">
        <f>1*Q52</f>
        <v>33</v>
      </c>
      <c r="R53" s="403">
        <f>1*R52</f>
        <v>33</v>
      </c>
      <c r="S53" s="403">
        <f>1*S52</f>
        <v>66</v>
      </c>
      <c r="T53" s="403">
        <f>1*T52</f>
        <v>33</v>
      </c>
    </row>
    <row r="54" spans="1:23" s="99" customFormat="1" ht="15.6" hidden="1" x14ac:dyDescent="0.3">
      <c r="A54" s="380"/>
      <c r="B54" s="247"/>
      <c r="C54" s="139"/>
      <c r="D54" s="97"/>
      <c r="E54" s="98"/>
      <c r="F54" s="404">
        <f t="shared" ref="F54:T54" si="31">F52-SUM(F53:F53)</f>
        <v>0</v>
      </c>
      <c r="G54" s="404">
        <f t="shared" si="31"/>
        <v>0</v>
      </c>
      <c r="H54" s="404">
        <f t="shared" si="31"/>
        <v>0</v>
      </c>
      <c r="I54" s="404">
        <f t="shared" si="31"/>
        <v>0</v>
      </c>
      <c r="J54" s="404">
        <f t="shared" si="31"/>
        <v>0</v>
      </c>
      <c r="K54" s="404">
        <f t="shared" si="31"/>
        <v>0</v>
      </c>
      <c r="L54" s="404">
        <f t="shared" si="31"/>
        <v>0</v>
      </c>
      <c r="M54" s="404">
        <f t="shared" si="31"/>
        <v>0</v>
      </c>
      <c r="N54" s="404">
        <f t="shared" si="31"/>
        <v>0</v>
      </c>
      <c r="O54" s="404">
        <f t="shared" si="31"/>
        <v>0</v>
      </c>
      <c r="P54" s="404">
        <f t="shared" si="31"/>
        <v>0</v>
      </c>
      <c r="Q54" s="404">
        <f t="shared" si="31"/>
        <v>0</v>
      </c>
      <c r="R54" s="404">
        <f t="shared" si="31"/>
        <v>0</v>
      </c>
      <c r="S54" s="404">
        <f t="shared" si="31"/>
        <v>0</v>
      </c>
      <c r="T54" s="404">
        <f t="shared" si="31"/>
        <v>0</v>
      </c>
    </row>
    <row r="55" spans="1:23" ht="15.6" x14ac:dyDescent="0.3">
      <c r="A55" s="377"/>
      <c r="B55" s="263"/>
      <c r="C55" s="157"/>
      <c r="D55" s="258"/>
      <c r="E55" s="158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</row>
    <row r="56" spans="1:23" s="418" customFormat="1" ht="16.5" customHeight="1" x14ac:dyDescent="0.3">
      <c r="A56" s="413"/>
      <c r="B56" s="414" t="s">
        <v>166</v>
      </c>
      <c r="C56" s="415"/>
      <c r="D56" s="416" t="s">
        <v>167</v>
      </c>
      <c r="E56" s="453">
        <f>$C$13</f>
        <v>0.25</v>
      </c>
      <c r="F56" s="417">
        <f t="shared" ref="F56:T56" si="32">TRUNC((F$12*$E$56),2)</f>
        <v>220</v>
      </c>
      <c r="G56" s="417">
        <f t="shared" si="32"/>
        <v>220</v>
      </c>
      <c r="H56" s="417">
        <f t="shared" si="32"/>
        <v>110</v>
      </c>
      <c r="I56" s="417">
        <f t="shared" si="32"/>
        <v>220</v>
      </c>
      <c r="J56" s="417">
        <f t="shared" si="32"/>
        <v>220</v>
      </c>
      <c r="K56" s="417">
        <f t="shared" si="32"/>
        <v>110</v>
      </c>
      <c r="L56" s="417">
        <f t="shared" si="32"/>
        <v>275</v>
      </c>
      <c r="M56" s="417">
        <f t="shared" si="32"/>
        <v>0</v>
      </c>
      <c r="N56" s="417">
        <f t="shared" si="32"/>
        <v>165</v>
      </c>
      <c r="O56" s="417">
        <f t="shared" si="32"/>
        <v>0</v>
      </c>
      <c r="P56" s="417">
        <f t="shared" si="32"/>
        <v>0</v>
      </c>
      <c r="Q56" s="417">
        <f t="shared" si="32"/>
        <v>220</v>
      </c>
      <c r="R56" s="417">
        <f t="shared" si="32"/>
        <v>220</v>
      </c>
      <c r="S56" s="417">
        <f t="shared" si="32"/>
        <v>440</v>
      </c>
      <c r="T56" s="417">
        <f t="shared" si="32"/>
        <v>220</v>
      </c>
      <c r="V56" s="419"/>
      <c r="W56" s="419"/>
    </row>
    <row r="57" spans="1:23" ht="15.6" x14ac:dyDescent="0.3">
      <c r="A57" s="377"/>
      <c r="B57" s="263"/>
      <c r="C57" s="157"/>
      <c r="D57" s="258"/>
      <c r="E57" s="158"/>
      <c r="F57" s="407"/>
      <c r="G57" s="407"/>
      <c r="H57" s="407"/>
      <c r="I57" s="407"/>
      <c r="J57" s="407"/>
      <c r="K57" s="407"/>
      <c r="L57" s="407"/>
      <c r="M57" s="407"/>
      <c r="N57" s="407"/>
      <c r="O57" s="407"/>
      <c r="P57" s="407"/>
      <c r="Q57" s="407"/>
      <c r="R57" s="407"/>
      <c r="S57" s="407"/>
      <c r="T57" s="407"/>
    </row>
    <row r="58" spans="1:23" s="102" customFormat="1" ht="15.6" hidden="1" x14ac:dyDescent="0.3">
      <c r="A58" s="386"/>
      <c r="B58" s="243"/>
      <c r="C58" s="140"/>
      <c r="D58" s="126" t="s">
        <v>167</v>
      </c>
      <c r="E58" s="101"/>
      <c r="F58" s="411">
        <f t="shared" ref="F58:T58" si="33">F15+F25+F39+F43+F47+F52</f>
        <v>220</v>
      </c>
      <c r="G58" s="411">
        <f t="shared" si="33"/>
        <v>220</v>
      </c>
      <c r="H58" s="411">
        <f t="shared" si="33"/>
        <v>110</v>
      </c>
      <c r="I58" s="411">
        <f t="shared" si="33"/>
        <v>220</v>
      </c>
      <c r="J58" s="411">
        <f t="shared" si="33"/>
        <v>220</v>
      </c>
      <c r="K58" s="411">
        <f t="shared" si="33"/>
        <v>110</v>
      </c>
      <c r="L58" s="411">
        <f t="shared" si="33"/>
        <v>275</v>
      </c>
      <c r="M58" s="411">
        <f t="shared" si="33"/>
        <v>0</v>
      </c>
      <c r="N58" s="411">
        <f t="shared" si="33"/>
        <v>165</v>
      </c>
      <c r="O58" s="411">
        <f t="shared" si="33"/>
        <v>0</v>
      </c>
      <c r="P58" s="411">
        <f t="shared" si="33"/>
        <v>0</v>
      </c>
      <c r="Q58" s="411">
        <f t="shared" si="33"/>
        <v>220</v>
      </c>
      <c r="R58" s="411">
        <f t="shared" si="33"/>
        <v>220</v>
      </c>
      <c r="S58" s="411">
        <f t="shared" si="33"/>
        <v>440</v>
      </c>
      <c r="T58" s="411">
        <f t="shared" si="33"/>
        <v>220</v>
      </c>
    </row>
    <row r="59" spans="1:23" s="45" customFormat="1" ht="15.6" hidden="1" x14ac:dyDescent="0.3">
      <c r="A59" s="387"/>
      <c r="B59" s="235"/>
      <c r="C59" s="157"/>
      <c r="D59" s="46"/>
      <c r="E59" s="100"/>
      <c r="F59" s="407"/>
      <c r="G59" s="407"/>
      <c r="H59" s="407"/>
      <c r="I59" s="407"/>
      <c r="J59" s="407"/>
      <c r="K59" s="407"/>
      <c r="L59" s="407"/>
      <c r="M59" s="407"/>
      <c r="N59" s="407"/>
      <c r="O59" s="407"/>
      <c r="P59" s="407"/>
      <c r="Q59" s="407"/>
      <c r="R59" s="407"/>
      <c r="S59" s="407"/>
      <c r="T59" s="407"/>
    </row>
    <row r="60" spans="1:23" s="108" customFormat="1" ht="15.6" hidden="1" x14ac:dyDescent="0.3">
      <c r="A60" s="388"/>
      <c r="B60" s="242"/>
      <c r="C60" s="142"/>
      <c r="D60" s="107"/>
      <c r="E60" s="143" t="s">
        <v>168</v>
      </c>
      <c r="F60" s="412">
        <f>F56-F58</f>
        <v>0</v>
      </c>
      <c r="G60" s="412">
        <f>G56-G58</f>
        <v>0</v>
      </c>
      <c r="H60" s="412">
        <f>H56-H58</f>
        <v>0</v>
      </c>
      <c r="I60" s="412">
        <f t="shared" ref="I60:T60" si="34">I56-I58</f>
        <v>0</v>
      </c>
      <c r="J60" s="412">
        <f>J56-J58</f>
        <v>0</v>
      </c>
      <c r="K60" s="412">
        <f t="shared" si="34"/>
        <v>0</v>
      </c>
      <c r="L60" s="412">
        <f>L56-L58</f>
        <v>0</v>
      </c>
      <c r="M60" s="412">
        <f>M56-M58</f>
        <v>0</v>
      </c>
      <c r="N60" s="412">
        <f t="shared" si="34"/>
        <v>0</v>
      </c>
      <c r="O60" s="412">
        <f t="shared" si="34"/>
        <v>0</v>
      </c>
      <c r="P60" s="412">
        <f>P56-P58</f>
        <v>0</v>
      </c>
      <c r="Q60" s="412">
        <f t="shared" si="34"/>
        <v>0</v>
      </c>
      <c r="R60" s="412">
        <f t="shared" si="34"/>
        <v>0</v>
      </c>
      <c r="S60" s="412">
        <f t="shared" si="34"/>
        <v>0</v>
      </c>
      <c r="T60" s="412">
        <f t="shared" si="34"/>
        <v>0</v>
      </c>
    </row>
    <row r="61" spans="1:23" ht="15.6" x14ac:dyDescent="0.3">
      <c r="A61" s="377"/>
      <c r="B61" s="263"/>
      <c r="C61" s="157"/>
      <c r="D61" s="258"/>
      <c r="E61" s="158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</row>
    <row r="62" spans="1:23" s="110" customFormat="1" ht="15.6" x14ac:dyDescent="0.3">
      <c r="A62" s="376" t="s">
        <v>46</v>
      </c>
      <c r="B62" s="398" t="s">
        <v>169</v>
      </c>
      <c r="C62" s="134">
        <v>0.25</v>
      </c>
      <c r="D62" s="164"/>
      <c r="E62" s="165"/>
      <c r="F62" s="420">
        <f t="shared" ref="F62:T62" si="35">TRUNC(($C$62*F$12),2)</f>
        <v>220</v>
      </c>
      <c r="G62" s="420">
        <f t="shared" si="35"/>
        <v>220</v>
      </c>
      <c r="H62" s="420">
        <f t="shared" si="35"/>
        <v>110</v>
      </c>
      <c r="I62" s="420">
        <f t="shared" si="35"/>
        <v>220</v>
      </c>
      <c r="J62" s="420">
        <f t="shared" si="35"/>
        <v>220</v>
      </c>
      <c r="K62" s="420">
        <f t="shared" si="35"/>
        <v>110</v>
      </c>
      <c r="L62" s="420">
        <f t="shared" si="35"/>
        <v>275</v>
      </c>
      <c r="M62" s="420">
        <f t="shared" si="35"/>
        <v>0</v>
      </c>
      <c r="N62" s="420">
        <f t="shared" si="35"/>
        <v>165</v>
      </c>
      <c r="O62" s="420">
        <f t="shared" si="35"/>
        <v>0</v>
      </c>
      <c r="P62" s="420">
        <f t="shared" si="35"/>
        <v>0</v>
      </c>
      <c r="Q62" s="420">
        <f t="shared" si="35"/>
        <v>220</v>
      </c>
      <c r="R62" s="420">
        <f t="shared" si="35"/>
        <v>220</v>
      </c>
      <c r="S62" s="420">
        <f t="shared" si="35"/>
        <v>440</v>
      </c>
      <c r="T62" s="420">
        <f t="shared" si="35"/>
        <v>220</v>
      </c>
    </row>
    <row r="63" spans="1:23" ht="15.6" x14ac:dyDescent="0.3">
      <c r="A63" s="377"/>
      <c r="B63" s="241"/>
      <c r="C63" s="157"/>
      <c r="D63" s="258"/>
      <c r="E63" s="158"/>
      <c r="F63" s="407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407"/>
      <c r="S63" s="407"/>
      <c r="T63" s="407"/>
    </row>
    <row r="64" spans="1:23" s="122" customFormat="1" ht="15.6" x14ac:dyDescent="0.3">
      <c r="A64" s="378" t="s">
        <v>47</v>
      </c>
      <c r="B64" s="248" t="s">
        <v>170</v>
      </c>
      <c r="C64" s="171"/>
      <c r="D64" s="155"/>
      <c r="E64" s="156"/>
      <c r="F64" s="405">
        <f t="shared" ref="F64:P64" si="36">TRUNC((0.45*F62),2)</f>
        <v>99</v>
      </c>
      <c r="G64" s="405">
        <f t="shared" si="36"/>
        <v>99</v>
      </c>
      <c r="H64" s="405">
        <f t="shared" si="36"/>
        <v>49.5</v>
      </c>
      <c r="I64" s="405">
        <f t="shared" si="36"/>
        <v>99</v>
      </c>
      <c r="J64" s="405">
        <f t="shared" si="36"/>
        <v>99</v>
      </c>
      <c r="K64" s="405">
        <f t="shared" si="36"/>
        <v>49.5</v>
      </c>
      <c r="L64" s="405">
        <f t="shared" si="36"/>
        <v>123.75</v>
      </c>
      <c r="M64" s="405">
        <f t="shared" si="36"/>
        <v>0</v>
      </c>
      <c r="N64" s="405">
        <f t="shared" si="36"/>
        <v>74.25</v>
      </c>
      <c r="O64" s="405">
        <f t="shared" si="36"/>
        <v>0</v>
      </c>
      <c r="P64" s="405">
        <f t="shared" si="36"/>
        <v>0</v>
      </c>
      <c r="Q64" s="405">
        <f t="shared" ref="Q64:T64" si="37">TRUNC((0.45*Q62),2)</f>
        <v>99</v>
      </c>
      <c r="R64" s="405">
        <f t="shared" si="37"/>
        <v>99</v>
      </c>
      <c r="S64" s="405">
        <f t="shared" si="37"/>
        <v>198</v>
      </c>
      <c r="T64" s="405">
        <f t="shared" si="37"/>
        <v>99</v>
      </c>
    </row>
    <row r="65" spans="1:20" ht="15.6" x14ac:dyDescent="0.3">
      <c r="A65" s="379" t="s">
        <v>171</v>
      </c>
      <c r="B65" s="482" t="s">
        <v>119</v>
      </c>
      <c r="C65" s="173"/>
      <c r="D65" s="174" t="s">
        <v>120</v>
      </c>
      <c r="E65" s="175"/>
      <c r="F65" s="403">
        <f>0.5*F64</f>
        <v>49.5</v>
      </c>
      <c r="G65" s="403">
        <f>0.5*G64</f>
        <v>49.5</v>
      </c>
      <c r="H65" s="403">
        <f>0.5*H64</f>
        <v>24.75</v>
      </c>
      <c r="I65" s="403">
        <f>0.1*I64</f>
        <v>9.9</v>
      </c>
      <c r="J65" s="403">
        <f>0.1*J64</f>
        <v>9.9</v>
      </c>
      <c r="K65" s="403">
        <f>0.1*K64</f>
        <v>4.95</v>
      </c>
      <c r="L65" s="403"/>
      <c r="M65" s="403"/>
      <c r="N65" s="403"/>
      <c r="O65" s="403"/>
      <c r="P65" s="403">
        <f>1*P64</f>
        <v>0</v>
      </c>
      <c r="Q65" s="403">
        <f>0.1*Q64</f>
        <v>9.9</v>
      </c>
      <c r="R65" s="403">
        <f>0.1*R64</f>
        <v>9.9</v>
      </c>
      <c r="S65" s="403">
        <f>0.1*S64</f>
        <v>19.8</v>
      </c>
      <c r="T65" s="403">
        <f>0.1*T64</f>
        <v>9.9</v>
      </c>
    </row>
    <row r="66" spans="1:20" ht="15.6" x14ac:dyDescent="0.3">
      <c r="A66" s="379" t="s">
        <v>172</v>
      </c>
      <c r="B66" s="482" t="s">
        <v>122</v>
      </c>
      <c r="C66" s="173"/>
      <c r="D66" s="174" t="s">
        <v>120</v>
      </c>
      <c r="E66" s="175"/>
      <c r="F66" s="403"/>
      <c r="G66" s="403"/>
      <c r="H66" s="403"/>
      <c r="I66" s="403"/>
      <c r="J66" s="403"/>
      <c r="K66" s="403"/>
      <c r="L66" s="403">
        <f>0.3*L64</f>
        <v>37.125</v>
      </c>
      <c r="M66" s="403">
        <f>0.3*M64</f>
        <v>0</v>
      </c>
      <c r="N66" s="403"/>
      <c r="O66" s="403"/>
      <c r="P66" s="403"/>
      <c r="Q66" s="403">
        <f>0.15*Q64</f>
        <v>14.85</v>
      </c>
      <c r="R66" s="403">
        <f>0.15*R64</f>
        <v>14.85</v>
      </c>
      <c r="S66" s="403">
        <f>0.15*S64</f>
        <v>29.7</v>
      </c>
      <c r="T66" s="403">
        <f>0.15*T64</f>
        <v>14.85</v>
      </c>
    </row>
    <row r="67" spans="1:20" ht="15.6" x14ac:dyDescent="0.3">
      <c r="A67" s="379" t="s">
        <v>173</v>
      </c>
      <c r="B67" s="567" t="s">
        <v>124</v>
      </c>
      <c r="C67" s="173"/>
      <c r="D67" s="174" t="s">
        <v>120</v>
      </c>
      <c r="E67" s="175"/>
      <c r="F67" s="403"/>
      <c r="G67" s="403"/>
      <c r="H67" s="403"/>
      <c r="I67" s="403"/>
      <c r="J67" s="403"/>
      <c r="K67" s="403"/>
      <c r="L67" s="403">
        <f>0.3*L64</f>
        <v>37.125</v>
      </c>
      <c r="M67" s="403">
        <f>0.3*M64</f>
        <v>0</v>
      </c>
      <c r="N67" s="403"/>
      <c r="O67" s="403"/>
      <c r="P67" s="403"/>
      <c r="Q67" s="403">
        <f>0.15*Q64</f>
        <v>14.85</v>
      </c>
      <c r="R67" s="403">
        <f>0.15*R64</f>
        <v>14.85</v>
      </c>
      <c r="S67" s="403">
        <f>0.15*S64</f>
        <v>29.7</v>
      </c>
      <c r="T67" s="403">
        <f>0.15*T64</f>
        <v>14.85</v>
      </c>
    </row>
    <row r="68" spans="1:20" ht="15.6" x14ac:dyDescent="0.3">
      <c r="A68" s="379" t="s">
        <v>174</v>
      </c>
      <c r="B68" s="567" t="s">
        <v>480</v>
      </c>
      <c r="C68" s="173"/>
      <c r="D68" s="174" t="s">
        <v>120</v>
      </c>
      <c r="E68" s="175"/>
      <c r="F68" s="403"/>
      <c r="G68" s="403"/>
      <c r="H68" s="403"/>
      <c r="I68" s="403"/>
      <c r="J68" s="403"/>
      <c r="K68" s="403"/>
      <c r="L68" s="403">
        <f>0.05*L64</f>
        <v>6.1875</v>
      </c>
      <c r="M68" s="403">
        <f>0.05*M64</f>
        <v>0</v>
      </c>
      <c r="N68" s="403">
        <f>0.4*N64</f>
        <v>29.700000000000003</v>
      </c>
      <c r="O68" s="403">
        <f>0.4*O64</f>
        <v>0</v>
      </c>
      <c r="P68" s="403"/>
      <c r="Q68" s="403">
        <f>0.1*Q64</f>
        <v>9.9</v>
      </c>
      <c r="R68" s="403">
        <f>0.1*R64</f>
        <v>9.9</v>
      </c>
      <c r="S68" s="403">
        <f>0.1*S64</f>
        <v>19.8</v>
      </c>
      <c r="T68" s="403">
        <f>0.1*T64</f>
        <v>9.9</v>
      </c>
    </row>
    <row r="69" spans="1:20" ht="15.6" x14ac:dyDescent="0.3">
      <c r="A69" s="379" t="s">
        <v>175</v>
      </c>
      <c r="B69" s="482" t="s">
        <v>128</v>
      </c>
      <c r="C69" s="173"/>
      <c r="D69" s="174" t="s">
        <v>120</v>
      </c>
      <c r="E69" s="175"/>
      <c r="F69" s="403"/>
      <c r="G69" s="403"/>
      <c r="H69" s="403"/>
      <c r="I69" s="403"/>
      <c r="J69" s="403"/>
      <c r="K69" s="403"/>
      <c r="L69" s="403">
        <f>0.3*L64</f>
        <v>37.125</v>
      </c>
      <c r="M69" s="403">
        <f>0.3*M64</f>
        <v>0</v>
      </c>
      <c r="N69" s="403"/>
      <c r="O69" s="403"/>
      <c r="P69" s="403"/>
      <c r="Q69" s="403">
        <f>0.15*Q64</f>
        <v>14.85</v>
      </c>
      <c r="R69" s="403">
        <f>0.15*R64</f>
        <v>14.85</v>
      </c>
      <c r="S69" s="403">
        <f>0.15*S64</f>
        <v>29.7</v>
      </c>
      <c r="T69" s="403">
        <f>0.15*T64</f>
        <v>14.85</v>
      </c>
    </row>
    <row r="70" spans="1:20" ht="15.6" x14ac:dyDescent="0.3">
      <c r="A70" s="379" t="s">
        <v>176</v>
      </c>
      <c r="B70" s="482" t="s">
        <v>130</v>
      </c>
      <c r="C70" s="173"/>
      <c r="D70" s="174" t="s">
        <v>120</v>
      </c>
      <c r="E70" s="175"/>
      <c r="F70" s="403"/>
      <c r="G70" s="403"/>
      <c r="H70" s="403"/>
      <c r="I70" s="403"/>
      <c r="J70" s="403"/>
      <c r="K70" s="403"/>
      <c r="L70" s="403">
        <f>0.05*L64</f>
        <v>6.1875</v>
      </c>
      <c r="M70" s="403">
        <f>0.05*M64</f>
        <v>0</v>
      </c>
      <c r="N70" s="403">
        <f>0.6*N64</f>
        <v>44.55</v>
      </c>
      <c r="O70" s="403">
        <f>0.6*O64</f>
        <v>0</v>
      </c>
      <c r="P70" s="403"/>
      <c r="Q70" s="403">
        <f>0.15*Q64</f>
        <v>14.85</v>
      </c>
      <c r="R70" s="403">
        <f>0.15*R64</f>
        <v>14.85</v>
      </c>
      <c r="S70" s="403">
        <f>0.15*S64</f>
        <v>29.7</v>
      </c>
      <c r="T70" s="403">
        <f>0.15*T64</f>
        <v>14.85</v>
      </c>
    </row>
    <row r="71" spans="1:20" ht="15.6" x14ac:dyDescent="0.3">
      <c r="A71" s="379" t="s">
        <v>177</v>
      </c>
      <c r="B71" s="482" t="s">
        <v>132</v>
      </c>
      <c r="C71" s="173"/>
      <c r="D71" s="174" t="s">
        <v>120</v>
      </c>
      <c r="E71" s="175"/>
      <c r="F71" s="403">
        <f>0.5*F64</f>
        <v>49.5</v>
      </c>
      <c r="G71" s="403">
        <f>0.5*G64</f>
        <v>49.5</v>
      </c>
      <c r="H71" s="403">
        <f>0.5*H64</f>
        <v>24.75</v>
      </c>
      <c r="I71" s="403">
        <f>0.9*I64</f>
        <v>89.100000000000009</v>
      </c>
      <c r="J71" s="403">
        <f>0.9*J64</f>
        <v>89.100000000000009</v>
      </c>
      <c r="K71" s="403">
        <f>0.9*K64</f>
        <v>44.550000000000004</v>
      </c>
      <c r="L71" s="403"/>
      <c r="M71" s="403"/>
      <c r="N71" s="403"/>
      <c r="O71" s="403"/>
      <c r="P71" s="403"/>
      <c r="Q71" s="403">
        <f>0.2*Q64</f>
        <v>19.8</v>
      </c>
      <c r="R71" s="403">
        <f>0.2*R64</f>
        <v>19.8</v>
      </c>
      <c r="S71" s="403">
        <f>0.2*S64</f>
        <v>39.6</v>
      </c>
      <c r="T71" s="403">
        <f>0.2*T64</f>
        <v>19.8</v>
      </c>
    </row>
    <row r="72" spans="1:20" s="99" customFormat="1" ht="15.6" hidden="1" x14ac:dyDescent="0.3">
      <c r="A72" s="380"/>
      <c r="B72" s="247"/>
      <c r="C72" s="139"/>
      <c r="D72" s="97"/>
      <c r="E72" s="98"/>
      <c r="F72" s="404">
        <f t="shared" ref="F72:K72" si="38">F64-SUM(F65:F71)</f>
        <v>0</v>
      </c>
      <c r="G72" s="404">
        <f t="shared" si="38"/>
        <v>0</v>
      </c>
      <c r="H72" s="404">
        <f t="shared" si="38"/>
        <v>0</v>
      </c>
      <c r="I72" s="404">
        <f t="shared" si="38"/>
        <v>0</v>
      </c>
      <c r="J72" s="404">
        <f t="shared" si="38"/>
        <v>0</v>
      </c>
      <c r="K72" s="404">
        <f t="shared" si="38"/>
        <v>0</v>
      </c>
      <c r="L72" s="404">
        <f t="shared" ref="L72:O72" si="39">L64-SUM(L65:L71)</f>
        <v>0</v>
      </c>
      <c r="M72" s="404">
        <f t="shared" si="39"/>
        <v>0</v>
      </c>
      <c r="N72" s="404">
        <f t="shared" si="39"/>
        <v>0</v>
      </c>
      <c r="O72" s="404">
        <f t="shared" si="39"/>
        <v>0</v>
      </c>
      <c r="P72" s="404">
        <f>P64-SUM(P65:P71)</f>
        <v>0</v>
      </c>
      <c r="Q72" s="404">
        <f>Q64-SUM(Q65:Q71)</f>
        <v>0</v>
      </c>
      <c r="R72" s="404">
        <f>R64-SUM(R65:R71)</f>
        <v>0</v>
      </c>
      <c r="S72" s="404">
        <f>S64-SUM(S65:S71)</f>
        <v>0</v>
      </c>
      <c r="T72" s="404">
        <f>T64-SUM(T65:T71)</f>
        <v>0</v>
      </c>
    </row>
    <row r="73" spans="1:20" ht="15.6" x14ac:dyDescent="0.3">
      <c r="A73" s="377"/>
      <c r="B73" s="263"/>
      <c r="C73" s="157"/>
      <c r="D73" s="258"/>
      <c r="E73" s="158"/>
      <c r="F73" s="270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407"/>
    </row>
    <row r="74" spans="1:20" s="122" customFormat="1" ht="15.6" x14ac:dyDescent="0.3">
      <c r="A74" s="378" t="s">
        <v>48</v>
      </c>
      <c r="B74" s="265" t="s">
        <v>486</v>
      </c>
      <c r="C74" s="171"/>
      <c r="D74" s="155"/>
      <c r="E74" s="156"/>
      <c r="F74" s="402">
        <f t="shared" ref="F74:T74" si="40">TRUNC((0.15*F62),2)</f>
        <v>33</v>
      </c>
      <c r="G74" s="402">
        <f t="shared" si="40"/>
        <v>33</v>
      </c>
      <c r="H74" s="402">
        <f t="shared" si="40"/>
        <v>16.5</v>
      </c>
      <c r="I74" s="402">
        <f t="shared" si="40"/>
        <v>33</v>
      </c>
      <c r="J74" s="402">
        <f t="shared" si="40"/>
        <v>33</v>
      </c>
      <c r="K74" s="402">
        <f t="shared" si="40"/>
        <v>16.5</v>
      </c>
      <c r="L74" s="402">
        <f t="shared" si="40"/>
        <v>41.25</v>
      </c>
      <c r="M74" s="402">
        <f t="shared" si="40"/>
        <v>0</v>
      </c>
      <c r="N74" s="402">
        <f t="shared" si="40"/>
        <v>24.75</v>
      </c>
      <c r="O74" s="402">
        <f t="shared" si="40"/>
        <v>0</v>
      </c>
      <c r="P74" s="402">
        <f t="shared" si="40"/>
        <v>0</v>
      </c>
      <c r="Q74" s="402">
        <f t="shared" si="40"/>
        <v>33</v>
      </c>
      <c r="R74" s="402">
        <f t="shared" si="40"/>
        <v>33</v>
      </c>
      <c r="S74" s="402">
        <f t="shared" si="40"/>
        <v>66</v>
      </c>
      <c r="T74" s="402">
        <f t="shared" si="40"/>
        <v>33</v>
      </c>
    </row>
    <row r="75" spans="1:20" ht="15.6" x14ac:dyDescent="0.3">
      <c r="A75" s="379" t="s">
        <v>178</v>
      </c>
      <c r="B75" s="263" t="s">
        <v>134</v>
      </c>
      <c r="C75" s="173"/>
      <c r="D75" s="174" t="s">
        <v>120</v>
      </c>
      <c r="E75" s="175"/>
      <c r="F75" s="403">
        <f>0.1*F74</f>
        <v>3.3000000000000003</v>
      </c>
      <c r="G75" s="403">
        <f>0.1*G74</f>
        <v>3.3000000000000003</v>
      </c>
      <c r="H75" s="403">
        <f>0.1*H74</f>
        <v>1.6500000000000001</v>
      </c>
      <c r="I75" s="403">
        <f>0.6*I74</f>
        <v>19.8</v>
      </c>
      <c r="J75" s="403">
        <f>0.6*J74</f>
        <v>19.8</v>
      </c>
      <c r="K75" s="403">
        <f>0.6*K74</f>
        <v>9.9</v>
      </c>
      <c r="L75" s="403"/>
      <c r="M75" s="403"/>
      <c r="N75" s="403"/>
      <c r="O75" s="403"/>
      <c r="P75" s="403"/>
      <c r="Q75" s="403">
        <f>0.1*Q74</f>
        <v>3.3000000000000003</v>
      </c>
      <c r="R75" s="403">
        <f>0.1*R74</f>
        <v>3.3000000000000003</v>
      </c>
      <c r="S75" s="403">
        <f>0.1*S74</f>
        <v>6.6000000000000005</v>
      </c>
      <c r="T75" s="403">
        <f>0.1*T74</f>
        <v>3.3000000000000003</v>
      </c>
    </row>
    <row r="76" spans="1:20" ht="15.6" x14ac:dyDescent="0.3">
      <c r="A76" s="379" t="s">
        <v>179</v>
      </c>
      <c r="B76" s="264" t="s">
        <v>136</v>
      </c>
      <c r="C76" s="173"/>
      <c r="D76" s="174" t="s">
        <v>120</v>
      </c>
      <c r="E76" s="175"/>
      <c r="F76" s="403">
        <f>0.3*F74</f>
        <v>9.9</v>
      </c>
      <c r="G76" s="403">
        <f>0.3*G74</f>
        <v>9.9</v>
      </c>
      <c r="H76" s="403">
        <f>0.3*H74</f>
        <v>4.95</v>
      </c>
      <c r="I76" s="403">
        <f>0.1*I74</f>
        <v>3.3000000000000003</v>
      </c>
      <c r="J76" s="403">
        <f>0.1*J74</f>
        <v>3.3000000000000003</v>
      </c>
      <c r="K76" s="403">
        <f>0.1*K74</f>
        <v>1.6500000000000001</v>
      </c>
      <c r="L76" s="403"/>
      <c r="M76" s="403"/>
      <c r="N76" s="403"/>
      <c r="O76" s="403"/>
      <c r="P76" s="403"/>
      <c r="Q76" s="403">
        <f>0.1*Q74</f>
        <v>3.3000000000000003</v>
      </c>
      <c r="R76" s="403">
        <f>0.1*R74</f>
        <v>3.3000000000000003</v>
      </c>
      <c r="S76" s="403">
        <f>0.1*S74</f>
        <v>6.6000000000000005</v>
      </c>
      <c r="T76" s="403">
        <f>0.1*T74</f>
        <v>3.3000000000000003</v>
      </c>
    </row>
    <row r="77" spans="1:20" ht="15.6" x14ac:dyDescent="0.3">
      <c r="A77" s="379" t="s">
        <v>180</v>
      </c>
      <c r="B77" s="263" t="s">
        <v>138</v>
      </c>
      <c r="C77" s="173"/>
      <c r="D77" s="174" t="s">
        <v>120</v>
      </c>
      <c r="E77" s="175"/>
      <c r="F77" s="403"/>
      <c r="G77" s="403"/>
      <c r="H77" s="403"/>
      <c r="I77" s="403"/>
      <c r="J77" s="403"/>
      <c r="K77" s="403"/>
      <c r="L77" s="403">
        <f>0.2*L74</f>
        <v>8.25</v>
      </c>
      <c r="M77" s="403">
        <f>0.2*M74</f>
        <v>0</v>
      </c>
      <c r="N77" s="403"/>
      <c r="O77" s="403"/>
      <c r="P77" s="403"/>
      <c r="Q77" s="403">
        <f>0.1*Q74</f>
        <v>3.3000000000000003</v>
      </c>
      <c r="R77" s="403">
        <f>0.1*R74</f>
        <v>3.3000000000000003</v>
      </c>
      <c r="S77" s="403">
        <f>0.1*S74</f>
        <v>6.6000000000000005</v>
      </c>
      <c r="T77" s="403">
        <f>0.1*T74</f>
        <v>3.3000000000000003</v>
      </c>
    </row>
    <row r="78" spans="1:20" ht="15.6" x14ac:dyDescent="0.3">
      <c r="A78" s="379" t="s">
        <v>181</v>
      </c>
      <c r="B78" s="264" t="s">
        <v>140</v>
      </c>
      <c r="C78" s="173"/>
      <c r="D78" s="174" t="s">
        <v>120</v>
      </c>
      <c r="E78" s="175"/>
      <c r="F78" s="403"/>
      <c r="G78" s="403"/>
      <c r="H78" s="403"/>
      <c r="I78" s="403"/>
      <c r="J78" s="403"/>
      <c r="K78" s="403"/>
      <c r="L78" s="403">
        <f>0.2*L74</f>
        <v>8.25</v>
      </c>
      <c r="M78" s="403">
        <f>0.2*M74</f>
        <v>0</v>
      </c>
      <c r="N78" s="403"/>
      <c r="O78" s="403"/>
      <c r="P78" s="403"/>
      <c r="Q78" s="403">
        <f>0.1*Q74</f>
        <v>3.3000000000000003</v>
      </c>
      <c r="R78" s="403">
        <f>0.1*R74</f>
        <v>3.3000000000000003</v>
      </c>
      <c r="S78" s="403">
        <f>0.1*S74</f>
        <v>6.6000000000000005</v>
      </c>
      <c r="T78" s="403">
        <f>0.1*T74</f>
        <v>3.3000000000000003</v>
      </c>
    </row>
    <row r="79" spans="1:20" ht="15.6" x14ac:dyDescent="0.3">
      <c r="A79" s="379" t="s">
        <v>182</v>
      </c>
      <c r="B79" s="263" t="s">
        <v>142</v>
      </c>
      <c r="C79" s="173"/>
      <c r="D79" s="174" t="s">
        <v>120</v>
      </c>
      <c r="E79" s="175"/>
      <c r="F79" s="403"/>
      <c r="G79" s="403"/>
      <c r="H79" s="403"/>
      <c r="I79" s="403"/>
      <c r="J79" s="403"/>
      <c r="K79" s="403"/>
      <c r="L79" s="403">
        <f>0.15*L74</f>
        <v>6.1875</v>
      </c>
      <c r="M79" s="403">
        <f>0.15*M74</f>
        <v>0</v>
      </c>
      <c r="N79" s="403"/>
      <c r="O79" s="403"/>
      <c r="P79" s="403"/>
      <c r="Q79" s="403">
        <f>0.05*Q74</f>
        <v>1.6500000000000001</v>
      </c>
      <c r="R79" s="403">
        <f>0.05*R74</f>
        <v>1.6500000000000001</v>
      </c>
      <c r="S79" s="403">
        <f>0.05*S74</f>
        <v>3.3000000000000003</v>
      </c>
      <c r="T79" s="403">
        <f>0.05*T74</f>
        <v>1.6500000000000001</v>
      </c>
    </row>
    <row r="80" spans="1:20" ht="15.6" x14ac:dyDescent="0.3">
      <c r="A80" s="379" t="s">
        <v>183</v>
      </c>
      <c r="B80" s="263" t="s">
        <v>144</v>
      </c>
      <c r="C80" s="173"/>
      <c r="D80" s="174" t="s">
        <v>120</v>
      </c>
      <c r="E80" s="175"/>
      <c r="F80" s="403"/>
      <c r="G80" s="403"/>
      <c r="H80" s="403"/>
      <c r="I80" s="403"/>
      <c r="J80" s="403"/>
      <c r="K80" s="403"/>
      <c r="L80" s="403">
        <f>0.15*L74</f>
        <v>6.1875</v>
      </c>
      <c r="M80" s="403">
        <f>0.15*M74</f>
        <v>0</v>
      </c>
      <c r="N80" s="403"/>
      <c r="O80" s="403"/>
      <c r="P80" s="403"/>
      <c r="Q80" s="403">
        <f>0.05*Q74</f>
        <v>1.6500000000000001</v>
      </c>
      <c r="R80" s="403">
        <f>0.05*R74</f>
        <v>1.6500000000000001</v>
      </c>
      <c r="S80" s="403">
        <f>0.05*S74</f>
        <v>3.3000000000000003</v>
      </c>
      <c r="T80" s="403">
        <f>0.05*T74</f>
        <v>1.6500000000000001</v>
      </c>
    </row>
    <row r="81" spans="1:20" ht="15.6" x14ac:dyDescent="0.3">
      <c r="A81" s="379" t="s">
        <v>184</v>
      </c>
      <c r="B81" s="263" t="s">
        <v>146</v>
      </c>
      <c r="C81" s="173"/>
      <c r="D81" s="174" t="s">
        <v>120</v>
      </c>
      <c r="E81" s="175"/>
      <c r="F81" s="403">
        <f>0.15*F74</f>
        <v>4.95</v>
      </c>
      <c r="G81" s="403">
        <f>0.15*G74</f>
        <v>4.95</v>
      </c>
      <c r="H81" s="403">
        <f>0.15*H74</f>
        <v>2.4750000000000001</v>
      </c>
      <c r="I81" s="403">
        <f>0.1*I74</f>
        <v>3.3000000000000003</v>
      </c>
      <c r="J81" s="403">
        <f>0.1*J74</f>
        <v>3.3000000000000003</v>
      </c>
      <c r="K81" s="403">
        <f>0.1*K74</f>
        <v>1.6500000000000001</v>
      </c>
      <c r="L81" s="403">
        <f>0.15*L74</f>
        <v>6.1875</v>
      </c>
      <c r="M81" s="403">
        <f>0.15*M74</f>
        <v>0</v>
      </c>
      <c r="N81" s="403"/>
      <c r="O81" s="403"/>
      <c r="P81" s="403"/>
      <c r="Q81" s="403">
        <f>0.1*Q74</f>
        <v>3.3000000000000003</v>
      </c>
      <c r="R81" s="403">
        <f>0.1*R74</f>
        <v>3.3000000000000003</v>
      </c>
      <c r="S81" s="403">
        <f>0.1*S74</f>
        <v>6.6000000000000005</v>
      </c>
      <c r="T81" s="403">
        <f>0.1*T74</f>
        <v>3.3000000000000003</v>
      </c>
    </row>
    <row r="82" spans="1:20" ht="15.6" x14ac:dyDescent="0.3">
      <c r="A82" s="379" t="s">
        <v>185</v>
      </c>
      <c r="B82" s="263" t="s">
        <v>148</v>
      </c>
      <c r="C82" s="173"/>
      <c r="D82" s="174" t="s">
        <v>120</v>
      </c>
      <c r="E82" s="175"/>
      <c r="F82" s="403"/>
      <c r="G82" s="403"/>
      <c r="H82" s="403"/>
      <c r="I82" s="403"/>
      <c r="J82" s="403"/>
      <c r="K82" s="403"/>
      <c r="L82" s="403">
        <f>0.15*L74</f>
        <v>6.1875</v>
      </c>
      <c r="M82" s="403">
        <f>0.15*M74</f>
        <v>0</v>
      </c>
      <c r="N82" s="403">
        <f>0.6*N74</f>
        <v>14.85</v>
      </c>
      <c r="O82" s="403">
        <f>0.6*O74</f>
        <v>0</v>
      </c>
      <c r="P82" s="403"/>
      <c r="Q82" s="403">
        <f>0.1*Q74</f>
        <v>3.3000000000000003</v>
      </c>
      <c r="R82" s="403">
        <f>0.1*R74</f>
        <v>3.3000000000000003</v>
      </c>
      <c r="S82" s="403">
        <f>0.1*S74</f>
        <v>6.6000000000000005</v>
      </c>
      <c r="T82" s="403">
        <f>0.1*T74</f>
        <v>3.3000000000000003</v>
      </c>
    </row>
    <row r="83" spans="1:20" ht="15.6" x14ac:dyDescent="0.3">
      <c r="A83" s="379" t="s">
        <v>186</v>
      </c>
      <c r="B83" s="233" t="s">
        <v>150</v>
      </c>
      <c r="C83" s="173"/>
      <c r="D83" s="174" t="s">
        <v>120</v>
      </c>
      <c r="E83" s="175"/>
      <c r="F83" s="403"/>
      <c r="G83" s="403"/>
      <c r="H83" s="403"/>
      <c r="I83" s="403"/>
      <c r="J83" s="403"/>
      <c r="K83" s="403"/>
      <c r="L83" s="403"/>
      <c r="M83" s="403"/>
      <c r="N83" s="403">
        <f>0.4*N74</f>
        <v>9.9</v>
      </c>
      <c r="O83" s="403">
        <f>0.4*O74</f>
        <v>0</v>
      </c>
      <c r="P83" s="403"/>
      <c r="Q83" s="403">
        <f>0.1*Q74</f>
        <v>3.3000000000000003</v>
      </c>
      <c r="R83" s="403">
        <f>0.1*R74</f>
        <v>3.3000000000000003</v>
      </c>
      <c r="S83" s="403">
        <f>0.1*S74</f>
        <v>6.6000000000000005</v>
      </c>
      <c r="T83" s="403">
        <f>0.1*T74</f>
        <v>3.3000000000000003</v>
      </c>
    </row>
    <row r="84" spans="1:20" ht="15.6" x14ac:dyDescent="0.3">
      <c r="A84" s="379" t="s">
        <v>187</v>
      </c>
      <c r="B84" s="263" t="s">
        <v>152</v>
      </c>
      <c r="C84" s="173"/>
      <c r="D84" s="174" t="s">
        <v>120</v>
      </c>
      <c r="E84" s="175"/>
      <c r="F84" s="403">
        <f>0.3*F74</f>
        <v>9.9</v>
      </c>
      <c r="G84" s="403">
        <f>0.3*G74</f>
        <v>9.9</v>
      </c>
      <c r="H84" s="403">
        <f>0.3*H74</f>
        <v>4.95</v>
      </c>
      <c r="I84" s="403">
        <f>0.1*I74</f>
        <v>3.3000000000000003</v>
      </c>
      <c r="J84" s="403">
        <f>0.1*J74</f>
        <v>3.3000000000000003</v>
      </c>
      <c r="K84" s="403">
        <f>0.1*K74</f>
        <v>1.6500000000000001</v>
      </c>
      <c r="L84" s="403"/>
      <c r="M84" s="403"/>
      <c r="N84" s="403"/>
      <c r="O84" s="403"/>
      <c r="P84" s="403">
        <f>0.4*P74</f>
        <v>0</v>
      </c>
      <c r="Q84" s="403">
        <f>0.1*Q74</f>
        <v>3.3000000000000003</v>
      </c>
      <c r="R84" s="403">
        <f>0.1*R74</f>
        <v>3.3000000000000003</v>
      </c>
      <c r="S84" s="403">
        <f>0.1*S74</f>
        <v>6.6000000000000005</v>
      </c>
      <c r="T84" s="403">
        <f>0.1*T74</f>
        <v>3.3000000000000003</v>
      </c>
    </row>
    <row r="85" spans="1:20" ht="15.6" x14ac:dyDescent="0.3">
      <c r="A85" s="379" t="s">
        <v>188</v>
      </c>
      <c r="B85" s="263" t="s">
        <v>154</v>
      </c>
      <c r="C85" s="173"/>
      <c r="D85" s="174" t="s">
        <v>120</v>
      </c>
      <c r="E85" s="175"/>
      <c r="F85" s="403">
        <f>0.15*F74</f>
        <v>4.95</v>
      </c>
      <c r="G85" s="403">
        <f>0.15*G74</f>
        <v>4.95</v>
      </c>
      <c r="H85" s="403">
        <f>0.15*H74</f>
        <v>2.4750000000000001</v>
      </c>
      <c r="I85" s="403">
        <f>0.1*I74</f>
        <v>3.3000000000000003</v>
      </c>
      <c r="J85" s="403">
        <f>0.1*J74</f>
        <v>3.3000000000000003</v>
      </c>
      <c r="K85" s="403">
        <f>0.1*K74</f>
        <v>1.6500000000000001</v>
      </c>
      <c r="L85" s="403"/>
      <c r="M85" s="403"/>
      <c r="N85" s="403"/>
      <c r="O85" s="403"/>
      <c r="P85" s="403"/>
      <c r="Q85" s="403">
        <f>0.1*Q74</f>
        <v>3.3000000000000003</v>
      </c>
      <c r="R85" s="403">
        <f>0.1*R74</f>
        <v>3.3000000000000003</v>
      </c>
      <c r="S85" s="403">
        <f>0.1*S74</f>
        <v>6.6000000000000005</v>
      </c>
      <c r="T85" s="403">
        <f>0.1*T74</f>
        <v>3.3000000000000003</v>
      </c>
    </row>
    <row r="86" spans="1:20" ht="15.6" hidden="1" x14ac:dyDescent="0.3">
      <c r="A86" s="377"/>
      <c r="B86" s="263"/>
      <c r="C86" s="157"/>
      <c r="D86" s="258"/>
      <c r="E86" s="158"/>
      <c r="F86" s="404">
        <f t="shared" ref="F86:P86" si="41">F74-SUM(F75:F85)</f>
        <v>0</v>
      </c>
      <c r="G86" s="404">
        <f t="shared" si="41"/>
        <v>0</v>
      </c>
      <c r="H86" s="404">
        <f t="shared" si="41"/>
        <v>0</v>
      </c>
      <c r="I86" s="404">
        <f t="shared" si="41"/>
        <v>0</v>
      </c>
      <c r="J86" s="404">
        <f t="shared" si="41"/>
        <v>0</v>
      </c>
      <c r="K86" s="404">
        <f t="shared" si="41"/>
        <v>0</v>
      </c>
      <c r="L86" s="404">
        <f t="shared" si="41"/>
        <v>0</v>
      </c>
      <c r="M86" s="404">
        <f t="shared" si="41"/>
        <v>0</v>
      </c>
      <c r="N86" s="404">
        <f t="shared" si="41"/>
        <v>0</v>
      </c>
      <c r="O86" s="404">
        <f t="shared" si="41"/>
        <v>0</v>
      </c>
      <c r="P86" s="404">
        <f t="shared" si="41"/>
        <v>0</v>
      </c>
      <c r="Q86" s="404">
        <f t="shared" ref="Q86:T86" si="42">Q74-SUM(Q75:Q85)</f>
        <v>0</v>
      </c>
      <c r="R86" s="404">
        <f t="shared" si="42"/>
        <v>0</v>
      </c>
      <c r="S86" s="404">
        <f t="shared" si="42"/>
        <v>0</v>
      </c>
      <c r="T86" s="404">
        <f t="shared" si="42"/>
        <v>0</v>
      </c>
    </row>
    <row r="87" spans="1:20" ht="15.6" x14ac:dyDescent="0.3">
      <c r="A87" s="377"/>
      <c r="B87" s="263"/>
      <c r="C87" s="157"/>
      <c r="D87" s="258"/>
      <c r="E87" s="158"/>
      <c r="F87" s="270"/>
      <c r="G87" s="270"/>
      <c r="H87" s="270"/>
      <c r="I87" s="270"/>
      <c r="J87" s="270"/>
      <c r="K87" s="270"/>
      <c r="L87" s="268"/>
      <c r="M87" s="268"/>
      <c r="N87" s="268"/>
      <c r="O87" s="268"/>
      <c r="P87" s="268"/>
      <c r="Q87" s="268"/>
      <c r="R87" s="268"/>
      <c r="S87" s="268"/>
      <c r="T87" s="407"/>
    </row>
    <row r="88" spans="1:20" s="122" customFormat="1" ht="15.6" x14ac:dyDescent="0.3">
      <c r="A88" s="378" t="s">
        <v>49</v>
      </c>
      <c r="B88" s="245" t="s">
        <v>484</v>
      </c>
      <c r="C88" s="171"/>
      <c r="D88" s="155"/>
      <c r="E88" s="156"/>
      <c r="F88" s="402">
        <f t="shared" ref="F88:L88" si="43">TRUNC((0.05*F62),2)</f>
        <v>11</v>
      </c>
      <c r="G88" s="402">
        <f t="shared" si="43"/>
        <v>11</v>
      </c>
      <c r="H88" s="402">
        <f t="shared" si="43"/>
        <v>5.5</v>
      </c>
      <c r="I88" s="402">
        <f t="shared" si="43"/>
        <v>11</v>
      </c>
      <c r="J88" s="402">
        <f t="shared" si="43"/>
        <v>11</v>
      </c>
      <c r="K88" s="402">
        <f t="shared" si="43"/>
        <v>5.5</v>
      </c>
      <c r="L88" s="402">
        <f t="shared" si="43"/>
        <v>13.75</v>
      </c>
      <c r="M88" s="402">
        <f t="shared" ref="M88:P88" si="44">TRUNC((0.1*M62),2)</f>
        <v>0</v>
      </c>
      <c r="N88" s="402">
        <f>TRUNC((0.05*N62),2)</f>
        <v>8.25</v>
      </c>
      <c r="O88" s="402">
        <f t="shared" si="44"/>
        <v>0</v>
      </c>
      <c r="P88" s="402">
        <f t="shared" si="44"/>
        <v>0</v>
      </c>
      <c r="Q88" s="402">
        <f>TRUNC((0.05*Q62),2)</f>
        <v>11</v>
      </c>
      <c r="R88" s="402">
        <f>TRUNC((0.05*R62),2)</f>
        <v>11</v>
      </c>
      <c r="S88" s="402">
        <f>TRUNC((0.05*S62),2)</f>
        <v>22</v>
      </c>
      <c r="T88" s="402">
        <f>TRUNC((0.05*T62),2)</f>
        <v>11</v>
      </c>
    </row>
    <row r="89" spans="1:20" ht="15.6" x14ac:dyDescent="0.3">
      <c r="A89" s="377" t="s">
        <v>189</v>
      </c>
      <c r="B89" s="264" t="s">
        <v>159</v>
      </c>
      <c r="C89" s="157"/>
      <c r="D89" s="258" t="s">
        <v>120</v>
      </c>
      <c r="E89" s="158"/>
      <c r="F89" s="403">
        <f t="shared" ref="F89:T89" si="45">1*F88</f>
        <v>11</v>
      </c>
      <c r="G89" s="403">
        <f t="shared" si="45"/>
        <v>11</v>
      </c>
      <c r="H89" s="403">
        <f t="shared" si="45"/>
        <v>5.5</v>
      </c>
      <c r="I89" s="403">
        <f t="shared" si="45"/>
        <v>11</v>
      </c>
      <c r="J89" s="403">
        <f t="shared" si="45"/>
        <v>11</v>
      </c>
      <c r="K89" s="403">
        <f t="shared" si="45"/>
        <v>5.5</v>
      </c>
      <c r="L89" s="403">
        <f t="shared" si="45"/>
        <v>13.75</v>
      </c>
      <c r="M89" s="403">
        <f t="shared" si="45"/>
        <v>0</v>
      </c>
      <c r="N89" s="403">
        <f t="shared" si="45"/>
        <v>8.25</v>
      </c>
      <c r="O89" s="403">
        <f t="shared" si="45"/>
        <v>0</v>
      </c>
      <c r="P89" s="403">
        <f t="shared" si="45"/>
        <v>0</v>
      </c>
      <c r="Q89" s="403">
        <f t="shared" si="45"/>
        <v>11</v>
      </c>
      <c r="R89" s="403">
        <f t="shared" si="45"/>
        <v>11</v>
      </c>
      <c r="S89" s="403">
        <f t="shared" si="45"/>
        <v>22</v>
      </c>
      <c r="T89" s="403">
        <f t="shared" si="45"/>
        <v>11</v>
      </c>
    </row>
    <row r="90" spans="1:20" ht="15.6" hidden="1" x14ac:dyDescent="0.3">
      <c r="A90" s="377"/>
      <c r="B90" s="263"/>
      <c r="C90" s="157"/>
      <c r="D90" s="258"/>
      <c r="E90" s="158"/>
      <c r="F90" s="404">
        <f t="shared" ref="F90:T90" si="46">F88-SUM(F89:F89)</f>
        <v>0</v>
      </c>
      <c r="G90" s="404">
        <f t="shared" si="46"/>
        <v>0</v>
      </c>
      <c r="H90" s="404">
        <f t="shared" si="46"/>
        <v>0</v>
      </c>
      <c r="I90" s="404">
        <f t="shared" si="46"/>
        <v>0</v>
      </c>
      <c r="J90" s="404">
        <f t="shared" si="46"/>
        <v>0</v>
      </c>
      <c r="K90" s="404">
        <f t="shared" si="46"/>
        <v>0</v>
      </c>
      <c r="L90" s="404">
        <f t="shared" si="46"/>
        <v>0</v>
      </c>
      <c r="M90" s="404">
        <f t="shared" si="46"/>
        <v>0</v>
      </c>
      <c r="N90" s="404">
        <f t="shared" si="46"/>
        <v>0</v>
      </c>
      <c r="O90" s="404">
        <f t="shared" si="46"/>
        <v>0</v>
      </c>
      <c r="P90" s="404">
        <f t="shared" si="46"/>
        <v>0</v>
      </c>
      <c r="Q90" s="404">
        <f t="shared" si="46"/>
        <v>0</v>
      </c>
      <c r="R90" s="404">
        <f t="shared" si="46"/>
        <v>0</v>
      </c>
      <c r="S90" s="404">
        <f t="shared" si="46"/>
        <v>0</v>
      </c>
      <c r="T90" s="404">
        <f t="shared" si="46"/>
        <v>0</v>
      </c>
    </row>
    <row r="91" spans="1:20" ht="15.6" x14ac:dyDescent="0.3">
      <c r="A91" s="377"/>
      <c r="B91" s="263"/>
      <c r="C91" s="157"/>
      <c r="D91" s="258"/>
      <c r="E91" s="158"/>
      <c r="F91" s="270"/>
      <c r="G91" s="270"/>
      <c r="H91" s="270"/>
      <c r="I91" s="270"/>
      <c r="J91" s="270"/>
      <c r="K91" s="270"/>
      <c r="L91" s="269"/>
      <c r="M91" s="269"/>
      <c r="N91" s="269"/>
      <c r="O91" s="269"/>
      <c r="P91" s="269"/>
      <c r="Q91" s="269"/>
      <c r="R91" s="269"/>
      <c r="S91" s="269"/>
      <c r="T91" s="407"/>
    </row>
    <row r="92" spans="1:20" s="122" customFormat="1" ht="15.6" x14ac:dyDescent="0.3">
      <c r="A92" s="378" t="s">
        <v>50</v>
      </c>
      <c r="B92" s="265" t="s">
        <v>485</v>
      </c>
      <c r="C92" s="171"/>
      <c r="D92" s="155"/>
      <c r="E92" s="156"/>
      <c r="F92" s="402">
        <f t="shared" ref="F92:T92" si="47">TRUNC((0.1*F62),2)</f>
        <v>22</v>
      </c>
      <c r="G92" s="402">
        <f t="shared" si="47"/>
        <v>22</v>
      </c>
      <c r="H92" s="402">
        <f t="shared" si="47"/>
        <v>11</v>
      </c>
      <c r="I92" s="402">
        <f t="shared" si="47"/>
        <v>22</v>
      </c>
      <c r="J92" s="402">
        <f t="shared" si="47"/>
        <v>22</v>
      </c>
      <c r="K92" s="402">
        <f t="shared" si="47"/>
        <v>11</v>
      </c>
      <c r="L92" s="402">
        <f t="shared" si="47"/>
        <v>27.5</v>
      </c>
      <c r="M92" s="402">
        <f t="shared" si="47"/>
        <v>0</v>
      </c>
      <c r="N92" s="402">
        <f t="shared" si="47"/>
        <v>16.5</v>
      </c>
      <c r="O92" s="402">
        <f t="shared" si="47"/>
        <v>0</v>
      </c>
      <c r="P92" s="402">
        <f t="shared" si="47"/>
        <v>0</v>
      </c>
      <c r="Q92" s="402">
        <f t="shared" si="47"/>
        <v>22</v>
      </c>
      <c r="R92" s="402">
        <f t="shared" si="47"/>
        <v>22</v>
      </c>
      <c r="S92" s="402">
        <f t="shared" si="47"/>
        <v>44</v>
      </c>
      <c r="T92" s="402">
        <f t="shared" si="47"/>
        <v>22</v>
      </c>
    </row>
    <row r="93" spans="1:20" ht="15.6" x14ac:dyDescent="0.3">
      <c r="A93" s="379" t="s">
        <v>190</v>
      </c>
      <c r="B93" s="264" t="s">
        <v>160</v>
      </c>
      <c r="C93" s="172"/>
      <c r="D93" s="174" t="s">
        <v>120</v>
      </c>
      <c r="E93" s="175"/>
      <c r="F93" s="403">
        <f t="shared" ref="F93:T93" si="48">1*F92</f>
        <v>22</v>
      </c>
      <c r="G93" s="403">
        <f t="shared" si="48"/>
        <v>22</v>
      </c>
      <c r="H93" s="403">
        <f t="shared" si="48"/>
        <v>11</v>
      </c>
      <c r="I93" s="403">
        <f t="shared" si="48"/>
        <v>22</v>
      </c>
      <c r="J93" s="403">
        <f t="shared" si="48"/>
        <v>22</v>
      </c>
      <c r="K93" s="403">
        <f t="shared" si="48"/>
        <v>11</v>
      </c>
      <c r="L93" s="403">
        <f t="shared" si="48"/>
        <v>27.5</v>
      </c>
      <c r="M93" s="403">
        <f t="shared" si="48"/>
        <v>0</v>
      </c>
      <c r="N93" s="403">
        <f t="shared" si="48"/>
        <v>16.5</v>
      </c>
      <c r="O93" s="403">
        <f t="shared" si="48"/>
        <v>0</v>
      </c>
      <c r="P93" s="403">
        <f t="shared" si="48"/>
        <v>0</v>
      </c>
      <c r="Q93" s="403">
        <f t="shared" si="48"/>
        <v>22</v>
      </c>
      <c r="R93" s="403">
        <f t="shared" si="48"/>
        <v>22</v>
      </c>
      <c r="S93" s="403">
        <f t="shared" si="48"/>
        <v>44</v>
      </c>
      <c r="T93" s="403">
        <f t="shared" si="48"/>
        <v>22</v>
      </c>
    </row>
    <row r="94" spans="1:20" ht="15.6" hidden="1" x14ac:dyDescent="0.3">
      <c r="A94" s="377"/>
      <c r="B94" s="263"/>
      <c r="C94" s="157"/>
      <c r="D94" s="258"/>
      <c r="E94" s="158"/>
      <c r="F94" s="404">
        <f t="shared" ref="F94:T94" si="49">F92-SUM(F93:F93)</f>
        <v>0</v>
      </c>
      <c r="G94" s="404">
        <f t="shared" si="49"/>
        <v>0</v>
      </c>
      <c r="H94" s="404">
        <f t="shared" si="49"/>
        <v>0</v>
      </c>
      <c r="I94" s="404">
        <f t="shared" si="49"/>
        <v>0</v>
      </c>
      <c r="J94" s="404">
        <f t="shared" si="49"/>
        <v>0</v>
      </c>
      <c r="K94" s="404">
        <f t="shared" si="49"/>
        <v>0</v>
      </c>
      <c r="L94" s="404">
        <f t="shared" si="49"/>
        <v>0</v>
      </c>
      <c r="M94" s="404">
        <f t="shared" si="49"/>
        <v>0</v>
      </c>
      <c r="N94" s="404">
        <f t="shared" si="49"/>
        <v>0</v>
      </c>
      <c r="O94" s="404">
        <f t="shared" si="49"/>
        <v>0</v>
      </c>
      <c r="P94" s="404">
        <f t="shared" si="49"/>
        <v>0</v>
      </c>
      <c r="Q94" s="404">
        <f t="shared" si="49"/>
        <v>0</v>
      </c>
      <c r="R94" s="404">
        <f t="shared" si="49"/>
        <v>0</v>
      </c>
      <c r="S94" s="404">
        <f t="shared" si="49"/>
        <v>0</v>
      </c>
      <c r="T94" s="404">
        <f t="shared" si="49"/>
        <v>0</v>
      </c>
    </row>
    <row r="95" spans="1:20" ht="15.6" x14ac:dyDescent="0.3">
      <c r="A95" s="377"/>
      <c r="B95" s="263"/>
      <c r="C95" s="157"/>
      <c r="D95" s="258"/>
      <c r="E95" s="158"/>
      <c r="F95" s="270"/>
      <c r="G95" s="270"/>
      <c r="H95" s="270"/>
      <c r="I95" s="270"/>
      <c r="J95" s="270"/>
      <c r="K95" s="270"/>
      <c r="L95" s="269"/>
      <c r="M95" s="269"/>
      <c r="N95" s="269"/>
      <c r="O95" s="269"/>
      <c r="P95" s="269"/>
      <c r="Q95" s="269"/>
      <c r="R95" s="269"/>
      <c r="S95" s="269"/>
      <c r="T95" s="407"/>
    </row>
    <row r="96" spans="1:20" s="122" customFormat="1" ht="15.6" x14ac:dyDescent="0.3">
      <c r="A96" s="378" t="s">
        <v>51</v>
      </c>
      <c r="B96" s="265" t="s">
        <v>193</v>
      </c>
      <c r="C96" s="123"/>
      <c r="D96" s="155"/>
      <c r="E96" s="156"/>
      <c r="F96" s="402">
        <f t="shared" ref="F96:T96" si="50">TRUNC((0.1*F62),2)</f>
        <v>22</v>
      </c>
      <c r="G96" s="402">
        <f t="shared" si="50"/>
        <v>22</v>
      </c>
      <c r="H96" s="402">
        <f t="shared" si="50"/>
        <v>11</v>
      </c>
      <c r="I96" s="402">
        <f t="shared" si="50"/>
        <v>22</v>
      </c>
      <c r="J96" s="402">
        <f t="shared" si="50"/>
        <v>22</v>
      </c>
      <c r="K96" s="402">
        <f t="shared" si="50"/>
        <v>11</v>
      </c>
      <c r="L96" s="402">
        <f t="shared" si="50"/>
        <v>27.5</v>
      </c>
      <c r="M96" s="402">
        <f t="shared" si="50"/>
        <v>0</v>
      </c>
      <c r="N96" s="402">
        <f t="shared" si="50"/>
        <v>16.5</v>
      </c>
      <c r="O96" s="402">
        <f t="shared" si="50"/>
        <v>0</v>
      </c>
      <c r="P96" s="402">
        <f t="shared" si="50"/>
        <v>0</v>
      </c>
      <c r="Q96" s="402">
        <f t="shared" si="50"/>
        <v>22</v>
      </c>
      <c r="R96" s="402">
        <f t="shared" si="50"/>
        <v>22</v>
      </c>
      <c r="S96" s="402">
        <f t="shared" si="50"/>
        <v>44</v>
      </c>
      <c r="T96" s="402">
        <f t="shared" si="50"/>
        <v>22</v>
      </c>
    </row>
    <row r="97" spans="1:23" ht="15.6" x14ac:dyDescent="0.3">
      <c r="A97" s="379" t="s">
        <v>191</v>
      </c>
      <c r="B97" s="264" t="s">
        <v>164</v>
      </c>
      <c r="C97" s="172"/>
      <c r="D97" s="174" t="s">
        <v>120</v>
      </c>
      <c r="E97" s="175"/>
      <c r="F97" s="406">
        <f t="shared" ref="F97:L97" si="51">0.5*F96</f>
        <v>11</v>
      </c>
      <c r="G97" s="406">
        <f t="shared" si="51"/>
        <v>11</v>
      </c>
      <c r="H97" s="406">
        <f t="shared" si="51"/>
        <v>5.5</v>
      </c>
      <c r="I97" s="406">
        <f t="shared" si="51"/>
        <v>11</v>
      </c>
      <c r="J97" s="406">
        <f t="shared" si="51"/>
        <v>11</v>
      </c>
      <c r="K97" s="406">
        <f t="shared" si="51"/>
        <v>5.5</v>
      </c>
      <c r="L97" s="406">
        <f t="shared" si="51"/>
        <v>13.75</v>
      </c>
      <c r="M97" s="406">
        <f t="shared" ref="M97:P97" si="52">0.2*M96</f>
        <v>0</v>
      </c>
      <c r="N97" s="406">
        <f>0.5*N96</f>
        <v>8.25</v>
      </c>
      <c r="O97" s="406">
        <f t="shared" si="52"/>
        <v>0</v>
      </c>
      <c r="P97" s="516">
        <f t="shared" si="52"/>
        <v>0</v>
      </c>
      <c r="Q97" s="406">
        <f>0.5*Q96</f>
        <v>11</v>
      </c>
      <c r="R97" s="406">
        <f>0.5*R96</f>
        <v>11</v>
      </c>
      <c r="S97" s="406">
        <f>0.5*S96</f>
        <v>22</v>
      </c>
      <c r="T97" s="406">
        <f>0.5*T96</f>
        <v>11</v>
      </c>
    </row>
    <row r="98" spans="1:23" ht="15.6" x14ac:dyDescent="0.3">
      <c r="A98" s="379" t="s">
        <v>192</v>
      </c>
      <c r="B98" s="263" t="s">
        <v>165</v>
      </c>
      <c r="C98" s="173"/>
      <c r="D98" s="174" t="s">
        <v>120</v>
      </c>
      <c r="E98" s="175"/>
      <c r="F98" s="406">
        <f t="shared" ref="F98:L98" si="53">0.5*F96</f>
        <v>11</v>
      </c>
      <c r="G98" s="406">
        <f t="shared" si="53"/>
        <v>11</v>
      </c>
      <c r="H98" s="406">
        <f t="shared" si="53"/>
        <v>5.5</v>
      </c>
      <c r="I98" s="406">
        <f t="shared" si="53"/>
        <v>11</v>
      </c>
      <c r="J98" s="406">
        <f t="shared" si="53"/>
        <v>11</v>
      </c>
      <c r="K98" s="406">
        <f t="shared" si="53"/>
        <v>5.5</v>
      </c>
      <c r="L98" s="406">
        <f t="shared" si="53"/>
        <v>13.75</v>
      </c>
      <c r="M98" s="406">
        <f t="shared" ref="M98:P98" si="54">0.1*M96</f>
        <v>0</v>
      </c>
      <c r="N98" s="406">
        <f>0.5*N96</f>
        <v>8.25</v>
      </c>
      <c r="O98" s="406">
        <f t="shared" si="54"/>
        <v>0</v>
      </c>
      <c r="P98" s="516">
        <f t="shared" si="54"/>
        <v>0</v>
      </c>
      <c r="Q98" s="406">
        <f>0.5*Q96</f>
        <v>11</v>
      </c>
      <c r="R98" s="406">
        <f>0.5*R96</f>
        <v>11</v>
      </c>
      <c r="S98" s="406">
        <f>0.5*S96</f>
        <v>22</v>
      </c>
      <c r="T98" s="406">
        <f>0.5*T96</f>
        <v>11</v>
      </c>
    </row>
    <row r="99" spans="1:23" ht="15.6" hidden="1" x14ac:dyDescent="0.3">
      <c r="A99" s="377"/>
      <c r="B99" s="263"/>
      <c r="C99" s="157"/>
      <c r="D99" s="258"/>
      <c r="E99" s="158"/>
      <c r="F99" s="404">
        <f t="shared" ref="F99:T99" si="55">F96-SUM(F97:F98)</f>
        <v>0</v>
      </c>
      <c r="G99" s="404">
        <f t="shared" si="55"/>
        <v>0</v>
      </c>
      <c r="H99" s="404">
        <f t="shared" si="55"/>
        <v>0</v>
      </c>
      <c r="I99" s="404">
        <f t="shared" si="55"/>
        <v>0</v>
      </c>
      <c r="J99" s="404">
        <f t="shared" si="55"/>
        <v>0</v>
      </c>
      <c r="K99" s="404">
        <f t="shared" si="55"/>
        <v>0</v>
      </c>
      <c r="L99" s="404">
        <f t="shared" si="55"/>
        <v>0</v>
      </c>
      <c r="M99" s="404">
        <f t="shared" si="55"/>
        <v>0</v>
      </c>
      <c r="N99" s="404">
        <f t="shared" si="55"/>
        <v>0</v>
      </c>
      <c r="O99" s="404">
        <f t="shared" si="55"/>
        <v>0</v>
      </c>
      <c r="P99" s="404">
        <f t="shared" si="55"/>
        <v>0</v>
      </c>
      <c r="Q99" s="404">
        <f t="shared" si="55"/>
        <v>0</v>
      </c>
      <c r="R99" s="404">
        <f t="shared" si="55"/>
        <v>0</v>
      </c>
      <c r="S99" s="404">
        <f t="shared" si="55"/>
        <v>0</v>
      </c>
      <c r="T99" s="404">
        <f t="shared" si="55"/>
        <v>0</v>
      </c>
    </row>
    <row r="100" spans="1:23" ht="15.6" x14ac:dyDescent="0.3">
      <c r="A100" s="377"/>
      <c r="B100" s="263"/>
      <c r="C100" s="157"/>
      <c r="D100" s="258"/>
      <c r="E100" s="158"/>
      <c r="F100" s="270"/>
      <c r="G100" s="270"/>
      <c r="H100" s="270"/>
      <c r="I100" s="270"/>
      <c r="J100" s="270"/>
      <c r="K100" s="270"/>
      <c r="L100" s="269"/>
      <c r="M100" s="269"/>
      <c r="N100" s="269"/>
      <c r="O100" s="269"/>
      <c r="P100" s="269"/>
      <c r="Q100" s="269"/>
      <c r="R100" s="269"/>
      <c r="S100" s="269"/>
      <c r="T100" s="407"/>
    </row>
    <row r="101" spans="1:23" s="122" customFormat="1" ht="15.6" x14ac:dyDescent="0.3">
      <c r="A101" s="385" t="s">
        <v>52</v>
      </c>
      <c r="B101" s="244" t="s">
        <v>488</v>
      </c>
      <c r="C101" s="124"/>
      <c r="D101" s="155"/>
      <c r="E101" s="125"/>
      <c r="F101" s="402">
        <f t="shared" ref="F101:L101" si="56">TRUNC((0.15*F62),2)</f>
        <v>33</v>
      </c>
      <c r="G101" s="402">
        <f t="shared" si="56"/>
        <v>33</v>
      </c>
      <c r="H101" s="402">
        <f t="shared" si="56"/>
        <v>16.5</v>
      </c>
      <c r="I101" s="402">
        <f t="shared" si="56"/>
        <v>33</v>
      </c>
      <c r="J101" s="402">
        <f t="shared" si="56"/>
        <v>33</v>
      </c>
      <c r="K101" s="402">
        <f t="shared" si="56"/>
        <v>16.5</v>
      </c>
      <c r="L101" s="402">
        <f t="shared" si="56"/>
        <v>41.25</v>
      </c>
      <c r="M101" s="402">
        <f t="shared" ref="M101:P101" si="57">TRUNC((0.1*M62),2)</f>
        <v>0</v>
      </c>
      <c r="N101" s="402">
        <f>TRUNC((0.15*N62),2)</f>
        <v>24.75</v>
      </c>
      <c r="O101" s="402">
        <f t="shared" si="57"/>
        <v>0</v>
      </c>
      <c r="P101" s="402">
        <f t="shared" si="57"/>
        <v>0</v>
      </c>
      <c r="Q101" s="402">
        <f>TRUNC((0.15*Q62),2)</f>
        <v>33</v>
      </c>
      <c r="R101" s="402">
        <f>TRUNC((0.15*R62),2)</f>
        <v>33</v>
      </c>
      <c r="S101" s="402">
        <f>TRUNC((0.15*S62),2)</f>
        <v>66</v>
      </c>
      <c r="T101" s="402">
        <f>TRUNC((0.15*T62),2)</f>
        <v>33</v>
      </c>
    </row>
    <row r="102" spans="1:23" ht="15.6" x14ac:dyDescent="0.3">
      <c r="A102" s="383" t="s">
        <v>194</v>
      </c>
      <c r="B102" s="263" t="s">
        <v>161</v>
      </c>
      <c r="C102" s="177"/>
      <c r="D102" s="174" t="s">
        <v>120</v>
      </c>
      <c r="E102" s="178"/>
      <c r="F102" s="403">
        <f t="shared" ref="F102:L102" si="58">1*F101</f>
        <v>33</v>
      </c>
      <c r="G102" s="403">
        <f t="shared" si="58"/>
        <v>33</v>
      </c>
      <c r="H102" s="403">
        <f t="shared" si="58"/>
        <v>16.5</v>
      </c>
      <c r="I102" s="403">
        <f t="shared" si="58"/>
        <v>33</v>
      </c>
      <c r="J102" s="403">
        <f t="shared" si="58"/>
        <v>33</v>
      </c>
      <c r="K102" s="403">
        <f t="shared" si="58"/>
        <v>16.5</v>
      </c>
      <c r="L102" s="403">
        <f t="shared" si="58"/>
        <v>41.25</v>
      </c>
      <c r="M102" s="403">
        <f t="shared" ref="M102:P102" si="59">0.5*M101</f>
        <v>0</v>
      </c>
      <c r="N102" s="403">
        <f>1*N101</f>
        <v>24.75</v>
      </c>
      <c r="O102" s="403">
        <f t="shared" si="59"/>
        <v>0</v>
      </c>
      <c r="P102" s="403">
        <f t="shared" si="59"/>
        <v>0</v>
      </c>
      <c r="Q102" s="403">
        <f>1*Q101</f>
        <v>33</v>
      </c>
      <c r="R102" s="403">
        <f>1*R101</f>
        <v>33</v>
      </c>
      <c r="S102" s="403">
        <f>1*S101</f>
        <v>66</v>
      </c>
      <c r="T102" s="403">
        <f>1*T101</f>
        <v>33</v>
      </c>
    </row>
    <row r="103" spans="1:23" ht="15.6" hidden="1" x14ac:dyDescent="0.3">
      <c r="A103" s="384"/>
      <c r="B103" s="263"/>
      <c r="C103" s="153"/>
      <c r="D103" s="258"/>
      <c r="E103" s="154"/>
      <c r="F103" s="404">
        <f t="shared" ref="F103:T103" si="60">F101-SUM(F102:F102)</f>
        <v>0</v>
      </c>
      <c r="G103" s="404">
        <f t="shared" si="60"/>
        <v>0</v>
      </c>
      <c r="H103" s="404">
        <f t="shared" si="60"/>
        <v>0</v>
      </c>
      <c r="I103" s="404">
        <f t="shared" si="60"/>
        <v>0</v>
      </c>
      <c r="J103" s="404">
        <f t="shared" si="60"/>
        <v>0</v>
      </c>
      <c r="K103" s="404">
        <f t="shared" si="60"/>
        <v>0</v>
      </c>
      <c r="L103" s="404">
        <f t="shared" si="60"/>
        <v>0</v>
      </c>
      <c r="M103" s="404">
        <f t="shared" si="60"/>
        <v>0</v>
      </c>
      <c r="N103" s="404">
        <f t="shared" si="60"/>
        <v>0</v>
      </c>
      <c r="O103" s="404">
        <f t="shared" si="60"/>
        <v>0</v>
      </c>
      <c r="P103" s="404">
        <f t="shared" si="60"/>
        <v>0</v>
      </c>
      <c r="Q103" s="404">
        <f t="shared" si="60"/>
        <v>0</v>
      </c>
      <c r="R103" s="404">
        <f t="shared" si="60"/>
        <v>0</v>
      </c>
      <c r="S103" s="404">
        <f t="shared" si="60"/>
        <v>0</v>
      </c>
      <c r="T103" s="404">
        <f t="shared" si="60"/>
        <v>0</v>
      </c>
    </row>
    <row r="104" spans="1:23" ht="15.6" x14ac:dyDescent="0.3">
      <c r="A104" s="377"/>
      <c r="B104" s="263"/>
      <c r="C104" s="157"/>
      <c r="D104" s="258"/>
      <c r="E104" s="158"/>
      <c r="F104" s="407"/>
      <c r="G104" s="407"/>
      <c r="H104" s="407"/>
      <c r="I104" s="407"/>
      <c r="J104" s="407"/>
      <c r="K104" s="407"/>
      <c r="L104" s="407"/>
      <c r="M104" s="407"/>
      <c r="N104" s="407"/>
      <c r="O104" s="407"/>
      <c r="P104" s="407"/>
      <c r="Q104" s="407"/>
      <c r="R104" s="407"/>
      <c r="S104" s="407"/>
      <c r="T104" s="407"/>
    </row>
    <row r="105" spans="1:23" s="513" customFormat="1" ht="16.5" customHeight="1" x14ac:dyDescent="0.3">
      <c r="A105" s="507"/>
      <c r="B105" s="508" t="s">
        <v>195</v>
      </c>
      <c r="C105" s="509"/>
      <c r="D105" s="510" t="s">
        <v>167</v>
      </c>
      <c r="E105" s="511">
        <f>C62</f>
        <v>0.25</v>
      </c>
      <c r="F105" s="512">
        <f t="shared" ref="F105:T105" si="61">TRUNC((F$12*$E$105),2)</f>
        <v>220</v>
      </c>
      <c r="G105" s="512">
        <f t="shared" si="61"/>
        <v>220</v>
      </c>
      <c r="H105" s="512">
        <f t="shared" si="61"/>
        <v>110</v>
      </c>
      <c r="I105" s="512">
        <f t="shared" si="61"/>
        <v>220</v>
      </c>
      <c r="J105" s="512">
        <f t="shared" si="61"/>
        <v>220</v>
      </c>
      <c r="K105" s="512">
        <f t="shared" si="61"/>
        <v>110</v>
      </c>
      <c r="L105" s="512">
        <f t="shared" si="61"/>
        <v>275</v>
      </c>
      <c r="M105" s="512">
        <f t="shared" si="61"/>
        <v>0</v>
      </c>
      <c r="N105" s="512">
        <f t="shared" si="61"/>
        <v>165</v>
      </c>
      <c r="O105" s="512">
        <f t="shared" si="61"/>
        <v>0</v>
      </c>
      <c r="P105" s="512">
        <f t="shared" si="61"/>
        <v>0</v>
      </c>
      <c r="Q105" s="512">
        <f t="shared" si="61"/>
        <v>220</v>
      </c>
      <c r="R105" s="512">
        <f t="shared" si="61"/>
        <v>220</v>
      </c>
      <c r="S105" s="512">
        <f t="shared" si="61"/>
        <v>440</v>
      </c>
      <c r="T105" s="512">
        <f t="shared" si="61"/>
        <v>220</v>
      </c>
      <c r="V105" s="514"/>
      <c r="W105" s="514"/>
    </row>
    <row r="106" spans="1:23" ht="16.5" customHeight="1" x14ac:dyDescent="0.3">
      <c r="A106" s="377"/>
      <c r="B106" s="263"/>
      <c r="C106" s="157"/>
      <c r="D106" s="258"/>
      <c r="E106" s="158"/>
      <c r="F106" s="407"/>
      <c r="G106" s="407"/>
      <c r="H106" s="407"/>
      <c r="I106" s="407"/>
      <c r="J106" s="407"/>
      <c r="K106" s="407"/>
      <c r="L106" s="407"/>
      <c r="M106" s="407"/>
      <c r="N106" s="407"/>
      <c r="O106" s="407"/>
      <c r="P106" s="407"/>
      <c r="Q106" s="407"/>
      <c r="R106" s="407"/>
      <c r="S106" s="407"/>
      <c r="T106" s="407"/>
      <c r="V106" s="121"/>
      <c r="W106" s="121"/>
    </row>
    <row r="107" spans="1:23" s="128" customFormat="1" ht="16.5" hidden="1" customHeight="1" x14ac:dyDescent="0.3">
      <c r="A107" s="389"/>
      <c r="B107" s="240"/>
      <c r="C107" s="140"/>
      <c r="D107" s="126" t="s">
        <v>167</v>
      </c>
      <c r="E107" s="127"/>
      <c r="F107" s="411">
        <f t="shared" ref="F107:T107" si="62">F64+F74+F88+F92+F96+F101</f>
        <v>220</v>
      </c>
      <c r="G107" s="411">
        <f t="shared" si="62"/>
        <v>220</v>
      </c>
      <c r="H107" s="411">
        <f t="shared" si="62"/>
        <v>110</v>
      </c>
      <c r="I107" s="411">
        <f t="shared" si="62"/>
        <v>220</v>
      </c>
      <c r="J107" s="411">
        <f t="shared" si="62"/>
        <v>220</v>
      </c>
      <c r="K107" s="411">
        <f t="shared" si="62"/>
        <v>110</v>
      </c>
      <c r="L107" s="411">
        <f t="shared" si="62"/>
        <v>275</v>
      </c>
      <c r="M107" s="411">
        <f t="shared" si="62"/>
        <v>0</v>
      </c>
      <c r="N107" s="411">
        <f t="shared" si="62"/>
        <v>165</v>
      </c>
      <c r="O107" s="411">
        <f t="shared" si="62"/>
        <v>0</v>
      </c>
      <c r="P107" s="411">
        <f t="shared" si="62"/>
        <v>0</v>
      </c>
      <c r="Q107" s="411">
        <f t="shared" si="62"/>
        <v>220</v>
      </c>
      <c r="R107" s="411">
        <f t="shared" si="62"/>
        <v>220</v>
      </c>
      <c r="S107" s="411">
        <f t="shared" si="62"/>
        <v>440</v>
      </c>
      <c r="T107" s="411">
        <f t="shared" si="62"/>
        <v>220</v>
      </c>
      <c r="V107" s="129"/>
      <c r="W107" s="129"/>
    </row>
    <row r="108" spans="1:23" ht="16.5" hidden="1" customHeight="1" x14ac:dyDescent="0.3">
      <c r="A108" s="377"/>
      <c r="B108" s="263"/>
      <c r="C108" s="157"/>
      <c r="D108" s="258"/>
      <c r="E108" s="158"/>
      <c r="F108" s="407"/>
      <c r="G108" s="407"/>
      <c r="H108" s="407"/>
      <c r="I108" s="407"/>
      <c r="J108" s="407"/>
      <c r="K108" s="407"/>
      <c r="L108" s="407"/>
      <c r="M108" s="407"/>
      <c r="N108" s="407"/>
      <c r="O108" s="407"/>
      <c r="P108" s="407"/>
      <c r="Q108" s="407"/>
      <c r="R108" s="407"/>
      <c r="S108" s="407"/>
      <c r="T108" s="407"/>
      <c r="V108" s="121"/>
      <c r="W108" s="121"/>
    </row>
    <row r="109" spans="1:23" s="132" customFormat="1" ht="16.5" hidden="1" customHeight="1" x14ac:dyDescent="0.3">
      <c r="A109" s="390"/>
      <c r="B109" s="239"/>
      <c r="C109" s="130"/>
      <c r="D109" s="131"/>
      <c r="E109" s="143" t="s">
        <v>168</v>
      </c>
      <c r="F109" s="412">
        <f>F105-F107</f>
        <v>0</v>
      </c>
      <c r="G109" s="412">
        <f t="shared" ref="G109:T109" si="63">G105-G107</f>
        <v>0</v>
      </c>
      <c r="H109" s="412">
        <f t="shared" si="63"/>
        <v>0</v>
      </c>
      <c r="I109" s="412">
        <f t="shared" si="63"/>
        <v>0</v>
      </c>
      <c r="J109" s="412">
        <f t="shared" si="63"/>
        <v>0</v>
      </c>
      <c r="K109" s="412">
        <f>K105-K107</f>
        <v>0</v>
      </c>
      <c r="L109" s="412">
        <f t="shared" si="63"/>
        <v>0</v>
      </c>
      <c r="M109" s="412">
        <f>M105-M107</f>
        <v>0</v>
      </c>
      <c r="N109" s="412">
        <f t="shared" si="63"/>
        <v>0</v>
      </c>
      <c r="O109" s="412">
        <f t="shared" si="63"/>
        <v>0</v>
      </c>
      <c r="P109" s="412">
        <f t="shared" si="63"/>
        <v>0</v>
      </c>
      <c r="Q109" s="412">
        <f t="shared" si="63"/>
        <v>0</v>
      </c>
      <c r="R109" s="412">
        <f t="shared" si="63"/>
        <v>0</v>
      </c>
      <c r="S109" s="412">
        <f t="shared" si="63"/>
        <v>0</v>
      </c>
      <c r="T109" s="412">
        <f t="shared" si="63"/>
        <v>0</v>
      </c>
      <c r="V109" s="133"/>
      <c r="W109" s="133"/>
    </row>
    <row r="110" spans="1:23" ht="15.6" x14ac:dyDescent="0.3">
      <c r="A110" s="377"/>
      <c r="B110" s="263"/>
      <c r="C110" s="157"/>
      <c r="D110" s="258"/>
      <c r="E110" s="158"/>
      <c r="F110" s="407"/>
      <c r="G110" s="407"/>
      <c r="H110" s="407"/>
      <c r="I110" s="407"/>
      <c r="J110" s="407"/>
      <c r="K110" s="407"/>
      <c r="L110" s="407"/>
      <c r="M110" s="407"/>
      <c r="N110" s="407"/>
      <c r="O110" s="407"/>
      <c r="P110" s="407"/>
      <c r="Q110" s="407"/>
      <c r="R110" s="407"/>
      <c r="S110" s="407"/>
      <c r="T110" s="407"/>
    </row>
    <row r="111" spans="1:23" s="110" customFormat="1" ht="15.6" x14ac:dyDescent="0.3">
      <c r="A111" s="376" t="s">
        <v>55</v>
      </c>
      <c r="B111" s="398" t="s">
        <v>196</v>
      </c>
      <c r="C111" s="134">
        <v>0.25</v>
      </c>
      <c r="D111" s="164"/>
      <c r="E111" s="165"/>
      <c r="F111" s="420">
        <f t="shared" ref="F111:T111" si="64">TRUNC(($C$111*F$12),2)</f>
        <v>220</v>
      </c>
      <c r="G111" s="420">
        <f t="shared" si="64"/>
        <v>220</v>
      </c>
      <c r="H111" s="420">
        <f t="shared" si="64"/>
        <v>110</v>
      </c>
      <c r="I111" s="420">
        <f t="shared" si="64"/>
        <v>220</v>
      </c>
      <c r="J111" s="420">
        <f t="shared" si="64"/>
        <v>220</v>
      </c>
      <c r="K111" s="420">
        <f t="shared" si="64"/>
        <v>110</v>
      </c>
      <c r="L111" s="420">
        <f t="shared" si="64"/>
        <v>275</v>
      </c>
      <c r="M111" s="420">
        <f t="shared" si="64"/>
        <v>0</v>
      </c>
      <c r="N111" s="420">
        <f t="shared" si="64"/>
        <v>165</v>
      </c>
      <c r="O111" s="420">
        <f t="shared" si="64"/>
        <v>0</v>
      </c>
      <c r="P111" s="420">
        <f t="shared" si="64"/>
        <v>0</v>
      </c>
      <c r="Q111" s="420">
        <f t="shared" si="64"/>
        <v>220</v>
      </c>
      <c r="R111" s="420">
        <f t="shared" si="64"/>
        <v>220</v>
      </c>
      <c r="S111" s="420">
        <f t="shared" si="64"/>
        <v>440</v>
      </c>
      <c r="T111" s="420">
        <f t="shared" si="64"/>
        <v>220</v>
      </c>
    </row>
    <row r="112" spans="1:23" ht="15.6" x14ac:dyDescent="0.3">
      <c r="A112" s="377"/>
      <c r="B112" s="241"/>
      <c r="C112" s="157"/>
      <c r="D112" s="258"/>
      <c r="E112" s="158"/>
      <c r="F112" s="407"/>
      <c r="G112" s="407"/>
      <c r="H112" s="407"/>
      <c r="I112" s="407"/>
      <c r="J112" s="407"/>
      <c r="K112" s="407"/>
      <c r="L112" s="407"/>
      <c r="M112" s="407"/>
      <c r="N112" s="407"/>
      <c r="O112" s="407"/>
      <c r="P112" s="407"/>
      <c r="Q112" s="407"/>
      <c r="R112" s="407"/>
      <c r="S112" s="407"/>
      <c r="T112" s="407"/>
    </row>
    <row r="113" spans="1:20" s="122" customFormat="1" ht="15.6" x14ac:dyDescent="0.3">
      <c r="A113" s="378" t="s">
        <v>56</v>
      </c>
      <c r="B113" s="248" t="s">
        <v>197</v>
      </c>
      <c r="C113" s="171"/>
      <c r="D113" s="155"/>
      <c r="E113" s="156"/>
      <c r="F113" s="405">
        <f t="shared" ref="F113:P113" si="65">TRUNC((0.45*F111),2)</f>
        <v>99</v>
      </c>
      <c r="G113" s="405">
        <f t="shared" si="65"/>
        <v>99</v>
      </c>
      <c r="H113" s="405">
        <f t="shared" si="65"/>
        <v>49.5</v>
      </c>
      <c r="I113" s="405">
        <f t="shared" si="65"/>
        <v>99</v>
      </c>
      <c r="J113" s="405">
        <f t="shared" si="65"/>
        <v>99</v>
      </c>
      <c r="K113" s="405">
        <f t="shared" si="65"/>
        <v>49.5</v>
      </c>
      <c r="L113" s="405">
        <f t="shared" si="65"/>
        <v>123.75</v>
      </c>
      <c r="M113" s="405">
        <f t="shared" si="65"/>
        <v>0</v>
      </c>
      <c r="N113" s="405">
        <f t="shared" si="65"/>
        <v>74.25</v>
      </c>
      <c r="O113" s="405">
        <f t="shared" si="65"/>
        <v>0</v>
      </c>
      <c r="P113" s="405">
        <f t="shared" si="65"/>
        <v>0</v>
      </c>
      <c r="Q113" s="405">
        <f t="shared" ref="Q113:T113" si="66">TRUNC((0.45*Q111),2)</f>
        <v>99</v>
      </c>
      <c r="R113" s="405">
        <f t="shared" si="66"/>
        <v>99</v>
      </c>
      <c r="S113" s="405">
        <f t="shared" si="66"/>
        <v>198</v>
      </c>
      <c r="T113" s="405">
        <f t="shared" si="66"/>
        <v>99</v>
      </c>
    </row>
    <row r="114" spans="1:20" ht="15.6" x14ac:dyDescent="0.3">
      <c r="A114" s="379" t="s">
        <v>198</v>
      </c>
      <c r="B114" s="482" t="s">
        <v>119</v>
      </c>
      <c r="C114" s="173"/>
      <c r="D114" s="174" t="s">
        <v>120</v>
      </c>
      <c r="E114" s="175"/>
      <c r="F114" s="403">
        <f>0.5*F113</f>
        <v>49.5</v>
      </c>
      <c r="G114" s="403">
        <f>0.5*G113</f>
        <v>49.5</v>
      </c>
      <c r="H114" s="403">
        <f>0.5*H113</f>
        <v>24.75</v>
      </c>
      <c r="I114" s="403">
        <f>0.1*I113</f>
        <v>9.9</v>
      </c>
      <c r="J114" s="403">
        <f>0.1*J113</f>
        <v>9.9</v>
      </c>
      <c r="K114" s="403">
        <f>0.1*K113</f>
        <v>4.95</v>
      </c>
      <c r="L114" s="403"/>
      <c r="M114" s="403"/>
      <c r="N114" s="403"/>
      <c r="O114" s="403"/>
      <c r="P114" s="403">
        <f>1*P113</f>
        <v>0</v>
      </c>
      <c r="Q114" s="403">
        <f>0.1*Q113</f>
        <v>9.9</v>
      </c>
      <c r="R114" s="403">
        <f>0.1*R113</f>
        <v>9.9</v>
      </c>
      <c r="S114" s="403">
        <f>0.1*S113</f>
        <v>19.8</v>
      </c>
      <c r="T114" s="403">
        <f>0.1*T113</f>
        <v>9.9</v>
      </c>
    </row>
    <row r="115" spans="1:20" ht="15.6" x14ac:dyDescent="0.3">
      <c r="A115" s="379" t="s">
        <v>199</v>
      </c>
      <c r="B115" s="482" t="s">
        <v>122</v>
      </c>
      <c r="C115" s="173"/>
      <c r="D115" s="174" t="s">
        <v>120</v>
      </c>
      <c r="E115" s="175"/>
      <c r="F115" s="403"/>
      <c r="G115" s="403"/>
      <c r="H115" s="403"/>
      <c r="I115" s="403"/>
      <c r="J115" s="403"/>
      <c r="K115" s="403"/>
      <c r="L115" s="403">
        <f>0.3*L113</f>
        <v>37.125</v>
      </c>
      <c r="M115" s="403">
        <f>0.3*M113</f>
        <v>0</v>
      </c>
      <c r="N115" s="403"/>
      <c r="O115" s="403"/>
      <c r="P115" s="403"/>
      <c r="Q115" s="403">
        <f>0.15*Q113</f>
        <v>14.85</v>
      </c>
      <c r="R115" s="403">
        <f>0.15*R113</f>
        <v>14.85</v>
      </c>
      <c r="S115" s="403">
        <f>0.15*S113</f>
        <v>29.7</v>
      </c>
      <c r="T115" s="403">
        <f>0.15*T113</f>
        <v>14.85</v>
      </c>
    </row>
    <row r="116" spans="1:20" ht="15.6" x14ac:dyDescent="0.3">
      <c r="A116" s="379" t="s">
        <v>200</v>
      </c>
      <c r="B116" s="482" t="s">
        <v>124</v>
      </c>
      <c r="C116" s="173"/>
      <c r="D116" s="174" t="s">
        <v>120</v>
      </c>
      <c r="E116" s="175"/>
      <c r="F116" s="403"/>
      <c r="G116" s="403"/>
      <c r="H116" s="403"/>
      <c r="I116" s="403"/>
      <c r="J116" s="403"/>
      <c r="K116" s="403"/>
      <c r="L116" s="403">
        <f>0.3*L113</f>
        <v>37.125</v>
      </c>
      <c r="M116" s="403">
        <f>0.3*M113</f>
        <v>0</v>
      </c>
      <c r="N116" s="403"/>
      <c r="O116" s="403"/>
      <c r="P116" s="403"/>
      <c r="Q116" s="403">
        <f>0.15*Q113</f>
        <v>14.85</v>
      </c>
      <c r="R116" s="403">
        <f>0.15*R113</f>
        <v>14.85</v>
      </c>
      <c r="S116" s="403">
        <f>0.15*S113</f>
        <v>29.7</v>
      </c>
      <c r="T116" s="403">
        <f>0.15*T113</f>
        <v>14.85</v>
      </c>
    </row>
    <row r="117" spans="1:20" ht="15.6" x14ac:dyDescent="0.3">
      <c r="A117" s="379" t="s">
        <v>201</v>
      </c>
      <c r="B117" s="567" t="s">
        <v>126</v>
      </c>
      <c r="C117" s="173"/>
      <c r="D117" s="174" t="s">
        <v>120</v>
      </c>
      <c r="E117" s="175"/>
      <c r="F117" s="403"/>
      <c r="G117" s="403"/>
      <c r="H117" s="403"/>
      <c r="I117" s="403"/>
      <c r="J117" s="403"/>
      <c r="K117" s="403"/>
      <c r="L117" s="403">
        <f>0.05*L113</f>
        <v>6.1875</v>
      </c>
      <c r="M117" s="403">
        <f>0.05*M113</f>
        <v>0</v>
      </c>
      <c r="N117" s="403">
        <f>0.4*N113</f>
        <v>29.700000000000003</v>
      </c>
      <c r="O117" s="403">
        <f>0.4*O113</f>
        <v>0</v>
      </c>
      <c r="P117" s="403"/>
      <c r="Q117" s="403">
        <f>0.1*Q113</f>
        <v>9.9</v>
      </c>
      <c r="R117" s="403">
        <f>0.1*R113</f>
        <v>9.9</v>
      </c>
      <c r="S117" s="403">
        <f>0.1*S113</f>
        <v>19.8</v>
      </c>
      <c r="T117" s="403">
        <f>0.1*T113</f>
        <v>9.9</v>
      </c>
    </row>
    <row r="118" spans="1:20" ht="15.6" x14ac:dyDescent="0.3">
      <c r="A118" s="379" t="s">
        <v>202</v>
      </c>
      <c r="B118" s="482" t="s">
        <v>128</v>
      </c>
      <c r="C118" s="173"/>
      <c r="D118" s="174" t="s">
        <v>120</v>
      </c>
      <c r="E118" s="175"/>
      <c r="F118" s="403"/>
      <c r="G118" s="403"/>
      <c r="H118" s="403"/>
      <c r="I118" s="403"/>
      <c r="J118" s="403"/>
      <c r="K118" s="403"/>
      <c r="L118" s="403">
        <f>0.3*L113</f>
        <v>37.125</v>
      </c>
      <c r="M118" s="403">
        <f>0.3*M113</f>
        <v>0</v>
      </c>
      <c r="N118" s="403"/>
      <c r="O118" s="403"/>
      <c r="P118" s="403"/>
      <c r="Q118" s="403">
        <f>0.15*Q113</f>
        <v>14.85</v>
      </c>
      <c r="R118" s="403">
        <f>0.15*R113</f>
        <v>14.85</v>
      </c>
      <c r="S118" s="403">
        <f>0.15*S113</f>
        <v>29.7</v>
      </c>
      <c r="T118" s="403">
        <f>0.15*T113</f>
        <v>14.85</v>
      </c>
    </row>
    <row r="119" spans="1:20" ht="15.6" x14ac:dyDescent="0.3">
      <c r="A119" s="379" t="s">
        <v>203</v>
      </c>
      <c r="B119" s="482" t="s">
        <v>130</v>
      </c>
      <c r="C119" s="173"/>
      <c r="D119" s="174" t="s">
        <v>120</v>
      </c>
      <c r="E119" s="175"/>
      <c r="F119" s="403"/>
      <c r="G119" s="403"/>
      <c r="H119" s="403"/>
      <c r="I119" s="403"/>
      <c r="J119" s="403"/>
      <c r="K119" s="403"/>
      <c r="L119" s="403">
        <f>0.05*L113</f>
        <v>6.1875</v>
      </c>
      <c r="M119" s="403">
        <f>0.05*M113</f>
        <v>0</v>
      </c>
      <c r="N119" s="403">
        <f>0.6*N113</f>
        <v>44.55</v>
      </c>
      <c r="O119" s="403">
        <f>0.6*O113</f>
        <v>0</v>
      </c>
      <c r="P119" s="403"/>
      <c r="Q119" s="403">
        <f>0.15*Q113</f>
        <v>14.85</v>
      </c>
      <c r="R119" s="403">
        <f>0.15*R113</f>
        <v>14.85</v>
      </c>
      <c r="S119" s="403">
        <f>0.15*S113</f>
        <v>29.7</v>
      </c>
      <c r="T119" s="403">
        <f>0.15*T113</f>
        <v>14.85</v>
      </c>
    </row>
    <row r="120" spans="1:20" ht="15.6" x14ac:dyDescent="0.3">
      <c r="A120" s="379" t="s">
        <v>204</v>
      </c>
      <c r="B120" s="482" t="s">
        <v>132</v>
      </c>
      <c r="C120" s="173"/>
      <c r="D120" s="174" t="s">
        <v>120</v>
      </c>
      <c r="E120" s="175"/>
      <c r="F120" s="403">
        <f>0.5*F113</f>
        <v>49.5</v>
      </c>
      <c r="G120" s="403">
        <f>0.5*G113</f>
        <v>49.5</v>
      </c>
      <c r="H120" s="403">
        <f>0.5*H113</f>
        <v>24.75</v>
      </c>
      <c r="I120" s="403">
        <f>0.9*I113</f>
        <v>89.100000000000009</v>
      </c>
      <c r="J120" s="403">
        <f>0.9*J113</f>
        <v>89.100000000000009</v>
      </c>
      <c r="K120" s="403">
        <f>0.9*K113</f>
        <v>44.550000000000004</v>
      </c>
      <c r="L120" s="403"/>
      <c r="M120" s="403"/>
      <c r="N120" s="403"/>
      <c r="O120" s="403"/>
      <c r="P120" s="403"/>
      <c r="Q120" s="403">
        <f>0.2*Q113</f>
        <v>19.8</v>
      </c>
      <c r="R120" s="403">
        <f>0.2*R113</f>
        <v>19.8</v>
      </c>
      <c r="S120" s="403">
        <f>0.2*S113</f>
        <v>39.6</v>
      </c>
      <c r="T120" s="403">
        <f>0.2*T113</f>
        <v>19.8</v>
      </c>
    </row>
    <row r="121" spans="1:20" s="99" customFormat="1" ht="15.6" hidden="1" x14ac:dyDescent="0.3">
      <c r="A121" s="380"/>
      <c r="B121" s="247"/>
      <c r="C121" s="139"/>
      <c r="D121" s="97"/>
      <c r="E121" s="98"/>
      <c r="F121" s="404">
        <f t="shared" ref="F121:K121" si="67">F113-SUM(F114:F120)</f>
        <v>0</v>
      </c>
      <c r="G121" s="404">
        <f t="shared" si="67"/>
        <v>0</v>
      </c>
      <c r="H121" s="404">
        <f t="shared" si="67"/>
        <v>0</v>
      </c>
      <c r="I121" s="404">
        <f t="shared" si="67"/>
        <v>0</v>
      </c>
      <c r="J121" s="404">
        <f t="shared" si="67"/>
        <v>0</v>
      </c>
      <c r="K121" s="404">
        <f t="shared" si="67"/>
        <v>0</v>
      </c>
      <c r="L121" s="404">
        <f t="shared" ref="L121:O121" si="68">L113-SUM(L114:L120)</f>
        <v>0</v>
      </c>
      <c r="M121" s="404">
        <f t="shared" si="68"/>
        <v>0</v>
      </c>
      <c r="N121" s="404">
        <f t="shared" si="68"/>
        <v>0</v>
      </c>
      <c r="O121" s="404">
        <f t="shared" si="68"/>
        <v>0</v>
      </c>
      <c r="P121" s="404">
        <f>P113-SUM(P114:P120)</f>
        <v>0</v>
      </c>
      <c r="Q121" s="404">
        <f>Q113-SUM(Q114:Q120)</f>
        <v>0</v>
      </c>
      <c r="R121" s="404">
        <f>R113-SUM(R114:R120)</f>
        <v>0</v>
      </c>
      <c r="S121" s="404">
        <f>S113-SUM(S114:S120)</f>
        <v>0</v>
      </c>
      <c r="T121" s="404">
        <f>T113-SUM(T114:T120)</f>
        <v>0</v>
      </c>
    </row>
    <row r="122" spans="1:20" ht="15.6" x14ac:dyDescent="0.3">
      <c r="A122" s="377"/>
      <c r="B122" s="263"/>
      <c r="C122" s="157"/>
      <c r="D122" s="258"/>
      <c r="E122" s="158"/>
      <c r="F122" s="270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407"/>
    </row>
    <row r="123" spans="1:20" s="122" customFormat="1" ht="15.6" x14ac:dyDescent="0.3">
      <c r="A123" s="378" t="s">
        <v>57</v>
      </c>
      <c r="B123" s="265" t="s">
        <v>489</v>
      </c>
      <c r="C123" s="171"/>
      <c r="D123" s="155"/>
      <c r="E123" s="156"/>
      <c r="F123" s="402">
        <f t="shared" ref="F123:T123" si="69">TRUNC((0.15*F111),2)</f>
        <v>33</v>
      </c>
      <c r="G123" s="402">
        <f t="shared" si="69"/>
        <v>33</v>
      </c>
      <c r="H123" s="402">
        <f t="shared" si="69"/>
        <v>16.5</v>
      </c>
      <c r="I123" s="402">
        <f t="shared" si="69"/>
        <v>33</v>
      </c>
      <c r="J123" s="402">
        <f t="shared" si="69"/>
        <v>33</v>
      </c>
      <c r="K123" s="402">
        <f t="shared" si="69"/>
        <v>16.5</v>
      </c>
      <c r="L123" s="402">
        <f t="shared" si="69"/>
        <v>41.25</v>
      </c>
      <c r="M123" s="402">
        <f t="shared" si="69"/>
        <v>0</v>
      </c>
      <c r="N123" s="402">
        <f t="shared" si="69"/>
        <v>24.75</v>
      </c>
      <c r="O123" s="402">
        <f t="shared" si="69"/>
        <v>0</v>
      </c>
      <c r="P123" s="402">
        <f t="shared" si="69"/>
        <v>0</v>
      </c>
      <c r="Q123" s="402">
        <f t="shared" si="69"/>
        <v>33</v>
      </c>
      <c r="R123" s="402">
        <f t="shared" si="69"/>
        <v>33</v>
      </c>
      <c r="S123" s="402">
        <f t="shared" si="69"/>
        <v>66</v>
      </c>
      <c r="T123" s="402">
        <f t="shared" si="69"/>
        <v>33</v>
      </c>
    </row>
    <row r="124" spans="1:20" ht="15.6" x14ac:dyDescent="0.3">
      <c r="A124" s="379" t="s">
        <v>205</v>
      </c>
      <c r="B124" s="263" t="s">
        <v>134</v>
      </c>
      <c r="C124" s="173"/>
      <c r="D124" s="174" t="s">
        <v>120</v>
      </c>
      <c r="E124" s="175"/>
      <c r="F124" s="403">
        <f>0.1*F123</f>
        <v>3.3000000000000003</v>
      </c>
      <c r="G124" s="403">
        <f>0.1*G123</f>
        <v>3.3000000000000003</v>
      </c>
      <c r="H124" s="403">
        <f>0.1*H123</f>
        <v>1.6500000000000001</v>
      </c>
      <c r="I124" s="403">
        <f>0.6*I123</f>
        <v>19.8</v>
      </c>
      <c r="J124" s="403">
        <f>0.6*J123</f>
        <v>19.8</v>
      </c>
      <c r="K124" s="403">
        <f>0.6*K123</f>
        <v>9.9</v>
      </c>
      <c r="L124" s="403"/>
      <c r="M124" s="403"/>
      <c r="N124" s="403"/>
      <c r="O124" s="403"/>
      <c r="P124" s="403"/>
      <c r="Q124" s="403">
        <f>0.1*Q123</f>
        <v>3.3000000000000003</v>
      </c>
      <c r="R124" s="403">
        <f>0.1*R123</f>
        <v>3.3000000000000003</v>
      </c>
      <c r="S124" s="403">
        <f>0.1*S123</f>
        <v>6.6000000000000005</v>
      </c>
      <c r="T124" s="403">
        <f>0.1*T123</f>
        <v>3.3000000000000003</v>
      </c>
    </row>
    <row r="125" spans="1:20" ht="15.6" x14ac:dyDescent="0.3">
      <c r="A125" s="379" t="s">
        <v>206</v>
      </c>
      <c r="B125" s="264" t="s">
        <v>136</v>
      </c>
      <c r="C125" s="173"/>
      <c r="D125" s="174" t="s">
        <v>120</v>
      </c>
      <c r="E125" s="175"/>
      <c r="F125" s="403">
        <f>0.3*F123</f>
        <v>9.9</v>
      </c>
      <c r="G125" s="403">
        <f>0.3*G123</f>
        <v>9.9</v>
      </c>
      <c r="H125" s="403">
        <f>0.3*H123</f>
        <v>4.95</v>
      </c>
      <c r="I125" s="403">
        <f>0.1*I123</f>
        <v>3.3000000000000003</v>
      </c>
      <c r="J125" s="403">
        <f>0.1*J123</f>
        <v>3.3000000000000003</v>
      </c>
      <c r="K125" s="403">
        <f>0.1*K123</f>
        <v>1.6500000000000001</v>
      </c>
      <c r="L125" s="403"/>
      <c r="M125" s="403"/>
      <c r="N125" s="403"/>
      <c r="O125" s="403"/>
      <c r="P125" s="403"/>
      <c r="Q125" s="403">
        <f>0.1*Q123</f>
        <v>3.3000000000000003</v>
      </c>
      <c r="R125" s="403">
        <f>0.1*R123</f>
        <v>3.3000000000000003</v>
      </c>
      <c r="S125" s="403">
        <f>0.1*S123</f>
        <v>6.6000000000000005</v>
      </c>
      <c r="T125" s="403">
        <f>0.1*T123</f>
        <v>3.3000000000000003</v>
      </c>
    </row>
    <row r="126" spans="1:20" ht="15.6" x14ac:dyDescent="0.3">
      <c r="A126" s="379" t="s">
        <v>207</v>
      </c>
      <c r="B126" s="263" t="s">
        <v>138</v>
      </c>
      <c r="C126" s="173"/>
      <c r="D126" s="174" t="s">
        <v>120</v>
      </c>
      <c r="E126" s="175"/>
      <c r="F126" s="403"/>
      <c r="G126" s="403"/>
      <c r="H126" s="403"/>
      <c r="I126" s="403"/>
      <c r="J126" s="403"/>
      <c r="K126" s="403"/>
      <c r="L126" s="403">
        <f>0.2*L123</f>
        <v>8.25</v>
      </c>
      <c r="M126" s="403">
        <f>0.2*M123</f>
        <v>0</v>
      </c>
      <c r="N126" s="403"/>
      <c r="O126" s="403"/>
      <c r="P126" s="403"/>
      <c r="Q126" s="403">
        <f>0.1*Q123</f>
        <v>3.3000000000000003</v>
      </c>
      <c r="R126" s="403">
        <f>0.1*R123</f>
        <v>3.3000000000000003</v>
      </c>
      <c r="S126" s="403">
        <f>0.1*S123</f>
        <v>6.6000000000000005</v>
      </c>
      <c r="T126" s="403">
        <f>0.1*T123</f>
        <v>3.3000000000000003</v>
      </c>
    </row>
    <row r="127" spans="1:20" ht="15.6" x14ac:dyDescent="0.3">
      <c r="A127" s="379" t="s">
        <v>208</v>
      </c>
      <c r="B127" s="264" t="s">
        <v>140</v>
      </c>
      <c r="C127" s="173"/>
      <c r="D127" s="174" t="s">
        <v>120</v>
      </c>
      <c r="E127" s="175"/>
      <c r="F127" s="403"/>
      <c r="G127" s="403"/>
      <c r="H127" s="403"/>
      <c r="I127" s="403"/>
      <c r="J127" s="403"/>
      <c r="K127" s="403"/>
      <c r="L127" s="403">
        <f>0.2*L123</f>
        <v>8.25</v>
      </c>
      <c r="M127" s="403">
        <f>0.2*M123</f>
        <v>0</v>
      </c>
      <c r="N127" s="403"/>
      <c r="O127" s="403"/>
      <c r="P127" s="403"/>
      <c r="Q127" s="403">
        <f>0.1*Q123</f>
        <v>3.3000000000000003</v>
      </c>
      <c r="R127" s="403">
        <f>0.1*R123</f>
        <v>3.3000000000000003</v>
      </c>
      <c r="S127" s="403">
        <f>0.1*S123</f>
        <v>6.6000000000000005</v>
      </c>
      <c r="T127" s="403">
        <f>0.1*T123</f>
        <v>3.3000000000000003</v>
      </c>
    </row>
    <row r="128" spans="1:20" ht="15.6" x14ac:dyDescent="0.3">
      <c r="A128" s="379" t="s">
        <v>209</v>
      </c>
      <c r="B128" s="263" t="s">
        <v>142</v>
      </c>
      <c r="C128" s="173"/>
      <c r="D128" s="174" t="s">
        <v>120</v>
      </c>
      <c r="E128" s="175"/>
      <c r="F128" s="403"/>
      <c r="G128" s="403"/>
      <c r="H128" s="403"/>
      <c r="I128" s="403"/>
      <c r="J128" s="403"/>
      <c r="K128" s="403"/>
      <c r="L128" s="403">
        <f>0.15*L123</f>
        <v>6.1875</v>
      </c>
      <c r="M128" s="403">
        <f>0.15*M123</f>
        <v>0</v>
      </c>
      <c r="N128" s="403"/>
      <c r="O128" s="403"/>
      <c r="P128" s="403"/>
      <c r="Q128" s="403">
        <f>0.05*Q123</f>
        <v>1.6500000000000001</v>
      </c>
      <c r="R128" s="403">
        <f>0.05*R123</f>
        <v>1.6500000000000001</v>
      </c>
      <c r="S128" s="403">
        <f>0.05*S123</f>
        <v>3.3000000000000003</v>
      </c>
      <c r="T128" s="403">
        <f>0.05*T123</f>
        <v>1.6500000000000001</v>
      </c>
    </row>
    <row r="129" spans="1:20" ht="15.6" x14ac:dyDescent="0.3">
      <c r="A129" s="379" t="s">
        <v>210</v>
      </c>
      <c r="B129" s="263" t="s">
        <v>144</v>
      </c>
      <c r="C129" s="173"/>
      <c r="D129" s="174" t="s">
        <v>120</v>
      </c>
      <c r="E129" s="175"/>
      <c r="F129" s="403"/>
      <c r="G129" s="403"/>
      <c r="H129" s="403"/>
      <c r="I129" s="403"/>
      <c r="J129" s="403"/>
      <c r="K129" s="403"/>
      <c r="L129" s="403">
        <f>0.15*L123</f>
        <v>6.1875</v>
      </c>
      <c r="M129" s="403">
        <f>0.15*M123</f>
        <v>0</v>
      </c>
      <c r="N129" s="403"/>
      <c r="O129" s="403"/>
      <c r="P129" s="403"/>
      <c r="Q129" s="403">
        <f>0.05*Q123</f>
        <v>1.6500000000000001</v>
      </c>
      <c r="R129" s="403">
        <f>0.05*R123</f>
        <v>1.6500000000000001</v>
      </c>
      <c r="S129" s="403">
        <f>0.05*S123</f>
        <v>3.3000000000000003</v>
      </c>
      <c r="T129" s="403">
        <f>0.05*T123</f>
        <v>1.6500000000000001</v>
      </c>
    </row>
    <row r="130" spans="1:20" ht="15.6" x14ac:dyDescent="0.3">
      <c r="A130" s="379" t="s">
        <v>211</v>
      </c>
      <c r="B130" s="263" t="s">
        <v>146</v>
      </c>
      <c r="C130" s="173"/>
      <c r="D130" s="174" t="s">
        <v>120</v>
      </c>
      <c r="E130" s="175"/>
      <c r="F130" s="403">
        <f>0.15*F123</f>
        <v>4.95</v>
      </c>
      <c r="G130" s="403">
        <f>0.15*G123</f>
        <v>4.95</v>
      </c>
      <c r="H130" s="403">
        <f>0.15*H123</f>
        <v>2.4750000000000001</v>
      </c>
      <c r="I130" s="403">
        <f>0.1*I123</f>
        <v>3.3000000000000003</v>
      </c>
      <c r="J130" s="403">
        <f>0.1*J123</f>
        <v>3.3000000000000003</v>
      </c>
      <c r="K130" s="403">
        <f>0.1*K123</f>
        <v>1.6500000000000001</v>
      </c>
      <c r="L130" s="403">
        <f>0.15*L123</f>
        <v>6.1875</v>
      </c>
      <c r="M130" s="403">
        <f>0.15*M123</f>
        <v>0</v>
      </c>
      <c r="N130" s="403"/>
      <c r="O130" s="403"/>
      <c r="P130" s="403"/>
      <c r="Q130" s="403">
        <f>0.1*Q123</f>
        <v>3.3000000000000003</v>
      </c>
      <c r="R130" s="403">
        <f>0.1*R123</f>
        <v>3.3000000000000003</v>
      </c>
      <c r="S130" s="403">
        <f>0.1*S123</f>
        <v>6.6000000000000005</v>
      </c>
      <c r="T130" s="403">
        <f>0.1*T123</f>
        <v>3.3000000000000003</v>
      </c>
    </row>
    <row r="131" spans="1:20" ht="15.6" x14ac:dyDescent="0.3">
      <c r="A131" s="379" t="s">
        <v>212</v>
      </c>
      <c r="B131" s="263" t="s">
        <v>148</v>
      </c>
      <c r="C131" s="173"/>
      <c r="D131" s="174" t="s">
        <v>120</v>
      </c>
      <c r="E131" s="175"/>
      <c r="F131" s="403"/>
      <c r="G131" s="403"/>
      <c r="H131" s="403"/>
      <c r="I131" s="403"/>
      <c r="J131" s="403"/>
      <c r="K131" s="403"/>
      <c r="L131" s="403">
        <f>0.15*L123</f>
        <v>6.1875</v>
      </c>
      <c r="M131" s="403">
        <f>0.15*M123</f>
        <v>0</v>
      </c>
      <c r="N131" s="403">
        <f>0.6*N123</f>
        <v>14.85</v>
      </c>
      <c r="O131" s="403">
        <f>0.6*O123</f>
        <v>0</v>
      </c>
      <c r="P131" s="403"/>
      <c r="Q131" s="403">
        <f>0.1*Q123</f>
        <v>3.3000000000000003</v>
      </c>
      <c r="R131" s="403">
        <f>0.1*R123</f>
        <v>3.3000000000000003</v>
      </c>
      <c r="S131" s="403">
        <f>0.1*S123</f>
        <v>6.6000000000000005</v>
      </c>
      <c r="T131" s="403">
        <f>0.1*T123</f>
        <v>3.3000000000000003</v>
      </c>
    </row>
    <row r="132" spans="1:20" ht="15.6" x14ac:dyDescent="0.3">
      <c r="A132" s="379" t="s">
        <v>213</v>
      </c>
      <c r="B132" s="233" t="s">
        <v>150</v>
      </c>
      <c r="C132" s="173"/>
      <c r="D132" s="174" t="s">
        <v>120</v>
      </c>
      <c r="E132" s="175"/>
      <c r="F132" s="403"/>
      <c r="G132" s="403"/>
      <c r="H132" s="403"/>
      <c r="I132" s="403"/>
      <c r="J132" s="403"/>
      <c r="K132" s="403"/>
      <c r="L132" s="403"/>
      <c r="M132" s="403"/>
      <c r="N132" s="403">
        <f>0.4*N123</f>
        <v>9.9</v>
      </c>
      <c r="O132" s="403">
        <f>0.4*O123</f>
        <v>0</v>
      </c>
      <c r="P132" s="403"/>
      <c r="Q132" s="403">
        <f>0.1*Q123</f>
        <v>3.3000000000000003</v>
      </c>
      <c r="R132" s="403">
        <f>0.1*R123</f>
        <v>3.3000000000000003</v>
      </c>
      <c r="S132" s="403">
        <f>0.1*S123</f>
        <v>6.6000000000000005</v>
      </c>
      <c r="T132" s="403">
        <f>0.1*T123</f>
        <v>3.3000000000000003</v>
      </c>
    </row>
    <row r="133" spans="1:20" ht="15.6" x14ac:dyDescent="0.3">
      <c r="A133" s="379" t="s">
        <v>214</v>
      </c>
      <c r="B133" s="263" t="s">
        <v>152</v>
      </c>
      <c r="C133" s="173"/>
      <c r="D133" s="174" t="s">
        <v>120</v>
      </c>
      <c r="E133" s="175"/>
      <c r="F133" s="403">
        <f>0.3*F123</f>
        <v>9.9</v>
      </c>
      <c r="G133" s="403">
        <f>0.3*G123</f>
        <v>9.9</v>
      </c>
      <c r="H133" s="403">
        <f>0.3*H123</f>
        <v>4.95</v>
      </c>
      <c r="I133" s="403">
        <f>0.1*I123</f>
        <v>3.3000000000000003</v>
      </c>
      <c r="J133" s="403">
        <f>0.1*J123</f>
        <v>3.3000000000000003</v>
      </c>
      <c r="K133" s="403">
        <f>0.1*K123</f>
        <v>1.6500000000000001</v>
      </c>
      <c r="L133" s="403"/>
      <c r="M133" s="403"/>
      <c r="N133" s="403"/>
      <c r="O133" s="403"/>
      <c r="P133" s="403">
        <f>0.4*P123</f>
        <v>0</v>
      </c>
      <c r="Q133" s="403">
        <f>0.1*Q123</f>
        <v>3.3000000000000003</v>
      </c>
      <c r="R133" s="403">
        <f>0.1*R123</f>
        <v>3.3000000000000003</v>
      </c>
      <c r="S133" s="403">
        <f>0.1*S123</f>
        <v>6.6000000000000005</v>
      </c>
      <c r="T133" s="403">
        <f>0.1*T123</f>
        <v>3.3000000000000003</v>
      </c>
    </row>
    <row r="134" spans="1:20" ht="15.6" x14ac:dyDescent="0.3">
      <c r="A134" s="379" t="s">
        <v>215</v>
      </c>
      <c r="B134" s="263" t="s">
        <v>154</v>
      </c>
      <c r="C134" s="173"/>
      <c r="D134" s="174" t="s">
        <v>120</v>
      </c>
      <c r="E134" s="175"/>
      <c r="F134" s="403">
        <f>0.15*F123</f>
        <v>4.95</v>
      </c>
      <c r="G134" s="403">
        <f>0.15*G123</f>
        <v>4.95</v>
      </c>
      <c r="H134" s="403">
        <f>0.15*H123</f>
        <v>2.4750000000000001</v>
      </c>
      <c r="I134" s="403">
        <f>0.1*I123</f>
        <v>3.3000000000000003</v>
      </c>
      <c r="J134" s="403">
        <f>0.1*J123</f>
        <v>3.3000000000000003</v>
      </c>
      <c r="K134" s="403">
        <f>0.1*K123</f>
        <v>1.6500000000000001</v>
      </c>
      <c r="L134" s="403"/>
      <c r="M134" s="403"/>
      <c r="N134" s="403"/>
      <c r="O134" s="403"/>
      <c r="P134" s="403"/>
      <c r="Q134" s="403">
        <f>0.1*Q123</f>
        <v>3.3000000000000003</v>
      </c>
      <c r="R134" s="403">
        <f>0.1*R123</f>
        <v>3.3000000000000003</v>
      </c>
      <c r="S134" s="403">
        <f>0.1*S123</f>
        <v>6.6000000000000005</v>
      </c>
      <c r="T134" s="403">
        <f>0.1*T123</f>
        <v>3.3000000000000003</v>
      </c>
    </row>
    <row r="135" spans="1:20" ht="15.6" hidden="1" x14ac:dyDescent="0.3">
      <c r="A135" s="377"/>
      <c r="B135" s="263"/>
      <c r="C135" s="157"/>
      <c r="D135" s="258"/>
      <c r="E135" s="158"/>
      <c r="F135" s="404">
        <f t="shared" ref="F135:P135" si="70">F123-SUM(F124:F134)</f>
        <v>0</v>
      </c>
      <c r="G135" s="404">
        <f t="shared" si="70"/>
        <v>0</v>
      </c>
      <c r="H135" s="404">
        <f t="shared" si="70"/>
        <v>0</v>
      </c>
      <c r="I135" s="404">
        <f t="shared" si="70"/>
        <v>0</v>
      </c>
      <c r="J135" s="404">
        <f t="shared" si="70"/>
        <v>0</v>
      </c>
      <c r="K135" s="404">
        <f t="shared" si="70"/>
        <v>0</v>
      </c>
      <c r="L135" s="404">
        <f t="shared" si="70"/>
        <v>0</v>
      </c>
      <c r="M135" s="404">
        <f t="shared" si="70"/>
        <v>0</v>
      </c>
      <c r="N135" s="404">
        <f t="shared" si="70"/>
        <v>0</v>
      </c>
      <c r="O135" s="404">
        <f t="shared" si="70"/>
        <v>0</v>
      </c>
      <c r="P135" s="404">
        <f t="shared" si="70"/>
        <v>0</v>
      </c>
      <c r="Q135" s="404">
        <f t="shared" ref="Q135:T135" si="71">Q123-SUM(Q124:Q134)</f>
        <v>0</v>
      </c>
      <c r="R135" s="404">
        <f t="shared" si="71"/>
        <v>0</v>
      </c>
      <c r="S135" s="404">
        <f t="shared" si="71"/>
        <v>0</v>
      </c>
      <c r="T135" s="404">
        <f t="shared" si="71"/>
        <v>0</v>
      </c>
    </row>
    <row r="136" spans="1:20" ht="15.6" x14ac:dyDescent="0.3">
      <c r="A136" s="377"/>
      <c r="B136" s="263"/>
      <c r="C136" s="157"/>
      <c r="D136" s="258"/>
      <c r="E136" s="158"/>
      <c r="F136" s="270"/>
      <c r="G136" s="270"/>
      <c r="H136" s="270"/>
      <c r="I136" s="270"/>
      <c r="J136" s="270"/>
      <c r="K136" s="270"/>
      <c r="L136" s="268"/>
      <c r="M136" s="268"/>
      <c r="N136" s="268"/>
      <c r="O136" s="268"/>
      <c r="P136" s="268"/>
      <c r="Q136" s="268"/>
      <c r="R136" s="268"/>
      <c r="S136" s="268"/>
      <c r="T136" s="407"/>
    </row>
    <row r="137" spans="1:20" s="122" customFormat="1" ht="15.6" x14ac:dyDescent="0.3">
      <c r="A137" s="378" t="s">
        <v>58</v>
      </c>
      <c r="B137" s="245" t="s">
        <v>490</v>
      </c>
      <c r="C137" s="171"/>
      <c r="D137" s="155"/>
      <c r="E137" s="156"/>
      <c r="F137" s="402">
        <f t="shared" ref="F137:L137" si="72">TRUNC((0.05*F111),2)</f>
        <v>11</v>
      </c>
      <c r="G137" s="402">
        <f t="shared" si="72"/>
        <v>11</v>
      </c>
      <c r="H137" s="402">
        <f t="shared" si="72"/>
        <v>5.5</v>
      </c>
      <c r="I137" s="402">
        <f t="shared" si="72"/>
        <v>11</v>
      </c>
      <c r="J137" s="402">
        <f t="shared" si="72"/>
        <v>11</v>
      </c>
      <c r="K137" s="402">
        <f t="shared" si="72"/>
        <v>5.5</v>
      </c>
      <c r="L137" s="402">
        <f t="shared" si="72"/>
        <v>13.75</v>
      </c>
      <c r="M137" s="402">
        <f t="shared" ref="M137:P137" si="73">TRUNC((0.1*M111),2)</f>
        <v>0</v>
      </c>
      <c r="N137" s="402">
        <f>TRUNC((0.05*N111),2)</f>
        <v>8.25</v>
      </c>
      <c r="O137" s="402">
        <f t="shared" si="73"/>
        <v>0</v>
      </c>
      <c r="P137" s="402">
        <f t="shared" si="73"/>
        <v>0</v>
      </c>
      <c r="Q137" s="402">
        <f>TRUNC((0.05*Q111),2)</f>
        <v>11</v>
      </c>
      <c r="R137" s="402">
        <f>TRUNC((0.05*R111),2)</f>
        <v>11</v>
      </c>
      <c r="S137" s="402">
        <f>TRUNC((0.05*S111),2)</f>
        <v>22</v>
      </c>
      <c r="T137" s="402">
        <f>TRUNC((0.05*T111),2)</f>
        <v>11</v>
      </c>
    </row>
    <row r="138" spans="1:20" ht="15.6" x14ac:dyDescent="0.3">
      <c r="A138" s="377" t="s">
        <v>216</v>
      </c>
      <c r="B138" s="264" t="s">
        <v>159</v>
      </c>
      <c r="C138" s="157"/>
      <c r="D138" s="258" t="s">
        <v>120</v>
      </c>
      <c r="E138" s="158"/>
      <c r="F138" s="403">
        <f t="shared" ref="F138:T138" si="74">1*F137</f>
        <v>11</v>
      </c>
      <c r="G138" s="403">
        <f t="shared" si="74"/>
        <v>11</v>
      </c>
      <c r="H138" s="403">
        <f t="shared" si="74"/>
        <v>5.5</v>
      </c>
      <c r="I138" s="403">
        <f t="shared" si="74"/>
        <v>11</v>
      </c>
      <c r="J138" s="403">
        <f t="shared" si="74"/>
        <v>11</v>
      </c>
      <c r="K138" s="403">
        <f t="shared" si="74"/>
        <v>5.5</v>
      </c>
      <c r="L138" s="403">
        <f t="shared" si="74"/>
        <v>13.75</v>
      </c>
      <c r="M138" s="403">
        <f t="shared" si="74"/>
        <v>0</v>
      </c>
      <c r="N138" s="403">
        <f t="shared" si="74"/>
        <v>8.25</v>
      </c>
      <c r="O138" s="403">
        <f t="shared" si="74"/>
        <v>0</v>
      </c>
      <c r="P138" s="403">
        <f t="shared" si="74"/>
        <v>0</v>
      </c>
      <c r="Q138" s="403">
        <f t="shared" si="74"/>
        <v>11</v>
      </c>
      <c r="R138" s="403">
        <f t="shared" si="74"/>
        <v>11</v>
      </c>
      <c r="S138" s="403">
        <f t="shared" si="74"/>
        <v>22</v>
      </c>
      <c r="T138" s="403">
        <f t="shared" si="74"/>
        <v>11</v>
      </c>
    </row>
    <row r="139" spans="1:20" ht="15.6" hidden="1" x14ac:dyDescent="0.3">
      <c r="A139" s="377"/>
      <c r="B139" s="263"/>
      <c r="C139" s="157"/>
      <c r="D139" s="258"/>
      <c r="E139" s="158"/>
      <c r="F139" s="404">
        <f t="shared" ref="F139:T139" si="75">F137-SUM(F138:F138)</f>
        <v>0</v>
      </c>
      <c r="G139" s="404">
        <f t="shared" si="75"/>
        <v>0</v>
      </c>
      <c r="H139" s="404">
        <f t="shared" si="75"/>
        <v>0</v>
      </c>
      <c r="I139" s="404">
        <f t="shared" si="75"/>
        <v>0</v>
      </c>
      <c r="J139" s="404">
        <f t="shared" si="75"/>
        <v>0</v>
      </c>
      <c r="K139" s="404">
        <f t="shared" si="75"/>
        <v>0</v>
      </c>
      <c r="L139" s="404">
        <f t="shared" si="75"/>
        <v>0</v>
      </c>
      <c r="M139" s="404">
        <f t="shared" si="75"/>
        <v>0</v>
      </c>
      <c r="N139" s="404">
        <f t="shared" si="75"/>
        <v>0</v>
      </c>
      <c r="O139" s="404">
        <f t="shared" si="75"/>
        <v>0</v>
      </c>
      <c r="P139" s="404">
        <f t="shared" si="75"/>
        <v>0</v>
      </c>
      <c r="Q139" s="404">
        <f t="shared" si="75"/>
        <v>0</v>
      </c>
      <c r="R139" s="404">
        <f t="shared" si="75"/>
        <v>0</v>
      </c>
      <c r="S139" s="404">
        <f t="shared" si="75"/>
        <v>0</v>
      </c>
      <c r="T139" s="404">
        <f t="shared" si="75"/>
        <v>0</v>
      </c>
    </row>
    <row r="140" spans="1:20" ht="15.6" x14ac:dyDescent="0.3">
      <c r="A140" s="377"/>
      <c r="B140" s="263"/>
      <c r="C140" s="157"/>
      <c r="D140" s="258"/>
      <c r="E140" s="158"/>
      <c r="F140" s="270"/>
      <c r="G140" s="270"/>
      <c r="H140" s="270"/>
      <c r="I140" s="270"/>
      <c r="J140" s="270"/>
      <c r="K140" s="270"/>
      <c r="L140" s="269"/>
      <c r="M140" s="269"/>
      <c r="N140" s="269"/>
      <c r="O140" s="269"/>
      <c r="P140" s="269"/>
      <c r="Q140" s="269"/>
      <c r="R140" s="269"/>
      <c r="S140" s="269"/>
      <c r="T140" s="407"/>
    </row>
    <row r="141" spans="1:20" s="122" customFormat="1" ht="15.6" x14ac:dyDescent="0.3">
      <c r="A141" s="378" t="s">
        <v>59</v>
      </c>
      <c r="B141" s="265" t="s">
        <v>491</v>
      </c>
      <c r="C141" s="171"/>
      <c r="D141" s="155"/>
      <c r="E141" s="156"/>
      <c r="F141" s="402">
        <f t="shared" ref="F141:T141" si="76">TRUNC((0.1*F111),2)</f>
        <v>22</v>
      </c>
      <c r="G141" s="402">
        <f t="shared" si="76"/>
        <v>22</v>
      </c>
      <c r="H141" s="402">
        <f t="shared" si="76"/>
        <v>11</v>
      </c>
      <c r="I141" s="402">
        <f t="shared" si="76"/>
        <v>22</v>
      </c>
      <c r="J141" s="402">
        <f t="shared" si="76"/>
        <v>22</v>
      </c>
      <c r="K141" s="402">
        <f t="shared" si="76"/>
        <v>11</v>
      </c>
      <c r="L141" s="402">
        <f t="shared" si="76"/>
        <v>27.5</v>
      </c>
      <c r="M141" s="402">
        <f t="shared" si="76"/>
        <v>0</v>
      </c>
      <c r="N141" s="402">
        <f t="shared" si="76"/>
        <v>16.5</v>
      </c>
      <c r="O141" s="402">
        <f t="shared" si="76"/>
        <v>0</v>
      </c>
      <c r="P141" s="402">
        <f t="shared" si="76"/>
        <v>0</v>
      </c>
      <c r="Q141" s="402">
        <f t="shared" si="76"/>
        <v>22</v>
      </c>
      <c r="R141" s="402">
        <f t="shared" si="76"/>
        <v>22</v>
      </c>
      <c r="S141" s="402">
        <f t="shared" si="76"/>
        <v>44</v>
      </c>
      <c r="T141" s="402">
        <f t="shared" si="76"/>
        <v>22</v>
      </c>
    </row>
    <row r="142" spans="1:20" ht="15.6" x14ac:dyDescent="0.3">
      <c r="A142" s="379" t="s">
        <v>217</v>
      </c>
      <c r="B142" s="264" t="s">
        <v>160</v>
      </c>
      <c r="C142" s="172"/>
      <c r="D142" s="174" t="s">
        <v>120</v>
      </c>
      <c r="E142" s="175"/>
      <c r="F142" s="403">
        <f t="shared" ref="F142:T142" si="77">1*F141</f>
        <v>22</v>
      </c>
      <c r="G142" s="403">
        <f t="shared" si="77"/>
        <v>22</v>
      </c>
      <c r="H142" s="403">
        <f t="shared" si="77"/>
        <v>11</v>
      </c>
      <c r="I142" s="403">
        <f t="shared" si="77"/>
        <v>22</v>
      </c>
      <c r="J142" s="403">
        <f t="shared" si="77"/>
        <v>22</v>
      </c>
      <c r="K142" s="403">
        <f t="shared" si="77"/>
        <v>11</v>
      </c>
      <c r="L142" s="403">
        <f t="shared" si="77"/>
        <v>27.5</v>
      </c>
      <c r="M142" s="403">
        <f t="shared" si="77"/>
        <v>0</v>
      </c>
      <c r="N142" s="403">
        <f t="shared" si="77"/>
        <v>16.5</v>
      </c>
      <c r="O142" s="403">
        <f t="shared" si="77"/>
        <v>0</v>
      </c>
      <c r="P142" s="403">
        <f t="shared" si="77"/>
        <v>0</v>
      </c>
      <c r="Q142" s="403">
        <f t="shared" si="77"/>
        <v>22</v>
      </c>
      <c r="R142" s="403">
        <f t="shared" si="77"/>
        <v>22</v>
      </c>
      <c r="S142" s="403">
        <f t="shared" si="77"/>
        <v>44</v>
      </c>
      <c r="T142" s="403">
        <f t="shared" si="77"/>
        <v>22</v>
      </c>
    </row>
    <row r="143" spans="1:20" ht="15.6" hidden="1" x14ac:dyDescent="0.3">
      <c r="A143" s="377"/>
      <c r="B143" s="263"/>
      <c r="C143" s="157"/>
      <c r="D143" s="258"/>
      <c r="E143" s="158"/>
      <c r="F143" s="404">
        <f t="shared" ref="F143:T143" si="78">F141-SUM(F142:F142)</f>
        <v>0</v>
      </c>
      <c r="G143" s="404">
        <f t="shared" si="78"/>
        <v>0</v>
      </c>
      <c r="H143" s="404">
        <f t="shared" si="78"/>
        <v>0</v>
      </c>
      <c r="I143" s="404">
        <f t="shared" si="78"/>
        <v>0</v>
      </c>
      <c r="J143" s="404">
        <f t="shared" si="78"/>
        <v>0</v>
      </c>
      <c r="K143" s="404">
        <f t="shared" si="78"/>
        <v>0</v>
      </c>
      <c r="L143" s="404">
        <f t="shared" si="78"/>
        <v>0</v>
      </c>
      <c r="M143" s="404">
        <f t="shared" si="78"/>
        <v>0</v>
      </c>
      <c r="N143" s="404">
        <f t="shared" si="78"/>
        <v>0</v>
      </c>
      <c r="O143" s="404">
        <f t="shared" si="78"/>
        <v>0</v>
      </c>
      <c r="P143" s="404">
        <f t="shared" si="78"/>
        <v>0</v>
      </c>
      <c r="Q143" s="404">
        <f t="shared" si="78"/>
        <v>0</v>
      </c>
      <c r="R143" s="404">
        <f t="shared" si="78"/>
        <v>0</v>
      </c>
      <c r="S143" s="404">
        <f t="shared" si="78"/>
        <v>0</v>
      </c>
      <c r="T143" s="404">
        <f t="shared" si="78"/>
        <v>0</v>
      </c>
    </row>
    <row r="144" spans="1:20" ht="15.6" x14ac:dyDescent="0.3">
      <c r="A144" s="377"/>
      <c r="B144" s="263"/>
      <c r="C144" s="157"/>
      <c r="D144" s="258"/>
      <c r="E144" s="158"/>
      <c r="F144" s="270"/>
      <c r="G144" s="270"/>
      <c r="H144" s="270"/>
      <c r="I144" s="270"/>
      <c r="J144" s="270"/>
      <c r="K144" s="270"/>
      <c r="L144" s="269"/>
      <c r="M144" s="269"/>
      <c r="N144" s="269"/>
      <c r="O144" s="269"/>
      <c r="P144" s="269"/>
      <c r="Q144" s="269"/>
      <c r="R144" s="269"/>
      <c r="S144" s="269"/>
      <c r="T144" s="407"/>
    </row>
    <row r="145" spans="1:23" s="122" customFormat="1" ht="15.6" x14ac:dyDescent="0.3">
      <c r="A145" s="378" t="s">
        <v>60</v>
      </c>
      <c r="B145" s="265" t="s">
        <v>220</v>
      </c>
      <c r="C145" s="123"/>
      <c r="D145" s="155"/>
      <c r="E145" s="156"/>
      <c r="F145" s="402">
        <f t="shared" ref="F145:T145" si="79">TRUNC((0.1*F111),2)</f>
        <v>22</v>
      </c>
      <c r="G145" s="402">
        <f t="shared" si="79"/>
        <v>22</v>
      </c>
      <c r="H145" s="402">
        <f t="shared" si="79"/>
        <v>11</v>
      </c>
      <c r="I145" s="402">
        <f t="shared" si="79"/>
        <v>22</v>
      </c>
      <c r="J145" s="402">
        <f t="shared" si="79"/>
        <v>22</v>
      </c>
      <c r="K145" s="402">
        <f t="shared" si="79"/>
        <v>11</v>
      </c>
      <c r="L145" s="402">
        <f t="shared" si="79"/>
        <v>27.5</v>
      </c>
      <c r="M145" s="402">
        <f t="shared" si="79"/>
        <v>0</v>
      </c>
      <c r="N145" s="402">
        <f t="shared" si="79"/>
        <v>16.5</v>
      </c>
      <c r="O145" s="402">
        <f t="shared" si="79"/>
        <v>0</v>
      </c>
      <c r="P145" s="402">
        <f t="shared" si="79"/>
        <v>0</v>
      </c>
      <c r="Q145" s="402">
        <f t="shared" si="79"/>
        <v>22</v>
      </c>
      <c r="R145" s="402">
        <f t="shared" si="79"/>
        <v>22</v>
      </c>
      <c r="S145" s="402">
        <f t="shared" si="79"/>
        <v>44</v>
      </c>
      <c r="T145" s="402">
        <f t="shared" si="79"/>
        <v>22</v>
      </c>
    </row>
    <row r="146" spans="1:23" ht="15.6" x14ac:dyDescent="0.3">
      <c r="A146" s="379" t="s">
        <v>218</v>
      </c>
      <c r="B146" s="264" t="s">
        <v>164</v>
      </c>
      <c r="C146" s="172"/>
      <c r="D146" s="174" t="s">
        <v>120</v>
      </c>
      <c r="E146" s="175"/>
      <c r="F146" s="406">
        <f t="shared" ref="F146:L146" si="80">0.5*F145</f>
        <v>11</v>
      </c>
      <c r="G146" s="406">
        <f t="shared" si="80"/>
        <v>11</v>
      </c>
      <c r="H146" s="406">
        <f t="shared" si="80"/>
        <v>5.5</v>
      </c>
      <c r="I146" s="406">
        <f t="shared" si="80"/>
        <v>11</v>
      </c>
      <c r="J146" s="406">
        <f t="shared" si="80"/>
        <v>11</v>
      </c>
      <c r="K146" s="406">
        <f t="shared" si="80"/>
        <v>5.5</v>
      </c>
      <c r="L146" s="406">
        <f t="shared" si="80"/>
        <v>13.75</v>
      </c>
      <c r="M146" s="406">
        <f t="shared" ref="M146:P146" si="81">0.2*M145</f>
        <v>0</v>
      </c>
      <c r="N146" s="406">
        <f>0.5*N145</f>
        <v>8.25</v>
      </c>
      <c r="O146" s="406">
        <f t="shared" si="81"/>
        <v>0</v>
      </c>
      <c r="P146" s="516">
        <f t="shared" si="81"/>
        <v>0</v>
      </c>
      <c r="Q146" s="406">
        <f>0.5*Q145</f>
        <v>11</v>
      </c>
      <c r="R146" s="406">
        <f>0.5*R145</f>
        <v>11</v>
      </c>
      <c r="S146" s="406">
        <f>0.5*S145</f>
        <v>22</v>
      </c>
      <c r="T146" s="406">
        <f>0.5*T145</f>
        <v>11</v>
      </c>
    </row>
    <row r="147" spans="1:23" ht="15.6" x14ac:dyDescent="0.3">
      <c r="A147" s="379" t="s">
        <v>219</v>
      </c>
      <c r="B147" s="263" t="s">
        <v>165</v>
      </c>
      <c r="C147" s="173"/>
      <c r="D147" s="174" t="s">
        <v>120</v>
      </c>
      <c r="E147" s="175"/>
      <c r="F147" s="406">
        <f t="shared" ref="F147:L147" si="82">0.5*F145</f>
        <v>11</v>
      </c>
      <c r="G147" s="406">
        <f t="shared" si="82"/>
        <v>11</v>
      </c>
      <c r="H147" s="406">
        <f t="shared" si="82"/>
        <v>5.5</v>
      </c>
      <c r="I147" s="406">
        <f t="shared" si="82"/>
        <v>11</v>
      </c>
      <c r="J147" s="406">
        <f t="shared" si="82"/>
        <v>11</v>
      </c>
      <c r="K147" s="406">
        <f t="shared" si="82"/>
        <v>5.5</v>
      </c>
      <c r="L147" s="406">
        <f t="shared" si="82"/>
        <v>13.75</v>
      </c>
      <c r="M147" s="406">
        <f t="shared" ref="M147:P147" si="83">0.1*M145</f>
        <v>0</v>
      </c>
      <c r="N147" s="406">
        <f>0.5*N145</f>
        <v>8.25</v>
      </c>
      <c r="O147" s="406">
        <f t="shared" si="83"/>
        <v>0</v>
      </c>
      <c r="P147" s="516">
        <f t="shared" si="83"/>
        <v>0</v>
      </c>
      <c r="Q147" s="406">
        <f>0.5*Q145</f>
        <v>11</v>
      </c>
      <c r="R147" s="406">
        <f>0.5*R145</f>
        <v>11</v>
      </c>
      <c r="S147" s="406">
        <f>0.5*S145</f>
        <v>22</v>
      </c>
      <c r="T147" s="406">
        <f>0.5*T145</f>
        <v>11</v>
      </c>
    </row>
    <row r="148" spans="1:23" ht="15.6" hidden="1" x14ac:dyDescent="0.3">
      <c r="A148" s="377"/>
      <c r="B148" s="263"/>
      <c r="C148" s="173"/>
      <c r="D148" s="174"/>
      <c r="E148" s="158"/>
      <c r="F148" s="404">
        <f t="shared" ref="F148:T148" si="84">F145-SUM(F146:F147)</f>
        <v>0</v>
      </c>
      <c r="G148" s="404">
        <f t="shared" si="84"/>
        <v>0</v>
      </c>
      <c r="H148" s="404">
        <f t="shared" si="84"/>
        <v>0</v>
      </c>
      <c r="I148" s="404">
        <f t="shared" si="84"/>
        <v>0</v>
      </c>
      <c r="J148" s="404">
        <f t="shared" si="84"/>
        <v>0</v>
      </c>
      <c r="K148" s="404">
        <f t="shared" si="84"/>
        <v>0</v>
      </c>
      <c r="L148" s="404">
        <f t="shared" si="84"/>
        <v>0</v>
      </c>
      <c r="M148" s="404">
        <f t="shared" si="84"/>
        <v>0</v>
      </c>
      <c r="N148" s="404">
        <f t="shared" si="84"/>
        <v>0</v>
      </c>
      <c r="O148" s="404">
        <f t="shared" si="84"/>
        <v>0</v>
      </c>
      <c r="P148" s="404">
        <f t="shared" si="84"/>
        <v>0</v>
      </c>
      <c r="Q148" s="404">
        <f t="shared" si="84"/>
        <v>0</v>
      </c>
      <c r="R148" s="404">
        <f t="shared" si="84"/>
        <v>0</v>
      </c>
      <c r="S148" s="404">
        <f t="shared" si="84"/>
        <v>0</v>
      </c>
      <c r="T148" s="404">
        <f t="shared" si="84"/>
        <v>0</v>
      </c>
    </row>
    <row r="149" spans="1:23" ht="15.6" x14ac:dyDescent="0.3">
      <c r="A149" s="377"/>
      <c r="B149" s="263"/>
      <c r="C149" s="157"/>
      <c r="D149" s="258"/>
      <c r="E149" s="158"/>
      <c r="F149" s="270"/>
      <c r="G149" s="270"/>
      <c r="H149" s="270"/>
      <c r="I149" s="270"/>
      <c r="J149" s="270"/>
      <c r="K149" s="270"/>
      <c r="L149" s="269"/>
      <c r="M149" s="269"/>
      <c r="N149" s="269"/>
      <c r="O149" s="269"/>
      <c r="P149" s="269"/>
      <c r="Q149" s="269"/>
      <c r="R149" s="269"/>
      <c r="S149" s="269"/>
      <c r="T149" s="407"/>
    </row>
    <row r="150" spans="1:23" s="122" customFormat="1" ht="15.6" x14ac:dyDescent="0.3">
      <c r="A150" s="385" t="s">
        <v>61</v>
      </c>
      <c r="B150" s="244" t="s">
        <v>492</v>
      </c>
      <c r="C150" s="124"/>
      <c r="D150" s="155"/>
      <c r="E150" s="125"/>
      <c r="F150" s="402">
        <f t="shared" ref="F150:L150" si="85">TRUNC((0.15*F111),2)</f>
        <v>33</v>
      </c>
      <c r="G150" s="402">
        <f t="shared" si="85"/>
        <v>33</v>
      </c>
      <c r="H150" s="402">
        <f t="shared" si="85"/>
        <v>16.5</v>
      </c>
      <c r="I150" s="402">
        <f t="shared" si="85"/>
        <v>33</v>
      </c>
      <c r="J150" s="402">
        <f t="shared" si="85"/>
        <v>33</v>
      </c>
      <c r="K150" s="402">
        <f t="shared" si="85"/>
        <v>16.5</v>
      </c>
      <c r="L150" s="402">
        <f t="shared" si="85"/>
        <v>41.25</v>
      </c>
      <c r="M150" s="402">
        <f t="shared" ref="M150:P150" si="86">TRUNC((0.1*M111),2)</f>
        <v>0</v>
      </c>
      <c r="N150" s="402">
        <f>TRUNC((0.15*N111),2)</f>
        <v>24.75</v>
      </c>
      <c r="O150" s="402">
        <f t="shared" si="86"/>
        <v>0</v>
      </c>
      <c r="P150" s="402">
        <f t="shared" si="86"/>
        <v>0</v>
      </c>
      <c r="Q150" s="402">
        <f>TRUNC((0.15*Q111),2)</f>
        <v>33</v>
      </c>
      <c r="R150" s="402">
        <f>TRUNC((0.15*R111),2)</f>
        <v>33</v>
      </c>
      <c r="S150" s="402">
        <f>TRUNC((0.15*S111),2)</f>
        <v>66</v>
      </c>
      <c r="T150" s="402">
        <f>TRUNC((0.15*T111),2)</f>
        <v>33</v>
      </c>
    </row>
    <row r="151" spans="1:23" ht="15.6" x14ac:dyDescent="0.3">
      <c r="A151" s="383" t="s">
        <v>221</v>
      </c>
      <c r="B151" s="263" t="s">
        <v>161</v>
      </c>
      <c r="C151" s="177"/>
      <c r="D151" s="174" t="s">
        <v>120</v>
      </c>
      <c r="E151" s="178"/>
      <c r="F151" s="403">
        <f t="shared" ref="F151:L151" si="87">1*F150</f>
        <v>33</v>
      </c>
      <c r="G151" s="403">
        <f t="shared" si="87"/>
        <v>33</v>
      </c>
      <c r="H151" s="403">
        <f t="shared" si="87"/>
        <v>16.5</v>
      </c>
      <c r="I151" s="403">
        <f t="shared" si="87"/>
        <v>33</v>
      </c>
      <c r="J151" s="403">
        <f t="shared" si="87"/>
        <v>33</v>
      </c>
      <c r="K151" s="403">
        <f t="shared" si="87"/>
        <v>16.5</v>
      </c>
      <c r="L151" s="403">
        <f t="shared" si="87"/>
        <v>41.25</v>
      </c>
      <c r="M151" s="403">
        <f t="shared" ref="M151:P151" si="88">0.5*M150</f>
        <v>0</v>
      </c>
      <c r="N151" s="403">
        <f>1*N150</f>
        <v>24.75</v>
      </c>
      <c r="O151" s="403">
        <f t="shared" si="88"/>
        <v>0</v>
      </c>
      <c r="P151" s="403">
        <f t="shared" si="88"/>
        <v>0</v>
      </c>
      <c r="Q151" s="403">
        <f>1*Q150</f>
        <v>33</v>
      </c>
      <c r="R151" s="403">
        <f>1*R150</f>
        <v>33</v>
      </c>
      <c r="S151" s="403">
        <f>1*S150</f>
        <v>66</v>
      </c>
      <c r="T151" s="403">
        <f>1*T150</f>
        <v>33</v>
      </c>
    </row>
    <row r="152" spans="1:23" ht="15.6" hidden="1" x14ac:dyDescent="0.3">
      <c r="A152" s="384"/>
      <c r="B152" s="263"/>
      <c r="C152" s="153"/>
      <c r="D152" s="258"/>
      <c r="E152" s="154"/>
      <c r="F152" s="404">
        <f t="shared" ref="F152:T152" si="89">F150-SUM(F151:F151)</f>
        <v>0</v>
      </c>
      <c r="G152" s="404">
        <f t="shared" si="89"/>
        <v>0</v>
      </c>
      <c r="H152" s="404">
        <f t="shared" si="89"/>
        <v>0</v>
      </c>
      <c r="I152" s="404">
        <f t="shared" si="89"/>
        <v>0</v>
      </c>
      <c r="J152" s="404">
        <f t="shared" si="89"/>
        <v>0</v>
      </c>
      <c r="K152" s="404">
        <f t="shared" si="89"/>
        <v>0</v>
      </c>
      <c r="L152" s="404">
        <f t="shared" si="89"/>
        <v>0</v>
      </c>
      <c r="M152" s="404">
        <f t="shared" si="89"/>
        <v>0</v>
      </c>
      <c r="N152" s="404">
        <f t="shared" si="89"/>
        <v>0</v>
      </c>
      <c r="O152" s="404">
        <f t="shared" si="89"/>
        <v>0</v>
      </c>
      <c r="P152" s="404">
        <f t="shared" si="89"/>
        <v>0</v>
      </c>
      <c r="Q152" s="404">
        <f t="shared" si="89"/>
        <v>0</v>
      </c>
      <c r="R152" s="404">
        <f t="shared" si="89"/>
        <v>0</v>
      </c>
      <c r="S152" s="404">
        <f t="shared" si="89"/>
        <v>0</v>
      </c>
      <c r="T152" s="404">
        <f t="shared" si="89"/>
        <v>0</v>
      </c>
    </row>
    <row r="153" spans="1:23" ht="15.6" x14ac:dyDescent="0.3">
      <c r="A153" s="377"/>
      <c r="B153" s="263"/>
      <c r="C153" s="157"/>
      <c r="D153" s="258"/>
      <c r="E153" s="158"/>
      <c r="F153" s="407"/>
      <c r="G153" s="407"/>
      <c r="H153" s="407"/>
      <c r="I153" s="407"/>
      <c r="J153" s="407"/>
      <c r="K153" s="407"/>
      <c r="L153" s="407"/>
      <c r="M153" s="407"/>
      <c r="N153" s="407"/>
      <c r="O153" s="407"/>
      <c r="P153" s="407"/>
      <c r="Q153" s="407"/>
      <c r="R153" s="407"/>
      <c r="S153" s="407"/>
      <c r="T153" s="407"/>
    </row>
    <row r="154" spans="1:23" s="513" customFormat="1" ht="16.5" customHeight="1" x14ac:dyDescent="0.3">
      <c r="A154" s="507"/>
      <c r="B154" s="508" t="s">
        <v>222</v>
      </c>
      <c r="C154" s="509"/>
      <c r="D154" s="510" t="s">
        <v>167</v>
      </c>
      <c r="E154" s="515">
        <f>C111</f>
        <v>0.25</v>
      </c>
      <c r="F154" s="512">
        <f t="shared" ref="F154:T154" si="90">TRUNC((F$12*$E$154),2)</f>
        <v>220</v>
      </c>
      <c r="G154" s="512">
        <f t="shared" si="90"/>
        <v>220</v>
      </c>
      <c r="H154" s="512">
        <f t="shared" si="90"/>
        <v>110</v>
      </c>
      <c r="I154" s="512">
        <f t="shared" si="90"/>
        <v>220</v>
      </c>
      <c r="J154" s="512">
        <f t="shared" si="90"/>
        <v>220</v>
      </c>
      <c r="K154" s="512">
        <f t="shared" si="90"/>
        <v>110</v>
      </c>
      <c r="L154" s="512">
        <f t="shared" si="90"/>
        <v>275</v>
      </c>
      <c r="M154" s="512">
        <f t="shared" si="90"/>
        <v>0</v>
      </c>
      <c r="N154" s="512">
        <f t="shared" si="90"/>
        <v>165</v>
      </c>
      <c r="O154" s="512">
        <f t="shared" si="90"/>
        <v>0</v>
      </c>
      <c r="P154" s="512">
        <f t="shared" si="90"/>
        <v>0</v>
      </c>
      <c r="Q154" s="512">
        <f t="shared" si="90"/>
        <v>220</v>
      </c>
      <c r="R154" s="512">
        <f t="shared" si="90"/>
        <v>220</v>
      </c>
      <c r="S154" s="512">
        <f t="shared" si="90"/>
        <v>440</v>
      </c>
      <c r="T154" s="512">
        <f t="shared" si="90"/>
        <v>220</v>
      </c>
      <c r="V154" s="514"/>
      <c r="W154" s="514"/>
    </row>
    <row r="155" spans="1:23" ht="16.5" customHeight="1" x14ac:dyDescent="0.3">
      <c r="A155" s="377"/>
      <c r="B155" s="263"/>
      <c r="C155" s="157"/>
      <c r="D155" s="258"/>
      <c r="E155" s="158"/>
      <c r="F155" s="407"/>
      <c r="G155" s="407"/>
      <c r="H155" s="407"/>
      <c r="I155" s="407"/>
      <c r="J155" s="407"/>
      <c r="K155" s="407"/>
      <c r="L155" s="407"/>
      <c r="M155" s="407"/>
      <c r="N155" s="407"/>
      <c r="O155" s="407"/>
      <c r="P155" s="407"/>
      <c r="Q155" s="407"/>
      <c r="R155" s="407"/>
      <c r="S155" s="407"/>
      <c r="T155" s="407"/>
      <c r="V155" s="121"/>
      <c r="W155" s="121"/>
    </row>
    <row r="156" spans="1:23" s="128" customFormat="1" ht="16.5" hidden="1" customHeight="1" x14ac:dyDescent="0.3">
      <c r="A156" s="389"/>
      <c r="B156" s="240"/>
      <c r="C156" s="140"/>
      <c r="D156" s="126" t="s">
        <v>167</v>
      </c>
      <c r="E156" s="127"/>
      <c r="F156" s="411">
        <f t="shared" ref="F156:T156" si="91">F113+F123+F137+F141+F145+F150</f>
        <v>220</v>
      </c>
      <c r="G156" s="411">
        <f t="shared" si="91"/>
        <v>220</v>
      </c>
      <c r="H156" s="411">
        <f t="shared" si="91"/>
        <v>110</v>
      </c>
      <c r="I156" s="411">
        <f t="shared" si="91"/>
        <v>220</v>
      </c>
      <c r="J156" s="411">
        <f t="shared" si="91"/>
        <v>220</v>
      </c>
      <c r="K156" s="411">
        <f t="shared" si="91"/>
        <v>110</v>
      </c>
      <c r="L156" s="411">
        <f t="shared" si="91"/>
        <v>275</v>
      </c>
      <c r="M156" s="411">
        <f t="shared" si="91"/>
        <v>0</v>
      </c>
      <c r="N156" s="411">
        <f t="shared" si="91"/>
        <v>165</v>
      </c>
      <c r="O156" s="411">
        <f t="shared" si="91"/>
        <v>0</v>
      </c>
      <c r="P156" s="411">
        <f t="shared" si="91"/>
        <v>0</v>
      </c>
      <c r="Q156" s="411">
        <f t="shared" si="91"/>
        <v>220</v>
      </c>
      <c r="R156" s="411">
        <f t="shared" si="91"/>
        <v>220</v>
      </c>
      <c r="S156" s="411">
        <f t="shared" si="91"/>
        <v>440</v>
      </c>
      <c r="T156" s="411">
        <f t="shared" si="91"/>
        <v>220</v>
      </c>
      <c r="V156" s="129"/>
      <c r="W156" s="129"/>
    </row>
    <row r="157" spans="1:23" ht="16.5" hidden="1" customHeight="1" x14ac:dyDescent="0.3">
      <c r="A157" s="377"/>
      <c r="B157" s="263"/>
      <c r="C157" s="157"/>
      <c r="D157" s="258"/>
      <c r="E157" s="158"/>
      <c r="F157" s="407"/>
      <c r="G157" s="407"/>
      <c r="H157" s="407"/>
      <c r="I157" s="407"/>
      <c r="J157" s="407"/>
      <c r="K157" s="407"/>
      <c r="L157" s="407"/>
      <c r="M157" s="407"/>
      <c r="N157" s="407"/>
      <c r="O157" s="407"/>
      <c r="P157" s="407"/>
      <c r="Q157" s="407"/>
      <c r="R157" s="407"/>
      <c r="S157" s="407"/>
      <c r="T157" s="407"/>
      <c r="V157" s="121"/>
      <c r="W157" s="121"/>
    </row>
    <row r="158" spans="1:23" s="132" customFormat="1" ht="16.5" hidden="1" customHeight="1" x14ac:dyDescent="0.3">
      <c r="A158" s="390"/>
      <c r="B158" s="239"/>
      <c r="C158" s="130"/>
      <c r="D158" s="131"/>
      <c r="E158" s="143" t="s">
        <v>168</v>
      </c>
      <c r="F158" s="412">
        <f>F154-F156</f>
        <v>0</v>
      </c>
      <c r="G158" s="412">
        <f t="shared" ref="G158:J158" si="92">G154-G156</f>
        <v>0</v>
      </c>
      <c r="H158" s="412">
        <f t="shared" si="92"/>
        <v>0</v>
      </c>
      <c r="I158" s="412">
        <f t="shared" si="92"/>
        <v>0</v>
      </c>
      <c r="J158" s="412">
        <f t="shared" si="92"/>
        <v>0</v>
      </c>
      <c r="K158" s="412">
        <f>K154-K156</f>
        <v>0</v>
      </c>
      <c r="L158" s="412">
        <f t="shared" ref="L158" si="93">L154-L156</f>
        <v>0</v>
      </c>
      <c r="M158" s="412">
        <f>M154-M156</f>
        <v>0</v>
      </c>
      <c r="N158" s="412">
        <f t="shared" ref="N158:T158" si="94">N154-N156</f>
        <v>0</v>
      </c>
      <c r="O158" s="412">
        <f t="shared" si="94"/>
        <v>0</v>
      </c>
      <c r="P158" s="412">
        <f t="shared" si="94"/>
        <v>0</v>
      </c>
      <c r="Q158" s="412">
        <f t="shared" si="94"/>
        <v>0</v>
      </c>
      <c r="R158" s="412">
        <f t="shared" si="94"/>
        <v>0</v>
      </c>
      <c r="S158" s="412">
        <f t="shared" si="94"/>
        <v>0</v>
      </c>
      <c r="T158" s="412">
        <f t="shared" si="94"/>
        <v>0</v>
      </c>
      <c r="V158" s="133"/>
      <c r="W158" s="133"/>
    </row>
    <row r="159" spans="1:23" ht="15.6" x14ac:dyDescent="0.3">
      <c r="A159" s="377"/>
      <c r="B159" s="263"/>
      <c r="C159" s="157"/>
      <c r="D159" s="258"/>
      <c r="E159" s="158"/>
      <c r="F159" s="407"/>
      <c r="G159" s="407"/>
      <c r="H159" s="407"/>
      <c r="I159" s="407"/>
      <c r="J159" s="407"/>
      <c r="K159" s="407"/>
      <c r="L159" s="407"/>
      <c r="M159" s="407"/>
      <c r="N159" s="407"/>
      <c r="O159" s="407"/>
      <c r="P159" s="407"/>
      <c r="Q159" s="407"/>
      <c r="R159" s="407"/>
      <c r="S159" s="407"/>
      <c r="T159" s="407"/>
    </row>
    <row r="160" spans="1:23" s="110" customFormat="1" ht="15.6" x14ac:dyDescent="0.3">
      <c r="A160" s="376" t="s">
        <v>64</v>
      </c>
      <c r="B160" s="398" t="s">
        <v>9</v>
      </c>
      <c r="C160" s="134">
        <v>0.06</v>
      </c>
      <c r="D160" s="164"/>
      <c r="E160" s="165"/>
      <c r="F160" s="420">
        <f t="shared" ref="F160:T160" si="95">TRUNC(($C$160*F$12),2)</f>
        <v>52.8</v>
      </c>
      <c r="G160" s="420">
        <f t="shared" si="95"/>
        <v>52.8</v>
      </c>
      <c r="H160" s="420">
        <f t="shared" si="95"/>
        <v>26.4</v>
      </c>
      <c r="I160" s="420">
        <f t="shared" si="95"/>
        <v>52.8</v>
      </c>
      <c r="J160" s="420">
        <f t="shared" si="95"/>
        <v>52.8</v>
      </c>
      <c r="K160" s="420">
        <f t="shared" si="95"/>
        <v>26.4</v>
      </c>
      <c r="L160" s="420">
        <f t="shared" si="95"/>
        <v>66</v>
      </c>
      <c r="M160" s="420">
        <f t="shared" si="95"/>
        <v>0</v>
      </c>
      <c r="N160" s="420">
        <f t="shared" si="95"/>
        <v>39.6</v>
      </c>
      <c r="O160" s="420">
        <f t="shared" si="95"/>
        <v>0</v>
      </c>
      <c r="P160" s="420">
        <f t="shared" si="95"/>
        <v>0</v>
      </c>
      <c r="Q160" s="420">
        <f t="shared" si="95"/>
        <v>52.8</v>
      </c>
      <c r="R160" s="420">
        <f t="shared" si="95"/>
        <v>52.8</v>
      </c>
      <c r="S160" s="420">
        <f t="shared" si="95"/>
        <v>105.6</v>
      </c>
      <c r="T160" s="420">
        <f t="shared" si="95"/>
        <v>52.8</v>
      </c>
    </row>
    <row r="161" spans="1:20" ht="15.6" x14ac:dyDescent="0.3">
      <c r="A161" s="377"/>
      <c r="B161" s="241"/>
      <c r="C161" s="157"/>
      <c r="D161" s="258"/>
      <c r="E161" s="158"/>
      <c r="F161" s="407"/>
      <c r="G161" s="407"/>
      <c r="H161" s="407"/>
      <c r="I161" s="407"/>
      <c r="J161" s="407"/>
      <c r="K161" s="407"/>
      <c r="L161" s="407"/>
      <c r="M161" s="407"/>
      <c r="N161" s="407"/>
      <c r="O161" s="407"/>
      <c r="P161" s="407"/>
      <c r="Q161" s="407"/>
      <c r="R161" s="407"/>
      <c r="S161" s="407"/>
      <c r="T161" s="407"/>
    </row>
    <row r="162" spans="1:20" s="122" customFormat="1" ht="15.6" x14ac:dyDescent="0.3">
      <c r="A162" s="378" t="s">
        <v>65</v>
      </c>
      <c r="B162" s="248" t="s">
        <v>223</v>
      </c>
      <c r="C162" s="171"/>
      <c r="D162" s="155"/>
      <c r="E162" s="156"/>
      <c r="F162" s="405">
        <f t="shared" ref="F162:P162" si="96">TRUNC((0.45*F160),2)</f>
        <v>23.76</v>
      </c>
      <c r="G162" s="405">
        <f t="shared" si="96"/>
        <v>23.76</v>
      </c>
      <c r="H162" s="405">
        <f t="shared" si="96"/>
        <v>11.88</v>
      </c>
      <c r="I162" s="405">
        <f t="shared" si="96"/>
        <v>23.76</v>
      </c>
      <c r="J162" s="405">
        <f t="shared" si="96"/>
        <v>23.76</v>
      </c>
      <c r="K162" s="405">
        <f t="shared" si="96"/>
        <v>11.88</v>
      </c>
      <c r="L162" s="405">
        <f t="shared" si="96"/>
        <v>29.7</v>
      </c>
      <c r="M162" s="405">
        <f t="shared" si="96"/>
        <v>0</v>
      </c>
      <c r="N162" s="405">
        <f t="shared" si="96"/>
        <v>17.82</v>
      </c>
      <c r="O162" s="405">
        <f t="shared" si="96"/>
        <v>0</v>
      </c>
      <c r="P162" s="405">
        <f t="shared" si="96"/>
        <v>0</v>
      </c>
      <c r="Q162" s="405">
        <f t="shared" ref="Q162:T162" si="97">TRUNC((0.45*Q160),2)</f>
        <v>23.76</v>
      </c>
      <c r="R162" s="405">
        <f t="shared" si="97"/>
        <v>23.76</v>
      </c>
      <c r="S162" s="405">
        <f t="shared" si="97"/>
        <v>47.52</v>
      </c>
      <c r="T162" s="405">
        <f t="shared" si="97"/>
        <v>23.76</v>
      </c>
    </row>
    <row r="163" spans="1:20" ht="15.6" x14ac:dyDescent="0.3">
      <c r="A163" s="379" t="s">
        <v>224</v>
      </c>
      <c r="B163" s="482" t="s">
        <v>119</v>
      </c>
      <c r="C163" s="173"/>
      <c r="D163" s="174" t="s">
        <v>120</v>
      </c>
      <c r="E163" s="175"/>
      <c r="F163" s="403">
        <f>0.5*F162</f>
        <v>11.88</v>
      </c>
      <c r="G163" s="403">
        <f>0.5*G162</f>
        <v>11.88</v>
      </c>
      <c r="H163" s="403">
        <f>0.5*H162</f>
        <v>5.94</v>
      </c>
      <c r="I163" s="403">
        <f>0.1*I162</f>
        <v>2.3760000000000003</v>
      </c>
      <c r="J163" s="403">
        <f>0.1*J162</f>
        <v>2.3760000000000003</v>
      </c>
      <c r="K163" s="403">
        <f>0.1*K162</f>
        <v>1.1880000000000002</v>
      </c>
      <c r="L163" s="403"/>
      <c r="M163" s="403"/>
      <c r="N163" s="403"/>
      <c r="O163" s="403"/>
      <c r="P163" s="403">
        <f>1*P162</f>
        <v>0</v>
      </c>
      <c r="Q163" s="403">
        <f>0.1*Q162</f>
        <v>2.3760000000000003</v>
      </c>
      <c r="R163" s="403">
        <f>0.1*R162</f>
        <v>2.3760000000000003</v>
      </c>
      <c r="S163" s="403">
        <f>0.1*S162</f>
        <v>4.7520000000000007</v>
      </c>
      <c r="T163" s="403">
        <f>0.1*T162</f>
        <v>2.3760000000000003</v>
      </c>
    </row>
    <row r="164" spans="1:20" ht="15.6" x14ac:dyDescent="0.3">
      <c r="A164" s="379" t="s">
        <v>225</v>
      </c>
      <c r="B164" s="482" t="s">
        <v>122</v>
      </c>
      <c r="C164" s="173"/>
      <c r="D164" s="174" t="s">
        <v>120</v>
      </c>
      <c r="E164" s="175"/>
      <c r="F164" s="403"/>
      <c r="G164" s="403"/>
      <c r="H164" s="403"/>
      <c r="I164" s="403"/>
      <c r="J164" s="403"/>
      <c r="K164" s="403"/>
      <c r="L164" s="403">
        <f>0.3*L162</f>
        <v>8.91</v>
      </c>
      <c r="M164" s="403">
        <f>0.3*M162</f>
        <v>0</v>
      </c>
      <c r="N164" s="403"/>
      <c r="O164" s="403"/>
      <c r="P164" s="403"/>
      <c r="Q164" s="403">
        <f>0.15*Q162</f>
        <v>3.5640000000000001</v>
      </c>
      <c r="R164" s="403">
        <f>0.15*R162</f>
        <v>3.5640000000000001</v>
      </c>
      <c r="S164" s="403">
        <f>0.15*S162</f>
        <v>7.1280000000000001</v>
      </c>
      <c r="T164" s="403">
        <f>0.15*T162</f>
        <v>3.5640000000000001</v>
      </c>
    </row>
    <row r="165" spans="1:20" ht="15.6" x14ac:dyDescent="0.3">
      <c r="A165" s="379" t="s">
        <v>226</v>
      </c>
      <c r="B165" s="482" t="s">
        <v>124</v>
      </c>
      <c r="C165" s="173"/>
      <c r="D165" s="174" t="s">
        <v>120</v>
      </c>
      <c r="E165" s="175"/>
      <c r="F165" s="403"/>
      <c r="G165" s="403"/>
      <c r="H165" s="403"/>
      <c r="I165" s="403"/>
      <c r="J165" s="403"/>
      <c r="K165" s="403"/>
      <c r="L165" s="403">
        <f>0.3*L162</f>
        <v>8.91</v>
      </c>
      <c r="M165" s="403">
        <f>0.3*M162</f>
        <v>0</v>
      </c>
      <c r="N165" s="403"/>
      <c r="O165" s="403"/>
      <c r="P165" s="403"/>
      <c r="Q165" s="403">
        <f>0.15*Q162</f>
        <v>3.5640000000000001</v>
      </c>
      <c r="R165" s="403">
        <f>0.15*R162</f>
        <v>3.5640000000000001</v>
      </c>
      <c r="S165" s="403">
        <f>0.15*S162</f>
        <v>7.1280000000000001</v>
      </c>
      <c r="T165" s="403">
        <f>0.15*T162</f>
        <v>3.5640000000000001</v>
      </c>
    </row>
    <row r="166" spans="1:20" ht="15.6" x14ac:dyDescent="0.3">
      <c r="A166" s="379" t="s">
        <v>227</v>
      </c>
      <c r="B166" s="567" t="s">
        <v>480</v>
      </c>
      <c r="C166" s="173"/>
      <c r="D166" s="174" t="s">
        <v>120</v>
      </c>
      <c r="E166" s="175"/>
      <c r="F166" s="403"/>
      <c r="G166" s="403"/>
      <c r="H166" s="403"/>
      <c r="I166" s="403"/>
      <c r="J166" s="403"/>
      <c r="K166" s="403"/>
      <c r="L166" s="403">
        <f>0.05*L162</f>
        <v>1.4850000000000001</v>
      </c>
      <c r="M166" s="403">
        <f>0.05*M162</f>
        <v>0</v>
      </c>
      <c r="N166" s="403">
        <f>0.4*N162</f>
        <v>7.1280000000000001</v>
      </c>
      <c r="O166" s="403">
        <f>0.4*O162</f>
        <v>0</v>
      </c>
      <c r="P166" s="403"/>
      <c r="Q166" s="403">
        <f>0.1*Q162</f>
        <v>2.3760000000000003</v>
      </c>
      <c r="R166" s="403">
        <f>0.1*R162</f>
        <v>2.3760000000000003</v>
      </c>
      <c r="S166" s="403">
        <f>0.1*S162</f>
        <v>4.7520000000000007</v>
      </c>
      <c r="T166" s="403">
        <f>0.1*T162</f>
        <v>2.3760000000000003</v>
      </c>
    </row>
    <row r="167" spans="1:20" ht="15.6" x14ac:dyDescent="0.3">
      <c r="A167" s="379" t="s">
        <v>228</v>
      </c>
      <c r="B167" s="482" t="s">
        <v>128</v>
      </c>
      <c r="C167" s="173"/>
      <c r="D167" s="174" t="s">
        <v>120</v>
      </c>
      <c r="E167" s="175"/>
      <c r="F167" s="403"/>
      <c r="G167" s="403"/>
      <c r="H167" s="403"/>
      <c r="I167" s="403"/>
      <c r="J167" s="403"/>
      <c r="K167" s="403"/>
      <c r="L167" s="403">
        <f>0.3*L162</f>
        <v>8.91</v>
      </c>
      <c r="M167" s="403">
        <f>0.3*M162</f>
        <v>0</v>
      </c>
      <c r="N167" s="403"/>
      <c r="O167" s="403"/>
      <c r="P167" s="403"/>
      <c r="Q167" s="403">
        <f>0.15*Q162</f>
        <v>3.5640000000000001</v>
      </c>
      <c r="R167" s="403">
        <f>0.15*R162</f>
        <v>3.5640000000000001</v>
      </c>
      <c r="S167" s="403">
        <f>0.15*S162</f>
        <v>7.1280000000000001</v>
      </c>
      <c r="T167" s="403">
        <f>0.15*T162</f>
        <v>3.5640000000000001</v>
      </c>
    </row>
    <row r="168" spans="1:20" ht="15.6" x14ac:dyDescent="0.3">
      <c r="A168" s="379" t="s">
        <v>229</v>
      </c>
      <c r="B168" s="482" t="s">
        <v>130</v>
      </c>
      <c r="C168" s="173"/>
      <c r="D168" s="174" t="s">
        <v>120</v>
      </c>
      <c r="E168" s="175"/>
      <c r="F168" s="403"/>
      <c r="G168" s="403"/>
      <c r="H168" s="403"/>
      <c r="I168" s="403"/>
      <c r="J168" s="403"/>
      <c r="K168" s="403"/>
      <c r="L168" s="403">
        <f>0.05*L162</f>
        <v>1.4850000000000001</v>
      </c>
      <c r="M168" s="403">
        <f>0.05*M162</f>
        <v>0</v>
      </c>
      <c r="N168" s="403">
        <f>0.6*N162</f>
        <v>10.692</v>
      </c>
      <c r="O168" s="403">
        <f>0.6*O162</f>
        <v>0</v>
      </c>
      <c r="P168" s="403"/>
      <c r="Q168" s="403">
        <f>0.15*Q162</f>
        <v>3.5640000000000001</v>
      </c>
      <c r="R168" s="403">
        <f>0.15*R162</f>
        <v>3.5640000000000001</v>
      </c>
      <c r="S168" s="403">
        <f>0.15*S162</f>
        <v>7.1280000000000001</v>
      </c>
      <c r="T168" s="403">
        <f>0.15*T162</f>
        <v>3.5640000000000001</v>
      </c>
    </row>
    <row r="169" spans="1:20" ht="15.6" x14ac:dyDescent="0.3">
      <c r="A169" s="379" t="s">
        <v>230</v>
      </c>
      <c r="B169" s="482" t="s">
        <v>132</v>
      </c>
      <c r="C169" s="173"/>
      <c r="D169" s="174" t="s">
        <v>120</v>
      </c>
      <c r="E169" s="175"/>
      <c r="F169" s="403">
        <f>0.5*F162</f>
        <v>11.88</v>
      </c>
      <c r="G169" s="403">
        <f>0.5*G162</f>
        <v>11.88</v>
      </c>
      <c r="H169" s="403">
        <f>0.5*H162</f>
        <v>5.94</v>
      </c>
      <c r="I169" s="403">
        <f>0.9*I162</f>
        <v>21.384</v>
      </c>
      <c r="J169" s="403">
        <f>0.9*J162</f>
        <v>21.384</v>
      </c>
      <c r="K169" s="403">
        <f>0.9*K162</f>
        <v>10.692</v>
      </c>
      <c r="L169" s="403"/>
      <c r="M169" s="403"/>
      <c r="N169" s="403"/>
      <c r="O169" s="403"/>
      <c r="P169" s="403"/>
      <c r="Q169" s="403">
        <f>0.2*Q162</f>
        <v>4.7520000000000007</v>
      </c>
      <c r="R169" s="403">
        <f>0.2*R162</f>
        <v>4.7520000000000007</v>
      </c>
      <c r="S169" s="403">
        <f>0.2*S162</f>
        <v>9.5040000000000013</v>
      </c>
      <c r="T169" s="403">
        <f>0.2*T162</f>
        <v>4.7520000000000007</v>
      </c>
    </row>
    <row r="170" spans="1:20" s="99" customFormat="1" ht="15.6" hidden="1" x14ac:dyDescent="0.3">
      <c r="A170" s="380"/>
      <c r="B170" s="247"/>
      <c r="C170" s="139"/>
      <c r="D170" s="97"/>
      <c r="E170" s="98"/>
      <c r="F170" s="404">
        <f t="shared" ref="F170:K170" si="98">F162-SUM(F163:F169)</f>
        <v>0</v>
      </c>
      <c r="G170" s="404">
        <f t="shared" si="98"/>
        <v>0</v>
      </c>
      <c r="H170" s="404">
        <f t="shared" si="98"/>
        <v>0</v>
      </c>
      <c r="I170" s="404">
        <f t="shared" si="98"/>
        <v>0</v>
      </c>
      <c r="J170" s="404">
        <f t="shared" si="98"/>
        <v>0</v>
      </c>
      <c r="K170" s="404">
        <f t="shared" si="98"/>
        <v>0</v>
      </c>
      <c r="L170" s="404">
        <f t="shared" ref="L170:O170" si="99">L162-SUM(L163:L169)</f>
        <v>0</v>
      </c>
      <c r="M170" s="404">
        <f t="shared" si="99"/>
        <v>0</v>
      </c>
      <c r="N170" s="404">
        <f t="shared" si="99"/>
        <v>0</v>
      </c>
      <c r="O170" s="404">
        <f t="shared" si="99"/>
        <v>0</v>
      </c>
      <c r="P170" s="404">
        <f>P162-SUM(P163:P169)</f>
        <v>0</v>
      </c>
      <c r="Q170" s="404">
        <f>Q162-SUM(Q163:Q169)</f>
        <v>0</v>
      </c>
      <c r="R170" s="404">
        <f>R162-SUM(R163:R169)</f>
        <v>0</v>
      </c>
      <c r="S170" s="404">
        <f>S162-SUM(S163:S169)</f>
        <v>0</v>
      </c>
      <c r="T170" s="404">
        <f>T162-SUM(T163:T169)</f>
        <v>0</v>
      </c>
    </row>
    <row r="171" spans="1:20" ht="15.6" x14ac:dyDescent="0.3">
      <c r="A171" s="377"/>
      <c r="B171" s="263"/>
      <c r="C171" s="157"/>
      <c r="D171" s="258"/>
      <c r="E171" s="158"/>
      <c r="F171" s="270"/>
      <c r="G171" s="269"/>
      <c r="H171" s="269"/>
      <c r="I171" s="269"/>
      <c r="J171" s="269"/>
      <c r="K171" s="269"/>
      <c r="L171" s="269"/>
      <c r="M171" s="269"/>
      <c r="N171" s="269"/>
      <c r="O171" s="269"/>
      <c r="P171" s="269"/>
      <c r="Q171" s="269"/>
      <c r="R171" s="269"/>
      <c r="S171" s="269"/>
      <c r="T171" s="407"/>
    </row>
    <row r="172" spans="1:20" s="122" customFormat="1" ht="15.6" x14ac:dyDescent="0.3">
      <c r="A172" s="378" t="s">
        <v>66</v>
      </c>
      <c r="B172" s="265" t="s">
        <v>493</v>
      </c>
      <c r="C172" s="171"/>
      <c r="D172" s="155"/>
      <c r="E172" s="156"/>
      <c r="F172" s="402">
        <f t="shared" ref="F172:T172" si="100">TRUNC((0.15*F160),2)</f>
        <v>7.92</v>
      </c>
      <c r="G172" s="402">
        <f t="shared" si="100"/>
        <v>7.92</v>
      </c>
      <c r="H172" s="402">
        <f t="shared" si="100"/>
        <v>3.96</v>
      </c>
      <c r="I172" s="402">
        <f t="shared" si="100"/>
        <v>7.92</v>
      </c>
      <c r="J172" s="402">
        <f t="shared" si="100"/>
        <v>7.92</v>
      </c>
      <c r="K172" s="402">
        <f t="shared" si="100"/>
        <v>3.96</v>
      </c>
      <c r="L172" s="402">
        <f t="shared" si="100"/>
        <v>9.9</v>
      </c>
      <c r="M172" s="402">
        <f t="shared" si="100"/>
        <v>0</v>
      </c>
      <c r="N172" s="402">
        <f t="shared" si="100"/>
        <v>5.94</v>
      </c>
      <c r="O172" s="402">
        <f t="shared" si="100"/>
        <v>0</v>
      </c>
      <c r="P172" s="402">
        <f t="shared" si="100"/>
        <v>0</v>
      </c>
      <c r="Q172" s="402">
        <f t="shared" si="100"/>
        <v>7.92</v>
      </c>
      <c r="R172" s="402">
        <f t="shared" si="100"/>
        <v>7.92</v>
      </c>
      <c r="S172" s="402">
        <f t="shared" si="100"/>
        <v>15.84</v>
      </c>
      <c r="T172" s="402">
        <f t="shared" si="100"/>
        <v>7.92</v>
      </c>
    </row>
    <row r="173" spans="1:20" ht="15.6" x14ac:dyDescent="0.3">
      <c r="A173" s="379" t="s">
        <v>231</v>
      </c>
      <c r="B173" s="263" t="s">
        <v>134</v>
      </c>
      <c r="C173" s="173"/>
      <c r="D173" s="174" t="s">
        <v>120</v>
      </c>
      <c r="E173" s="175"/>
      <c r="F173" s="403">
        <f>0.1*F172</f>
        <v>0.79200000000000004</v>
      </c>
      <c r="G173" s="403">
        <f>0.1*G172</f>
        <v>0.79200000000000004</v>
      </c>
      <c r="H173" s="403">
        <f>0.1*H172</f>
        <v>0.39600000000000002</v>
      </c>
      <c r="I173" s="403">
        <f>0.6*I172</f>
        <v>4.7519999999999998</v>
      </c>
      <c r="J173" s="403">
        <f>0.6*J172</f>
        <v>4.7519999999999998</v>
      </c>
      <c r="K173" s="403">
        <f>0.6*K172</f>
        <v>2.3759999999999999</v>
      </c>
      <c r="L173" s="403"/>
      <c r="M173" s="403"/>
      <c r="N173" s="403"/>
      <c r="O173" s="403"/>
      <c r="P173" s="403"/>
      <c r="Q173" s="403">
        <f>0.1*Q172</f>
        <v>0.79200000000000004</v>
      </c>
      <c r="R173" s="403">
        <f>0.1*R172</f>
        <v>0.79200000000000004</v>
      </c>
      <c r="S173" s="403">
        <f>0.1*S172</f>
        <v>1.5840000000000001</v>
      </c>
      <c r="T173" s="403">
        <f>0.1*T172</f>
        <v>0.79200000000000004</v>
      </c>
    </row>
    <row r="174" spans="1:20" ht="15.6" x14ac:dyDescent="0.3">
      <c r="A174" s="379" t="s">
        <v>232</v>
      </c>
      <c r="B174" s="264" t="s">
        <v>136</v>
      </c>
      <c r="C174" s="173"/>
      <c r="D174" s="174" t="s">
        <v>120</v>
      </c>
      <c r="E174" s="175"/>
      <c r="F174" s="403">
        <f>0.3*F172</f>
        <v>2.3759999999999999</v>
      </c>
      <c r="G174" s="403">
        <f>0.3*G172</f>
        <v>2.3759999999999999</v>
      </c>
      <c r="H174" s="403">
        <f>0.3*H172</f>
        <v>1.1879999999999999</v>
      </c>
      <c r="I174" s="403">
        <f>0.1*I172</f>
        <v>0.79200000000000004</v>
      </c>
      <c r="J174" s="403">
        <f>0.1*J172</f>
        <v>0.79200000000000004</v>
      </c>
      <c r="K174" s="403">
        <f>0.1*K172</f>
        <v>0.39600000000000002</v>
      </c>
      <c r="L174" s="403"/>
      <c r="M174" s="403"/>
      <c r="N174" s="403"/>
      <c r="O174" s="403"/>
      <c r="P174" s="403"/>
      <c r="Q174" s="403">
        <f>0.1*Q172</f>
        <v>0.79200000000000004</v>
      </c>
      <c r="R174" s="403">
        <f>0.1*R172</f>
        <v>0.79200000000000004</v>
      </c>
      <c r="S174" s="403">
        <f>0.1*S172</f>
        <v>1.5840000000000001</v>
      </c>
      <c r="T174" s="403">
        <f>0.1*T172</f>
        <v>0.79200000000000004</v>
      </c>
    </row>
    <row r="175" spans="1:20" ht="15.6" x14ac:dyDescent="0.3">
      <c r="A175" s="379" t="s">
        <v>233</v>
      </c>
      <c r="B175" s="263" t="s">
        <v>138</v>
      </c>
      <c r="C175" s="173"/>
      <c r="D175" s="174" t="s">
        <v>120</v>
      </c>
      <c r="E175" s="175"/>
      <c r="F175" s="403"/>
      <c r="G175" s="403"/>
      <c r="H175" s="403"/>
      <c r="I175" s="403"/>
      <c r="J175" s="403"/>
      <c r="K175" s="403"/>
      <c r="L175" s="403">
        <f>0.2*L172</f>
        <v>1.9800000000000002</v>
      </c>
      <c r="M175" s="403">
        <f>0.2*M172</f>
        <v>0</v>
      </c>
      <c r="N175" s="403"/>
      <c r="O175" s="403"/>
      <c r="P175" s="403"/>
      <c r="Q175" s="403">
        <f>0.1*Q172</f>
        <v>0.79200000000000004</v>
      </c>
      <c r="R175" s="403">
        <f>0.1*R172</f>
        <v>0.79200000000000004</v>
      </c>
      <c r="S175" s="403">
        <f>0.1*S172</f>
        <v>1.5840000000000001</v>
      </c>
      <c r="T175" s="403">
        <f>0.1*T172</f>
        <v>0.79200000000000004</v>
      </c>
    </row>
    <row r="176" spans="1:20" ht="15.6" x14ac:dyDescent="0.3">
      <c r="A176" s="379" t="s">
        <v>234</v>
      </c>
      <c r="B176" s="264" t="s">
        <v>140</v>
      </c>
      <c r="C176" s="173"/>
      <c r="D176" s="174" t="s">
        <v>120</v>
      </c>
      <c r="E176" s="175"/>
      <c r="F176" s="403"/>
      <c r="G176" s="403"/>
      <c r="H176" s="403"/>
      <c r="I176" s="403"/>
      <c r="J176" s="403"/>
      <c r="K176" s="403"/>
      <c r="L176" s="403">
        <f>0.2*L172</f>
        <v>1.9800000000000002</v>
      </c>
      <c r="M176" s="403">
        <f>0.2*M172</f>
        <v>0</v>
      </c>
      <c r="N176" s="403"/>
      <c r="O176" s="403"/>
      <c r="P176" s="403"/>
      <c r="Q176" s="403">
        <f>0.1*Q172</f>
        <v>0.79200000000000004</v>
      </c>
      <c r="R176" s="403">
        <f>0.1*R172</f>
        <v>0.79200000000000004</v>
      </c>
      <c r="S176" s="403">
        <f>0.1*S172</f>
        <v>1.5840000000000001</v>
      </c>
      <c r="T176" s="403">
        <f>0.1*T172</f>
        <v>0.79200000000000004</v>
      </c>
    </row>
    <row r="177" spans="1:20" ht="15.6" x14ac:dyDescent="0.3">
      <c r="A177" s="379" t="s">
        <v>235</v>
      </c>
      <c r="B177" s="263" t="s">
        <v>142</v>
      </c>
      <c r="C177" s="173"/>
      <c r="D177" s="174" t="s">
        <v>120</v>
      </c>
      <c r="E177" s="175"/>
      <c r="F177" s="403"/>
      <c r="G177" s="403"/>
      <c r="H177" s="403"/>
      <c r="I177" s="403"/>
      <c r="J177" s="403"/>
      <c r="K177" s="403"/>
      <c r="L177" s="403">
        <f>0.15*L172</f>
        <v>1.4850000000000001</v>
      </c>
      <c r="M177" s="403">
        <f>0.15*M172</f>
        <v>0</v>
      </c>
      <c r="N177" s="403"/>
      <c r="O177" s="403"/>
      <c r="P177" s="403"/>
      <c r="Q177" s="403">
        <f>0.05*Q172</f>
        <v>0.39600000000000002</v>
      </c>
      <c r="R177" s="403">
        <f>0.05*R172</f>
        <v>0.39600000000000002</v>
      </c>
      <c r="S177" s="403">
        <f>0.05*S172</f>
        <v>0.79200000000000004</v>
      </c>
      <c r="T177" s="403">
        <f>0.05*T172</f>
        <v>0.39600000000000002</v>
      </c>
    </row>
    <row r="178" spans="1:20" ht="15.6" x14ac:dyDescent="0.3">
      <c r="A178" s="379" t="s">
        <v>236</v>
      </c>
      <c r="B178" s="263" t="s">
        <v>144</v>
      </c>
      <c r="C178" s="173"/>
      <c r="D178" s="174" t="s">
        <v>120</v>
      </c>
      <c r="E178" s="175"/>
      <c r="F178" s="403"/>
      <c r="G178" s="403"/>
      <c r="H178" s="403"/>
      <c r="I178" s="403"/>
      <c r="J178" s="403"/>
      <c r="K178" s="403"/>
      <c r="L178" s="403">
        <f>0.15*L172</f>
        <v>1.4850000000000001</v>
      </c>
      <c r="M178" s="403">
        <f>0.15*M172</f>
        <v>0</v>
      </c>
      <c r="N178" s="403"/>
      <c r="O178" s="403"/>
      <c r="P178" s="403"/>
      <c r="Q178" s="403">
        <f>0.05*Q172</f>
        <v>0.39600000000000002</v>
      </c>
      <c r="R178" s="403">
        <f>0.05*R172</f>
        <v>0.39600000000000002</v>
      </c>
      <c r="S178" s="403">
        <f>0.05*S172</f>
        <v>0.79200000000000004</v>
      </c>
      <c r="T178" s="403">
        <f>0.05*T172</f>
        <v>0.39600000000000002</v>
      </c>
    </row>
    <row r="179" spans="1:20" ht="15.6" x14ac:dyDescent="0.3">
      <c r="A179" s="379" t="s">
        <v>237</v>
      </c>
      <c r="B179" s="263" t="s">
        <v>146</v>
      </c>
      <c r="C179" s="173"/>
      <c r="D179" s="174" t="s">
        <v>120</v>
      </c>
      <c r="E179" s="175"/>
      <c r="F179" s="403">
        <f>0.15*F172</f>
        <v>1.1879999999999999</v>
      </c>
      <c r="G179" s="403">
        <f>0.15*G172</f>
        <v>1.1879999999999999</v>
      </c>
      <c r="H179" s="403">
        <f>0.15*H172</f>
        <v>0.59399999999999997</v>
      </c>
      <c r="I179" s="403">
        <f>0.1*I172</f>
        <v>0.79200000000000004</v>
      </c>
      <c r="J179" s="403">
        <f>0.1*J172</f>
        <v>0.79200000000000004</v>
      </c>
      <c r="K179" s="403">
        <f>0.1*K172</f>
        <v>0.39600000000000002</v>
      </c>
      <c r="L179" s="403">
        <f>0.15*L172</f>
        <v>1.4850000000000001</v>
      </c>
      <c r="M179" s="403">
        <f>0.15*M172</f>
        <v>0</v>
      </c>
      <c r="N179" s="403"/>
      <c r="O179" s="403"/>
      <c r="P179" s="403"/>
      <c r="Q179" s="403">
        <f>0.1*Q172</f>
        <v>0.79200000000000004</v>
      </c>
      <c r="R179" s="403">
        <f>0.1*R172</f>
        <v>0.79200000000000004</v>
      </c>
      <c r="S179" s="403">
        <f>0.1*S172</f>
        <v>1.5840000000000001</v>
      </c>
      <c r="T179" s="403">
        <f>0.1*T172</f>
        <v>0.79200000000000004</v>
      </c>
    </row>
    <row r="180" spans="1:20" ht="15.6" x14ac:dyDescent="0.3">
      <c r="A180" s="379" t="s">
        <v>238</v>
      </c>
      <c r="B180" s="263" t="s">
        <v>148</v>
      </c>
      <c r="C180" s="173"/>
      <c r="D180" s="174" t="s">
        <v>120</v>
      </c>
      <c r="E180" s="175"/>
      <c r="F180" s="403"/>
      <c r="G180" s="403"/>
      <c r="H180" s="403"/>
      <c r="I180" s="403"/>
      <c r="J180" s="403"/>
      <c r="K180" s="403"/>
      <c r="L180" s="403">
        <f>0.15*L172</f>
        <v>1.4850000000000001</v>
      </c>
      <c r="M180" s="403">
        <f>0.15*M172</f>
        <v>0</v>
      </c>
      <c r="N180" s="403">
        <f>0.6*N172</f>
        <v>3.5640000000000001</v>
      </c>
      <c r="O180" s="403">
        <f>0.6*O172</f>
        <v>0</v>
      </c>
      <c r="P180" s="403"/>
      <c r="Q180" s="403">
        <f>0.1*Q172</f>
        <v>0.79200000000000004</v>
      </c>
      <c r="R180" s="403">
        <f>0.1*R172</f>
        <v>0.79200000000000004</v>
      </c>
      <c r="S180" s="403">
        <f>0.1*S172</f>
        <v>1.5840000000000001</v>
      </c>
      <c r="T180" s="403">
        <f>0.1*T172</f>
        <v>0.79200000000000004</v>
      </c>
    </row>
    <row r="181" spans="1:20" ht="15.6" x14ac:dyDescent="0.3">
      <c r="A181" s="379" t="s">
        <v>239</v>
      </c>
      <c r="B181" s="233" t="s">
        <v>150</v>
      </c>
      <c r="C181" s="173"/>
      <c r="D181" s="174" t="s">
        <v>120</v>
      </c>
      <c r="E181" s="175"/>
      <c r="F181" s="403"/>
      <c r="G181" s="403"/>
      <c r="H181" s="403"/>
      <c r="I181" s="403"/>
      <c r="J181" s="403"/>
      <c r="K181" s="403"/>
      <c r="L181" s="403"/>
      <c r="M181" s="403"/>
      <c r="N181" s="403">
        <f>0.4*N172</f>
        <v>2.3760000000000003</v>
      </c>
      <c r="O181" s="403">
        <f>0.4*O172</f>
        <v>0</v>
      </c>
      <c r="P181" s="403"/>
      <c r="Q181" s="403">
        <f>0.1*Q172</f>
        <v>0.79200000000000004</v>
      </c>
      <c r="R181" s="403">
        <f>0.1*R172</f>
        <v>0.79200000000000004</v>
      </c>
      <c r="S181" s="403">
        <f>0.1*S172</f>
        <v>1.5840000000000001</v>
      </c>
      <c r="T181" s="403">
        <f>0.1*T172</f>
        <v>0.79200000000000004</v>
      </c>
    </row>
    <row r="182" spans="1:20" ht="15.6" x14ac:dyDescent="0.3">
      <c r="A182" s="379" t="s">
        <v>240</v>
      </c>
      <c r="B182" s="263" t="s">
        <v>152</v>
      </c>
      <c r="C182" s="173"/>
      <c r="D182" s="174" t="s">
        <v>120</v>
      </c>
      <c r="E182" s="175"/>
      <c r="F182" s="403">
        <f>0.3*F172</f>
        <v>2.3759999999999999</v>
      </c>
      <c r="G182" s="403">
        <f>0.3*G172</f>
        <v>2.3759999999999999</v>
      </c>
      <c r="H182" s="403">
        <f>0.3*H172</f>
        <v>1.1879999999999999</v>
      </c>
      <c r="I182" s="403">
        <f>0.1*I172</f>
        <v>0.79200000000000004</v>
      </c>
      <c r="J182" s="403">
        <f>0.1*J172</f>
        <v>0.79200000000000004</v>
      </c>
      <c r="K182" s="403">
        <f>0.1*K172</f>
        <v>0.39600000000000002</v>
      </c>
      <c r="L182" s="403"/>
      <c r="M182" s="403"/>
      <c r="N182" s="403"/>
      <c r="O182" s="403"/>
      <c r="P182" s="403">
        <f>0.4*P172</f>
        <v>0</v>
      </c>
      <c r="Q182" s="403">
        <f>0.1*Q172</f>
        <v>0.79200000000000004</v>
      </c>
      <c r="R182" s="403">
        <f>0.1*R172</f>
        <v>0.79200000000000004</v>
      </c>
      <c r="S182" s="403">
        <f>0.1*S172</f>
        <v>1.5840000000000001</v>
      </c>
      <c r="T182" s="403">
        <f>0.1*T172</f>
        <v>0.79200000000000004</v>
      </c>
    </row>
    <row r="183" spans="1:20" ht="15.6" x14ac:dyDescent="0.3">
      <c r="A183" s="379" t="s">
        <v>241</v>
      </c>
      <c r="B183" s="263" t="s">
        <v>154</v>
      </c>
      <c r="C183" s="173"/>
      <c r="D183" s="174" t="s">
        <v>120</v>
      </c>
      <c r="E183" s="175"/>
      <c r="F183" s="403">
        <f>0.15*F172</f>
        <v>1.1879999999999999</v>
      </c>
      <c r="G183" s="403">
        <f>0.15*G172</f>
        <v>1.1879999999999999</v>
      </c>
      <c r="H183" s="403">
        <f>0.15*H172</f>
        <v>0.59399999999999997</v>
      </c>
      <c r="I183" s="403">
        <f>0.1*I172</f>
        <v>0.79200000000000004</v>
      </c>
      <c r="J183" s="403">
        <f>0.1*J172</f>
        <v>0.79200000000000004</v>
      </c>
      <c r="K183" s="403">
        <f>0.1*K172</f>
        <v>0.39600000000000002</v>
      </c>
      <c r="L183" s="403"/>
      <c r="M183" s="403"/>
      <c r="N183" s="403"/>
      <c r="O183" s="403"/>
      <c r="P183" s="403"/>
      <c r="Q183" s="403">
        <f>0.1*Q172</f>
        <v>0.79200000000000004</v>
      </c>
      <c r="R183" s="403">
        <f>0.1*R172</f>
        <v>0.79200000000000004</v>
      </c>
      <c r="S183" s="403">
        <f>0.1*S172</f>
        <v>1.5840000000000001</v>
      </c>
      <c r="T183" s="403">
        <f>0.1*T172</f>
        <v>0.79200000000000004</v>
      </c>
    </row>
    <row r="184" spans="1:20" ht="15.6" hidden="1" x14ac:dyDescent="0.3">
      <c r="A184" s="377"/>
      <c r="B184" s="263"/>
      <c r="C184" s="157"/>
      <c r="D184" s="258"/>
      <c r="E184" s="158"/>
      <c r="F184" s="404">
        <f t="shared" ref="F184:P184" si="101">F172-SUM(F173:F183)</f>
        <v>0</v>
      </c>
      <c r="G184" s="404">
        <f t="shared" si="101"/>
        <v>0</v>
      </c>
      <c r="H184" s="404">
        <f t="shared" si="101"/>
        <v>0</v>
      </c>
      <c r="I184" s="404">
        <f t="shared" si="101"/>
        <v>0</v>
      </c>
      <c r="J184" s="404">
        <f t="shared" si="101"/>
        <v>0</v>
      </c>
      <c r="K184" s="404">
        <f t="shared" si="101"/>
        <v>0</v>
      </c>
      <c r="L184" s="404">
        <f t="shared" si="101"/>
        <v>0</v>
      </c>
      <c r="M184" s="404">
        <f t="shared" si="101"/>
        <v>0</v>
      </c>
      <c r="N184" s="404">
        <f t="shared" si="101"/>
        <v>0</v>
      </c>
      <c r="O184" s="404">
        <f t="shared" si="101"/>
        <v>0</v>
      </c>
      <c r="P184" s="404">
        <f t="shared" si="101"/>
        <v>0</v>
      </c>
      <c r="Q184" s="404">
        <f t="shared" ref="Q184:T184" si="102">Q172-SUM(Q173:Q183)</f>
        <v>0</v>
      </c>
      <c r="R184" s="404">
        <f t="shared" si="102"/>
        <v>0</v>
      </c>
      <c r="S184" s="404">
        <f t="shared" si="102"/>
        <v>0</v>
      </c>
      <c r="T184" s="404">
        <f t="shared" si="102"/>
        <v>0</v>
      </c>
    </row>
    <row r="185" spans="1:20" ht="15.6" x14ac:dyDescent="0.3">
      <c r="A185" s="377"/>
      <c r="B185" s="263"/>
      <c r="C185" s="157"/>
      <c r="D185" s="258"/>
      <c r="E185" s="158"/>
      <c r="F185" s="270"/>
      <c r="G185" s="270"/>
      <c r="H185" s="270"/>
      <c r="I185" s="270"/>
      <c r="J185" s="270"/>
      <c r="K185" s="270"/>
      <c r="L185" s="268"/>
      <c r="M185" s="268"/>
      <c r="N185" s="268"/>
      <c r="O185" s="268"/>
      <c r="P185" s="268"/>
      <c r="Q185" s="268"/>
      <c r="R185" s="268"/>
      <c r="S185" s="268"/>
      <c r="T185" s="407"/>
    </row>
    <row r="186" spans="1:20" s="122" customFormat="1" ht="15.6" x14ac:dyDescent="0.3">
      <c r="A186" s="378" t="s">
        <v>67</v>
      </c>
      <c r="B186" s="245" t="s">
        <v>494</v>
      </c>
      <c r="C186" s="171"/>
      <c r="D186" s="155"/>
      <c r="E186" s="156"/>
      <c r="F186" s="402">
        <f t="shared" ref="F186:L186" si="103">TRUNC((0.05*F160),2)</f>
        <v>2.64</v>
      </c>
      <c r="G186" s="402">
        <f t="shared" si="103"/>
        <v>2.64</v>
      </c>
      <c r="H186" s="402">
        <f t="shared" si="103"/>
        <v>1.32</v>
      </c>
      <c r="I186" s="402">
        <f t="shared" si="103"/>
        <v>2.64</v>
      </c>
      <c r="J186" s="402">
        <f t="shared" si="103"/>
        <v>2.64</v>
      </c>
      <c r="K186" s="402">
        <f t="shared" si="103"/>
        <v>1.32</v>
      </c>
      <c r="L186" s="402">
        <f t="shared" si="103"/>
        <v>3.3</v>
      </c>
      <c r="M186" s="402">
        <f t="shared" ref="M186:P186" si="104">TRUNC((0.1*M160),2)</f>
        <v>0</v>
      </c>
      <c r="N186" s="402">
        <f>TRUNC((0.05*N160),2)</f>
        <v>1.98</v>
      </c>
      <c r="O186" s="402">
        <f t="shared" si="104"/>
        <v>0</v>
      </c>
      <c r="P186" s="402">
        <f t="shared" si="104"/>
        <v>0</v>
      </c>
      <c r="Q186" s="402">
        <f>TRUNC((0.05*Q160),2)</f>
        <v>2.64</v>
      </c>
      <c r="R186" s="402">
        <f>TRUNC((0.05*R160),2)</f>
        <v>2.64</v>
      </c>
      <c r="S186" s="402">
        <f>TRUNC((0.05*S160),2)</f>
        <v>5.28</v>
      </c>
      <c r="T186" s="402">
        <f>TRUNC((0.05*T160),2)</f>
        <v>2.64</v>
      </c>
    </row>
    <row r="187" spans="1:20" ht="15.6" x14ac:dyDescent="0.3">
      <c r="A187" s="377" t="s">
        <v>242</v>
      </c>
      <c r="B187" s="264" t="s">
        <v>159</v>
      </c>
      <c r="C187" s="157"/>
      <c r="D187" s="258" t="s">
        <v>120</v>
      </c>
      <c r="E187" s="158"/>
      <c r="F187" s="403">
        <f t="shared" ref="F187:T187" si="105">1*F186</f>
        <v>2.64</v>
      </c>
      <c r="G187" s="403">
        <f t="shared" si="105"/>
        <v>2.64</v>
      </c>
      <c r="H187" s="403">
        <f t="shared" si="105"/>
        <v>1.32</v>
      </c>
      <c r="I187" s="403">
        <f t="shared" si="105"/>
        <v>2.64</v>
      </c>
      <c r="J187" s="403">
        <f t="shared" si="105"/>
        <v>2.64</v>
      </c>
      <c r="K187" s="403">
        <f t="shared" si="105"/>
        <v>1.32</v>
      </c>
      <c r="L187" s="403">
        <f t="shared" si="105"/>
        <v>3.3</v>
      </c>
      <c r="M187" s="403">
        <f t="shared" si="105"/>
        <v>0</v>
      </c>
      <c r="N187" s="403">
        <f t="shared" si="105"/>
        <v>1.98</v>
      </c>
      <c r="O187" s="403">
        <f t="shared" si="105"/>
        <v>0</v>
      </c>
      <c r="P187" s="403">
        <f t="shared" si="105"/>
        <v>0</v>
      </c>
      <c r="Q187" s="403">
        <f t="shared" si="105"/>
        <v>2.64</v>
      </c>
      <c r="R187" s="403">
        <f t="shared" si="105"/>
        <v>2.64</v>
      </c>
      <c r="S187" s="403">
        <f t="shared" si="105"/>
        <v>5.28</v>
      </c>
      <c r="T187" s="403">
        <f t="shared" si="105"/>
        <v>2.64</v>
      </c>
    </row>
    <row r="188" spans="1:20" ht="15.6" hidden="1" x14ac:dyDescent="0.3">
      <c r="A188" s="377"/>
      <c r="B188" s="263"/>
      <c r="C188" s="157"/>
      <c r="D188" s="258"/>
      <c r="E188" s="158"/>
      <c r="F188" s="404">
        <f t="shared" ref="F188:T188" si="106">F186-SUM(F187:F187)</f>
        <v>0</v>
      </c>
      <c r="G188" s="404">
        <f t="shared" si="106"/>
        <v>0</v>
      </c>
      <c r="H188" s="404">
        <f t="shared" si="106"/>
        <v>0</v>
      </c>
      <c r="I188" s="404">
        <f t="shared" si="106"/>
        <v>0</v>
      </c>
      <c r="J188" s="404">
        <f t="shared" si="106"/>
        <v>0</v>
      </c>
      <c r="K188" s="404">
        <f t="shared" si="106"/>
        <v>0</v>
      </c>
      <c r="L188" s="404">
        <f t="shared" si="106"/>
        <v>0</v>
      </c>
      <c r="M188" s="404">
        <f t="shared" si="106"/>
        <v>0</v>
      </c>
      <c r="N188" s="404">
        <f t="shared" si="106"/>
        <v>0</v>
      </c>
      <c r="O188" s="404">
        <f t="shared" si="106"/>
        <v>0</v>
      </c>
      <c r="P188" s="404">
        <f t="shared" si="106"/>
        <v>0</v>
      </c>
      <c r="Q188" s="404">
        <f t="shared" si="106"/>
        <v>0</v>
      </c>
      <c r="R188" s="404">
        <f t="shared" si="106"/>
        <v>0</v>
      </c>
      <c r="S188" s="404">
        <f t="shared" si="106"/>
        <v>0</v>
      </c>
      <c r="T188" s="404">
        <f t="shared" si="106"/>
        <v>0</v>
      </c>
    </row>
    <row r="189" spans="1:20" ht="15.6" x14ac:dyDescent="0.3">
      <c r="A189" s="377"/>
      <c r="B189" s="263"/>
      <c r="C189" s="157"/>
      <c r="D189" s="258"/>
      <c r="E189" s="158"/>
      <c r="F189" s="270"/>
      <c r="G189" s="270"/>
      <c r="H189" s="270"/>
      <c r="I189" s="270"/>
      <c r="J189" s="270"/>
      <c r="K189" s="270"/>
      <c r="L189" s="269"/>
      <c r="M189" s="269"/>
      <c r="N189" s="269"/>
      <c r="O189" s="269"/>
      <c r="P189" s="269"/>
      <c r="Q189" s="269"/>
      <c r="R189" s="269"/>
      <c r="S189" s="269"/>
      <c r="T189" s="407"/>
    </row>
    <row r="190" spans="1:20" s="122" customFormat="1" ht="15.6" x14ac:dyDescent="0.3">
      <c r="A190" s="378" t="s">
        <v>68</v>
      </c>
      <c r="B190" s="265" t="s">
        <v>495</v>
      </c>
      <c r="C190" s="171"/>
      <c r="D190" s="155"/>
      <c r="E190" s="156"/>
      <c r="F190" s="402">
        <f t="shared" ref="F190:T190" si="107">TRUNC((0.1*F160),2)</f>
        <v>5.28</v>
      </c>
      <c r="G190" s="402">
        <f t="shared" si="107"/>
        <v>5.28</v>
      </c>
      <c r="H190" s="402">
        <f t="shared" si="107"/>
        <v>2.64</v>
      </c>
      <c r="I190" s="402">
        <f t="shared" si="107"/>
        <v>5.28</v>
      </c>
      <c r="J190" s="402">
        <f t="shared" si="107"/>
        <v>5.28</v>
      </c>
      <c r="K190" s="402">
        <f t="shared" si="107"/>
        <v>2.64</v>
      </c>
      <c r="L190" s="402">
        <f t="shared" si="107"/>
        <v>6.6</v>
      </c>
      <c r="M190" s="402">
        <f t="shared" si="107"/>
        <v>0</v>
      </c>
      <c r="N190" s="402">
        <f t="shared" si="107"/>
        <v>3.96</v>
      </c>
      <c r="O190" s="402">
        <f t="shared" si="107"/>
        <v>0</v>
      </c>
      <c r="P190" s="402">
        <f t="shared" si="107"/>
        <v>0</v>
      </c>
      <c r="Q190" s="402">
        <f t="shared" si="107"/>
        <v>5.28</v>
      </c>
      <c r="R190" s="402">
        <f t="shared" si="107"/>
        <v>5.28</v>
      </c>
      <c r="S190" s="402">
        <f t="shared" si="107"/>
        <v>10.56</v>
      </c>
      <c r="T190" s="402">
        <f t="shared" si="107"/>
        <v>5.28</v>
      </c>
    </row>
    <row r="191" spans="1:20" ht="15.6" x14ac:dyDescent="0.3">
      <c r="A191" s="379" t="s">
        <v>243</v>
      </c>
      <c r="B191" s="264" t="s">
        <v>160</v>
      </c>
      <c r="C191" s="172"/>
      <c r="D191" s="174" t="s">
        <v>120</v>
      </c>
      <c r="E191" s="175"/>
      <c r="F191" s="403">
        <f t="shared" ref="F191:T191" si="108">1*F190</f>
        <v>5.28</v>
      </c>
      <c r="G191" s="403">
        <f t="shared" si="108"/>
        <v>5.28</v>
      </c>
      <c r="H191" s="403">
        <f t="shared" si="108"/>
        <v>2.64</v>
      </c>
      <c r="I191" s="403">
        <f t="shared" si="108"/>
        <v>5.28</v>
      </c>
      <c r="J191" s="403">
        <f t="shared" si="108"/>
        <v>5.28</v>
      </c>
      <c r="K191" s="403">
        <f t="shared" si="108"/>
        <v>2.64</v>
      </c>
      <c r="L191" s="403">
        <f t="shared" si="108"/>
        <v>6.6</v>
      </c>
      <c r="M191" s="403">
        <f t="shared" si="108"/>
        <v>0</v>
      </c>
      <c r="N191" s="403">
        <f t="shared" si="108"/>
        <v>3.96</v>
      </c>
      <c r="O191" s="403">
        <f t="shared" si="108"/>
        <v>0</v>
      </c>
      <c r="P191" s="403">
        <f t="shared" si="108"/>
        <v>0</v>
      </c>
      <c r="Q191" s="403">
        <f t="shared" si="108"/>
        <v>5.28</v>
      </c>
      <c r="R191" s="403">
        <f t="shared" si="108"/>
        <v>5.28</v>
      </c>
      <c r="S191" s="403">
        <f t="shared" si="108"/>
        <v>10.56</v>
      </c>
      <c r="T191" s="403">
        <f t="shared" si="108"/>
        <v>5.28</v>
      </c>
    </row>
    <row r="192" spans="1:20" ht="15.6" hidden="1" x14ac:dyDescent="0.3">
      <c r="A192" s="377"/>
      <c r="B192" s="263"/>
      <c r="C192" s="157"/>
      <c r="D192" s="258"/>
      <c r="E192" s="158"/>
      <c r="F192" s="404">
        <f t="shared" ref="F192:T192" si="109">F190-SUM(F191:F191)</f>
        <v>0</v>
      </c>
      <c r="G192" s="404">
        <f t="shared" si="109"/>
        <v>0</v>
      </c>
      <c r="H192" s="404">
        <f t="shared" si="109"/>
        <v>0</v>
      </c>
      <c r="I192" s="404">
        <f t="shared" si="109"/>
        <v>0</v>
      </c>
      <c r="J192" s="404">
        <f t="shared" si="109"/>
        <v>0</v>
      </c>
      <c r="K192" s="404">
        <f t="shared" si="109"/>
        <v>0</v>
      </c>
      <c r="L192" s="404">
        <f t="shared" si="109"/>
        <v>0</v>
      </c>
      <c r="M192" s="404">
        <f t="shared" si="109"/>
        <v>0</v>
      </c>
      <c r="N192" s="404">
        <f t="shared" si="109"/>
        <v>0</v>
      </c>
      <c r="O192" s="404">
        <f t="shared" si="109"/>
        <v>0</v>
      </c>
      <c r="P192" s="404">
        <f t="shared" si="109"/>
        <v>0</v>
      </c>
      <c r="Q192" s="404">
        <f t="shared" si="109"/>
        <v>0</v>
      </c>
      <c r="R192" s="404">
        <f t="shared" si="109"/>
        <v>0</v>
      </c>
      <c r="S192" s="404">
        <f t="shared" si="109"/>
        <v>0</v>
      </c>
      <c r="T192" s="404">
        <f t="shared" si="109"/>
        <v>0</v>
      </c>
    </row>
    <row r="193" spans="1:23" ht="15.6" x14ac:dyDescent="0.3">
      <c r="A193" s="377"/>
      <c r="B193" s="263"/>
      <c r="C193" s="157"/>
      <c r="D193" s="258"/>
      <c r="E193" s="158"/>
      <c r="F193" s="270"/>
      <c r="G193" s="270"/>
      <c r="H193" s="270"/>
      <c r="I193" s="270"/>
      <c r="J193" s="270"/>
      <c r="K193" s="270"/>
      <c r="L193" s="269"/>
      <c r="M193" s="269"/>
      <c r="N193" s="269"/>
      <c r="O193" s="269"/>
      <c r="P193" s="269"/>
      <c r="Q193" s="269"/>
      <c r="R193" s="269"/>
      <c r="S193" s="269"/>
      <c r="T193" s="407"/>
    </row>
    <row r="194" spans="1:23" s="122" customFormat="1" ht="15.6" x14ac:dyDescent="0.3">
      <c r="A194" s="378" t="s">
        <v>69</v>
      </c>
      <c r="B194" s="244" t="s">
        <v>246</v>
      </c>
      <c r="C194" s="123"/>
      <c r="D194" s="155"/>
      <c r="E194" s="156"/>
      <c r="F194" s="402">
        <f t="shared" ref="F194:T194" si="110">TRUNC((0.1*F160),2)</f>
        <v>5.28</v>
      </c>
      <c r="G194" s="402">
        <f t="shared" si="110"/>
        <v>5.28</v>
      </c>
      <c r="H194" s="402">
        <f t="shared" si="110"/>
        <v>2.64</v>
      </c>
      <c r="I194" s="402">
        <f t="shared" si="110"/>
        <v>5.28</v>
      </c>
      <c r="J194" s="402">
        <f t="shared" si="110"/>
        <v>5.28</v>
      </c>
      <c r="K194" s="402">
        <f t="shared" si="110"/>
        <v>2.64</v>
      </c>
      <c r="L194" s="402">
        <f t="shared" si="110"/>
        <v>6.6</v>
      </c>
      <c r="M194" s="402">
        <f t="shared" si="110"/>
        <v>0</v>
      </c>
      <c r="N194" s="402">
        <f t="shared" si="110"/>
        <v>3.96</v>
      </c>
      <c r="O194" s="402">
        <f t="shared" si="110"/>
        <v>0</v>
      </c>
      <c r="P194" s="402">
        <f t="shared" si="110"/>
        <v>0</v>
      </c>
      <c r="Q194" s="402">
        <f t="shared" si="110"/>
        <v>5.28</v>
      </c>
      <c r="R194" s="402">
        <f t="shared" si="110"/>
        <v>5.28</v>
      </c>
      <c r="S194" s="402">
        <f t="shared" si="110"/>
        <v>10.56</v>
      </c>
      <c r="T194" s="402">
        <f t="shared" si="110"/>
        <v>5.28</v>
      </c>
    </row>
    <row r="195" spans="1:23" ht="15.6" x14ac:dyDescent="0.3">
      <c r="A195" s="379" t="s">
        <v>244</v>
      </c>
      <c r="B195" s="264" t="s">
        <v>164</v>
      </c>
      <c r="C195" s="172"/>
      <c r="D195" s="174" t="s">
        <v>120</v>
      </c>
      <c r="E195" s="175"/>
      <c r="F195" s="406">
        <f t="shared" ref="F195:L195" si="111">0.5*F194</f>
        <v>2.64</v>
      </c>
      <c r="G195" s="406">
        <f t="shared" si="111"/>
        <v>2.64</v>
      </c>
      <c r="H195" s="406">
        <f t="shared" si="111"/>
        <v>1.32</v>
      </c>
      <c r="I195" s="406">
        <f t="shared" si="111"/>
        <v>2.64</v>
      </c>
      <c r="J195" s="406">
        <f t="shared" si="111"/>
        <v>2.64</v>
      </c>
      <c r="K195" s="406">
        <f t="shared" si="111"/>
        <v>1.32</v>
      </c>
      <c r="L195" s="406">
        <f t="shared" si="111"/>
        <v>3.3</v>
      </c>
      <c r="M195" s="406">
        <f t="shared" ref="M195:P195" si="112">0.2*M194</f>
        <v>0</v>
      </c>
      <c r="N195" s="406">
        <f>0.5*N194</f>
        <v>1.98</v>
      </c>
      <c r="O195" s="406">
        <f t="shared" si="112"/>
        <v>0</v>
      </c>
      <c r="P195" s="516">
        <f t="shared" si="112"/>
        <v>0</v>
      </c>
      <c r="Q195" s="406">
        <f>0.5*Q194</f>
        <v>2.64</v>
      </c>
      <c r="R195" s="406">
        <f>0.5*R194</f>
        <v>2.64</v>
      </c>
      <c r="S195" s="406">
        <f>0.5*S194</f>
        <v>5.28</v>
      </c>
      <c r="T195" s="406">
        <f>0.5*T194</f>
        <v>2.64</v>
      </c>
    </row>
    <row r="196" spans="1:23" ht="15.6" x14ac:dyDescent="0.3">
      <c r="A196" s="379" t="s">
        <v>245</v>
      </c>
      <c r="B196" s="263" t="s">
        <v>165</v>
      </c>
      <c r="C196" s="173"/>
      <c r="D196" s="174" t="s">
        <v>120</v>
      </c>
      <c r="E196" s="175"/>
      <c r="F196" s="406">
        <f t="shared" ref="F196:L196" si="113">0.5*F194</f>
        <v>2.64</v>
      </c>
      <c r="G196" s="406">
        <f t="shared" si="113"/>
        <v>2.64</v>
      </c>
      <c r="H196" s="406">
        <f t="shared" si="113"/>
        <v>1.32</v>
      </c>
      <c r="I196" s="406">
        <f t="shared" si="113"/>
        <v>2.64</v>
      </c>
      <c r="J196" s="406">
        <f t="shared" si="113"/>
        <v>2.64</v>
      </c>
      <c r="K196" s="406">
        <f t="shared" si="113"/>
        <v>1.32</v>
      </c>
      <c r="L196" s="406">
        <f t="shared" si="113"/>
        <v>3.3</v>
      </c>
      <c r="M196" s="406">
        <f t="shared" ref="M196:P196" si="114">0.1*M194</f>
        <v>0</v>
      </c>
      <c r="N196" s="406">
        <f>0.5*N194</f>
        <v>1.98</v>
      </c>
      <c r="O196" s="406">
        <f t="shared" si="114"/>
        <v>0</v>
      </c>
      <c r="P196" s="516">
        <f t="shared" si="114"/>
        <v>0</v>
      </c>
      <c r="Q196" s="406">
        <f>0.5*Q194</f>
        <v>2.64</v>
      </c>
      <c r="R196" s="406">
        <f>0.5*R194</f>
        <v>2.64</v>
      </c>
      <c r="S196" s="406">
        <f>0.5*S194</f>
        <v>5.28</v>
      </c>
      <c r="T196" s="406">
        <f>0.5*T194</f>
        <v>2.64</v>
      </c>
    </row>
    <row r="197" spans="1:23" ht="15.6" hidden="1" x14ac:dyDescent="0.3">
      <c r="A197" s="377"/>
      <c r="B197" s="263"/>
      <c r="C197" s="173"/>
      <c r="D197" s="174"/>
      <c r="E197" s="158"/>
      <c r="F197" s="404">
        <f t="shared" ref="F197:T197" si="115">F194-SUM(F195:F196)</f>
        <v>0</v>
      </c>
      <c r="G197" s="404">
        <f t="shared" si="115"/>
        <v>0</v>
      </c>
      <c r="H197" s="404">
        <f t="shared" si="115"/>
        <v>0</v>
      </c>
      <c r="I197" s="404">
        <f t="shared" si="115"/>
        <v>0</v>
      </c>
      <c r="J197" s="404">
        <f t="shared" si="115"/>
        <v>0</v>
      </c>
      <c r="K197" s="404">
        <f t="shared" si="115"/>
        <v>0</v>
      </c>
      <c r="L197" s="404">
        <f t="shared" si="115"/>
        <v>0</v>
      </c>
      <c r="M197" s="404">
        <f t="shared" si="115"/>
        <v>0</v>
      </c>
      <c r="N197" s="404">
        <f t="shared" si="115"/>
        <v>0</v>
      </c>
      <c r="O197" s="404">
        <f t="shared" si="115"/>
        <v>0</v>
      </c>
      <c r="P197" s="404">
        <f t="shared" si="115"/>
        <v>0</v>
      </c>
      <c r="Q197" s="404">
        <f t="shared" si="115"/>
        <v>0</v>
      </c>
      <c r="R197" s="404">
        <f t="shared" si="115"/>
        <v>0</v>
      </c>
      <c r="S197" s="404">
        <f t="shared" si="115"/>
        <v>0</v>
      </c>
      <c r="T197" s="404">
        <f t="shared" si="115"/>
        <v>0</v>
      </c>
    </row>
    <row r="198" spans="1:23" ht="15.6" x14ac:dyDescent="0.3">
      <c r="A198" s="377"/>
      <c r="B198" s="263"/>
      <c r="C198" s="157"/>
      <c r="D198" s="258"/>
      <c r="E198" s="158"/>
      <c r="F198" s="270"/>
      <c r="G198" s="270"/>
      <c r="H198" s="270"/>
      <c r="I198" s="270"/>
      <c r="J198" s="270"/>
      <c r="K198" s="270"/>
      <c r="L198" s="269"/>
      <c r="M198" s="269"/>
      <c r="N198" s="269"/>
      <c r="O198" s="269"/>
      <c r="P198" s="269"/>
      <c r="Q198" s="269"/>
      <c r="R198" s="269"/>
      <c r="S198" s="269"/>
      <c r="T198" s="407"/>
    </row>
    <row r="199" spans="1:23" s="122" customFormat="1" ht="15.6" x14ac:dyDescent="0.3">
      <c r="A199" s="385" t="s">
        <v>70</v>
      </c>
      <c r="B199" s="244" t="s">
        <v>496</v>
      </c>
      <c r="C199" s="124"/>
      <c r="D199" s="155"/>
      <c r="E199" s="125"/>
      <c r="F199" s="402">
        <f t="shared" ref="F199:L199" si="116">TRUNC((0.15*F160),2)</f>
        <v>7.92</v>
      </c>
      <c r="G199" s="402">
        <f t="shared" si="116"/>
        <v>7.92</v>
      </c>
      <c r="H199" s="402">
        <f t="shared" si="116"/>
        <v>3.96</v>
      </c>
      <c r="I199" s="402">
        <f t="shared" si="116"/>
        <v>7.92</v>
      </c>
      <c r="J199" s="402">
        <f t="shared" si="116"/>
        <v>7.92</v>
      </c>
      <c r="K199" s="402">
        <f t="shared" si="116"/>
        <v>3.96</v>
      </c>
      <c r="L199" s="402">
        <f t="shared" si="116"/>
        <v>9.9</v>
      </c>
      <c r="M199" s="402">
        <f t="shared" ref="M199:P199" si="117">TRUNC((0.1*M160),2)</f>
        <v>0</v>
      </c>
      <c r="N199" s="402">
        <f>TRUNC((0.15*N160),2)</f>
        <v>5.94</v>
      </c>
      <c r="O199" s="402">
        <f t="shared" si="117"/>
        <v>0</v>
      </c>
      <c r="P199" s="402">
        <f t="shared" si="117"/>
        <v>0</v>
      </c>
      <c r="Q199" s="402">
        <f>TRUNC((0.15*Q160),2)</f>
        <v>7.92</v>
      </c>
      <c r="R199" s="402">
        <f>TRUNC((0.15*R160),2)</f>
        <v>7.92</v>
      </c>
      <c r="S199" s="402">
        <f>TRUNC((0.15*S160),2)</f>
        <v>15.84</v>
      </c>
      <c r="T199" s="402">
        <f>TRUNC((0.15*T160),2)</f>
        <v>7.92</v>
      </c>
    </row>
    <row r="200" spans="1:23" ht="15.6" x14ac:dyDescent="0.3">
      <c r="A200" s="383" t="s">
        <v>247</v>
      </c>
      <c r="B200" s="263" t="s">
        <v>161</v>
      </c>
      <c r="C200" s="177"/>
      <c r="D200" s="174" t="s">
        <v>120</v>
      </c>
      <c r="E200" s="178"/>
      <c r="F200" s="403">
        <f t="shared" ref="F200:L200" si="118">1*F199</f>
        <v>7.92</v>
      </c>
      <c r="G200" s="403">
        <f t="shared" si="118"/>
        <v>7.92</v>
      </c>
      <c r="H200" s="403">
        <f t="shared" si="118"/>
        <v>3.96</v>
      </c>
      <c r="I200" s="403">
        <f t="shared" si="118"/>
        <v>7.92</v>
      </c>
      <c r="J200" s="403">
        <f t="shared" si="118"/>
        <v>7.92</v>
      </c>
      <c r="K200" s="403">
        <f t="shared" si="118"/>
        <v>3.96</v>
      </c>
      <c r="L200" s="403">
        <f t="shared" si="118"/>
        <v>9.9</v>
      </c>
      <c r="M200" s="403">
        <f t="shared" ref="M200:P200" si="119">0.5*M199</f>
        <v>0</v>
      </c>
      <c r="N200" s="403">
        <f>1*N199</f>
        <v>5.94</v>
      </c>
      <c r="O200" s="403">
        <f t="shared" si="119"/>
        <v>0</v>
      </c>
      <c r="P200" s="403">
        <f t="shared" si="119"/>
        <v>0</v>
      </c>
      <c r="Q200" s="403">
        <f>1*Q199</f>
        <v>7.92</v>
      </c>
      <c r="R200" s="403">
        <f>1*R199</f>
        <v>7.92</v>
      </c>
      <c r="S200" s="403">
        <f>1*S199</f>
        <v>15.84</v>
      </c>
      <c r="T200" s="403">
        <f>1*T199</f>
        <v>7.92</v>
      </c>
    </row>
    <row r="201" spans="1:23" ht="15.6" hidden="1" x14ac:dyDescent="0.3">
      <c r="A201" s="384"/>
      <c r="B201" s="263"/>
      <c r="C201" s="153"/>
      <c r="D201" s="258"/>
      <c r="E201" s="154"/>
      <c r="F201" s="404">
        <f t="shared" ref="F201:T201" si="120">F199-SUM(F200:F200)</f>
        <v>0</v>
      </c>
      <c r="G201" s="404">
        <f t="shared" si="120"/>
        <v>0</v>
      </c>
      <c r="H201" s="404">
        <f t="shared" si="120"/>
        <v>0</v>
      </c>
      <c r="I201" s="404">
        <f t="shared" si="120"/>
        <v>0</v>
      </c>
      <c r="J201" s="404">
        <f t="shared" si="120"/>
        <v>0</v>
      </c>
      <c r="K201" s="404">
        <f t="shared" si="120"/>
        <v>0</v>
      </c>
      <c r="L201" s="404">
        <f t="shared" si="120"/>
        <v>0</v>
      </c>
      <c r="M201" s="404">
        <f t="shared" si="120"/>
        <v>0</v>
      </c>
      <c r="N201" s="404">
        <f t="shared" si="120"/>
        <v>0</v>
      </c>
      <c r="O201" s="404">
        <f t="shared" si="120"/>
        <v>0</v>
      </c>
      <c r="P201" s="404">
        <f t="shared" si="120"/>
        <v>0</v>
      </c>
      <c r="Q201" s="404">
        <f t="shared" si="120"/>
        <v>0</v>
      </c>
      <c r="R201" s="404">
        <f t="shared" si="120"/>
        <v>0</v>
      </c>
      <c r="S201" s="404">
        <f t="shared" si="120"/>
        <v>0</v>
      </c>
      <c r="T201" s="404">
        <f t="shared" si="120"/>
        <v>0</v>
      </c>
    </row>
    <row r="202" spans="1:23" ht="15.6" x14ac:dyDescent="0.3">
      <c r="A202" s="377"/>
      <c r="B202" s="263"/>
      <c r="C202" s="157"/>
      <c r="D202" s="258"/>
      <c r="E202" s="158"/>
      <c r="F202" s="407"/>
      <c r="G202" s="407"/>
      <c r="H202" s="407"/>
      <c r="I202" s="407"/>
      <c r="J202" s="407"/>
      <c r="K202" s="407"/>
      <c r="L202" s="407"/>
      <c r="M202" s="407"/>
      <c r="N202" s="407"/>
      <c r="O202" s="407"/>
      <c r="P202" s="407"/>
      <c r="Q202" s="407"/>
      <c r="R202" s="407"/>
      <c r="S202" s="407"/>
      <c r="T202" s="407"/>
    </row>
    <row r="203" spans="1:23" s="513" customFormat="1" ht="16.5" customHeight="1" x14ac:dyDescent="0.3">
      <c r="A203" s="507"/>
      <c r="B203" s="508" t="s">
        <v>248</v>
      </c>
      <c r="C203" s="509"/>
      <c r="D203" s="510" t="s">
        <v>167</v>
      </c>
      <c r="E203" s="515">
        <f>C160</f>
        <v>0.06</v>
      </c>
      <c r="F203" s="512">
        <f t="shared" ref="F203:T203" si="121">TRUNC((F$12*$E$203),2)</f>
        <v>52.8</v>
      </c>
      <c r="G203" s="512">
        <f t="shared" si="121"/>
        <v>52.8</v>
      </c>
      <c r="H203" s="512">
        <f t="shared" si="121"/>
        <v>26.4</v>
      </c>
      <c r="I203" s="512">
        <f t="shared" si="121"/>
        <v>52.8</v>
      </c>
      <c r="J203" s="512">
        <f t="shared" si="121"/>
        <v>52.8</v>
      </c>
      <c r="K203" s="512">
        <f t="shared" si="121"/>
        <v>26.4</v>
      </c>
      <c r="L203" s="512">
        <f t="shared" si="121"/>
        <v>66</v>
      </c>
      <c r="M203" s="512">
        <f t="shared" si="121"/>
        <v>0</v>
      </c>
      <c r="N203" s="512">
        <f t="shared" si="121"/>
        <v>39.6</v>
      </c>
      <c r="O203" s="512">
        <f t="shared" si="121"/>
        <v>0</v>
      </c>
      <c r="P203" s="512">
        <f t="shared" si="121"/>
        <v>0</v>
      </c>
      <c r="Q203" s="512">
        <f t="shared" si="121"/>
        <v>52.8</v>
      </c>
      <c r="R203" s="512">
        <f t="shared" si="121"/>
        <v>52.8</v>
      </c>
      <c r="S203" s="512">
        <f t="shared" si="121"/>
        <v>105.6</v>
      </c>
      <c r="T203" s="512">
        <f t="shared" si="121"/>
        <v>52.8</v>
      </c>
      <c r="V203" s="514"/>
      <c r="W203" s="514"/>
    </row>
    <row r="204" spans="1:23" ht="16.5" customHeight="1" x14ac:dyDescent="0.3">
      <c r="A204" s="377"/>
      <c r="B204" s="263"/>
      <c r="C204" s="157"/>
      <c r="D204" s="258"/>
      <c r="E204" s="158"/>
      <c r="F204" s="407"/>
      <c r="G204" s="407"/>
      <c r="H204" s="407"/>
      <c r="I204" s="407"/>
      <c r="J204" s="407"/>
      <c r="K204" s="407"/>
      <c r="L204" s="407"/>
      <c r="M204" s="407"/>
      <c r="N204" s="407"/>
      <c r="O204" s="407"/>
      <c r="P204" s="407"/>
      <c r="Q204" s="407"/>
      <c r="R204" s="407"/>
      <c r="S204" s="407"/>
      <c r="T204" s="407"/>
      <c r="V204" s="121"/>
      <c r="W204" s="121"/>
    </row>
    <row r="205" spans="1:23" s="128" customFormat="1" ht="16.5" hidden="1" customHeight="1" x14ac:dyDescent="0.3">
      <c r="A205" s="389"/>
      <c r="B205" s="240"/>
      <c r="C205" s="140"/>
      <c r="D205" s="126" t="s">
        <v>167</v>
      </c>
      <c r="E205" s="127"/>
      <c r="F205" s="411">
        <f t="shared" ref="F205:T205" si="122">F162+F172+F186+F190+F194+F199</f>
        <v>52.800000000000004</v>
      </c>
      <c r="G205" s="411">
        <f t="shared" si="122"/>
        <v>52.800000000000004</v>
      </c>
      <c r="H205" s="411">
        <f t="shared" si="122"/>
        <v>26.400000000000002</v>
      </c>
      <c r="I205" s="411">
        <f t="shared" si="122"/>
        <v>52.800000000000004</v>
      </c>
      <c r="J205" s="411">
        <f t="shared" si="122"/>
        <v>52.800000000000004</v>
      </c>
      <c r="K205" s="411">
        <f t="shared" si="122"/>
        <v>26.400000000000002</v>
      </c>
      <c r="L205" s="411">
        <f t="shared" si="122"/>
        <v>66</v>
      </c>
      <c r="M205" s="411">
        <f t="shared" si="122"/>
        <v>0</v>
      </c>
      <c r="N205" s="411">
        <f t="shared" si="122"/>
        <v>39.6</v>
      </c>
      <c r="O205" s="411">
        <f t="shared" si="122"/>
        <v>0</v>
      </c>
      <c r="P205" s="411">
        <f t="shared" si="122"/>
        <v>0</v>
      </c>
      <c r="Q205" s="411">
        <f t="shared" si="122"/>
        <v>52.800000000000004</v>
      </c>
      <c r="R205" s="411">
        <f t="shared" si="122"/>
        <v>52.800000000000004</v>
      </c>
      <c r="S205" s="411">
        <f t="shared" si="122"/>
        <v>105.60000000000001</v>
      </c>
      <c r="T205" s="411">
        <f t="shared" si="122"/>
        <v>52.800000000000004</v>
      </c>
      <c r="V205" s="129"/>
      <c r="W205" s="129"/>
    </row>
    <row r="206" spans="1:23" ht="16.5" hidden="1" customHeight="1" x14ac:dyDescent="0.3">
      <c r="A206" s="377"/>
      <c r="B206" s="263"/>
      <c r="C206" s="157"/>
      <c r="D206" s="258"/>
      <c r="E206" s="158"/>
      <c r="F206" s="407"/>
      <c r="G206" s="407"/>
      <c r="H206" s="407"/>
      <c r="I206" s="407"/>
      <c r="J206" s="407"/>
      <c r="K206" s="407"/>
      <c r="L206" s="407"/>
      <c r="M206" s="407"/>
      <c r="N206" s="407"/>
      <c r="O206" s="407"/>
      <c r="P206" s="407"/>
      <c r="Q206" s="407"/>
      <c r="R206" s="407"/>
      <c r="S206" s="407"/>
      <c r="T206" s="407"/>
      <c r="V206" s="121"/>
      <c r="W206" s="121"/>
    </row>
    <row r="207" spans="1:23" s="132" customFormat="1" ht="16.5" hidden="1" customHeight="1" x14ac:dyDescent="0.3">
      <c r="A207" s="390"/>
      <c r="B207" s="239"/>
      <c r="C207" s="130"/>
      <c r="D207" s="131"/>
      <c r="E207" s="143" t="s">
        <v>168</v>
      </c>
      <c r="F207" s="412">
        <f>F203-F205</f>
        <v>0</v>
      </c>
      <c r="G207" s="412">
        <f t="shared" ref="G207:J207" si="123">G203-G205</f>
        <v>0</v>
      </c>
      <c r="H207" s="412">
        <f t="shared" si="123"/>
        <v>0</v>
      </c>
      <c r="I207" s="412">
        <f t="shared" si="123"/>
        <v>0</v>
      </c>
      <c r="J207" s="412">
        <f t="shared" si="123"/>
        <v>0</v>
      </c>
      <c r="K207" s="412">
        <f>K203-K205</f>
        <v>0</v>
      </c>
      <c r="L207" s="412">
        <f t="shared" ref="L207" si="124">L203-L205</f>
        <v>0</v>
      </c>
      <c r="M207" s="412">
        <f>M203-M205</f>
        <v>0</v>
      </c>
      <c r="N207" s="412">
        <f t="shared" ref="N207:T207" si="125">N203-N205</f>
        <v>0</v>
      </c>
      <c r="O207" s="412">
        <f t="shared" si="125"/>
        <v>0</v>
      </c>
      <c r="P207" s="412">
        <f t="shared" si="125"/>
        <v>0</v>
      </c>
      <c r="Q207" s="412">
        <f t="shared" si="125"/>
        <v>0</v>
      </c>
      <c r="R207" s="412">
        <f t="shared" si="125"/>
        <v>0</v>
      </c>
      <c r="S207" s="412">
        <f t="shared" si="125"/>
        <v>0</v>
      </c>
      <c r="T207" s="412">
        <f t="shared" si="125"/>
        <v>0</v>
      </c>
      <c r="V207" s="133"/>
      <c r="W207" s="133"/>
    </row>
    <row r="208" spans="1:23" ht="15.6" x14ac:dyDescent="0.3">
      <c r="A208" s="377"/>
      <c r="B208" s="263"/>
      <c r="C208" s="157"/>
      <c r="D208" s="258"/>
      <c r="E208" s="158"/>
      <c r="F208" s="483"/>
      <c r="G208" s="483"/>
      <c r="H208" s="483"/>
      <c r="I208" s="483"/>
      <c r="J208" s="483"/>
      <c r="K208" s="483"/>
      <c r="L208" s="483"/>
      <c r="M208" s="483"/>
      <c r="N208" s="483"/>
      <c r="O208" s="483"/>
      <c r="P208" s="483"/>
      <c r="Q208" s="483"/>
      <c r="R208" s="483"/>
      <c r="S208" s="483"/>
      <c r="T208" s="407"/>
    </row>
    <row r="209" spans="1:20" s="110" customFormat="1" ht="15.6" x14ac:dyDescent="0.3">
      <c r="A209" s="376" t="s">
        <v>73</v>
      </c>
      <c r="B209" s="398" t="s">
        <v>10</v>
      </c>
      <c r="C209" s="134">
        <v>0.13</v>
      </c>
      <c r="D209" s="164"/>
      <c r="E209" s="165"/>
      <c r="F209" s="420">
        <f t="shared" ref="F209:T209" si="126">TRUNC(($C$209*F$12),2)</f>
        <v>114.4</v>
      </c>
      <c r="G209" s="420">
        <f t="shared" si="126"/>
        <v>114.4</v>
      </c>
      <c r="H209" s="420">
        <f t="shared" si="126"/>
        <v>57.2</v>
      </c>
      <c r="I209" s="420">
        <f t="shared" si="126"/>
        <v>114.4</v>
      </c>
      <c r="J209" s="420">
        <f t="shared" si="126"/>
        <v>114.4</v>
      </c>
      <c r="K209" s="420">
        <f t="shared" si="126"/>
        <v>57.2</v>
      </c>
      <c r="L209" s="420">
        <f t="shared" si="126"/>
        <v>143</v>
      </c>
      <c r="M209" s="420">
        <f t="shared" si="126"/>
        <v>0</v>
      </c>
      <c r="N209" s="420">
        <f t="shared" si="126"/>
        <v>85.8</v>
      </c>
      <c r="O209" s="420">
        <f t="shared" si="126"/>
        <v>0</v>
      </c>
      <c r="P209" s="420">
        <f t="shared" si="126"/>
        <v>0</v>
      </c>
      <c r="Q209" s="420">
        <f t="shared" si="126"/>
        <v>114.4</v>
      </c>
      <c r="R209" s="420">
        <f t="shared" si="126"/>
        <v>114.4</v>
      </c>
      <c r="S209" s="420">
        <f t="shared" si="126"/>
        <v>228.8</v>
      </c>
      <c r="T209" s="420">
        <f t="shared" si="126"/>
        <v>114.4</v>
      </c>
    </row>
    <row r="210" spans="1:20" ht="15.6" x14ac:dyDescent="0.3">
      <c r="A210" s="377"/>
      <c r="B210" s="241"/>
      <c r="C210" s="157"/>
      <c r="D210" s="258"/>
      <c r="E210" s="158"/>
      <c r="F210" s="407"/>
      <c r="G210" s="407"/>
      <c r="H210" s="407"/>
      <c r="I210" s="407"/>
      <c r="J210" s="407"/>
      <c r="K210" s="407"/>
      <c r="L210" s="407"/>
      <c r="M210" s="407"/>
      <c r="N210" s="407"/>
      <c r="O210" s="407"/>
      <c r="P210" s="407"/>
      <c r="Q210" s="407"/>
      <c r="R210" s="407"/>
      <c r="S210" s="407"/>
      <c r="T210" s="407"/>
    </row>
    <row r="211" spans="1:20" s="122" customFormat="1" ht="15.6" x14ac:dyDescent="0.3">
      <c r="A211" s="378" t="s">
        <v>74</v>
      </c>
      <c r="B211" s="248" t="s">
        <v>249</v>
      </c>
      <c r="C211" s="171"/>
      <c r="D211" s="155"/>
      <c r="E211" s="156"/>
      <c r="F211" s="405">
        <f t="shared" ref="F211:P211" si="127">TRUNC((0.45*F209),2)</f>
        <v>51.48</v>
      </c>
      <c r="G211" s="405">
        <f t="shared" si="127"/>
        <v>51.48</v>
      </c>
      <c r="H211" s="405">
        <f t="shared" si="127"/>
        <v>25.74</v>
      </c>
      <c r="I211" s="405">
        <f t="shared" si="127"/>
        <v>51.48</v>
      </c>
      <c r="J211" s="405">
        <f t="shared" si="127"/>
        <v>51.48</v>
      </c>
      <c r="K211" s="405">
        <f t="shared" si="127"/>
        <v>25.74</v>
      </c>
      <c r="L211" s="405">
        <f t="shared" si="127"/>
        <v>64.349999999999994</v>
      </c>
      <c r="M211" s="405">
        <f t="shared" si="127"/>
        <v>0</v>
      </c>
      <c r="N211" s="405">
        <f t="shared" si="127"/>
        <v>38.61</v>
      </c>
      <c r="O211" s="405">
        <f t="shared" si="127"/>
        <v>0</v>
      </c>
      <c r="P211" s="405">
        <f t="shared" si="127"/>
        <v>0</v>
      </c>
      <c r="Q211" s="405">
        <f t="shared" ref="Q211:T211" si="128">TRUNC((0.45*Q209),2)</f>
        <v>51.48</v>
      </c>
      <c r="R211" s="405">
        <f t="shared" si="128"/>
        <v>51.48</v>
      </c>
      <c r="S211" s="405">
        <f t="shared" si="128"/>
        <v>102.96</v>
      </c>
      <c r="T211" s="405">
        <f t="shared" si="128"/>
        <v>51.48</v>
      </c>
    </row>
    <row r="212" spans="1:20" ht="15.6" x14ac:dyDescent="0.3">
      <c r="A212" s="379" t="s">
        <v>250</v>
      </c>
      <c r="B212" s="482" t="s">
        <v>119</v>
      </c>
      <c r="C212" s="173"/>
      <c r="D212" s="174" t="s">
        <v>120</v>
      </c>
      <c r="E212" s="175"/>
      <c r="F212" s="403">
        <f>0.5*F211</f>
        <v>25.74</v>
      </c>
      <c r="G212" s="403">
        <f>0.5*G211</f>
        <v>25.74</v>
      </c>
      <c r="H212" s="403">
        <f>0.5*H211</f>
        <v>12.87</v>
      </c>
      <c r="I212" s="403">
        <f>0.1*I211</f>
        <v>5.1479999999999997</v>
      </c>
      <c r="J212" s="403">
        <f>0.1*J211</f>
        <v>5.1479999999999997</v>
      </c>
      <c r="K212" s="403">
        <f>0.1*K211</f>
        <v>2.5739999999999998</v>
      </c>
      <c r="L212" s="403"/>
      <c r="M212" s="403"/>
      <c r="N212" s="403"/>
      <c r="O212" s="403"/>
      <c r="P212" s="403">
        <f>1*P211</f>
        <v>0</v>
      </c>
      <c r="Q212" s="403">
        <f>0.1*Q211</f>
        <v>5.1479999999999997</v>
      </c>
      <c r="R212" s="403">
        <f>0.1*R211</f>
        <v>5.1479999999999997</v>
      </c>
      <c r="S212" s="403">
        <f>0.1*S211</f>
        <v>10.295999999999999</v>
      </c>
      <c r="T212" s="403">
        <f>0.1*T211</f>
        <v>5.1479999999999997</v>
      </c>
    </row>
    <row r="213" spans="1:20" ht="15.6" x14ac:dyDescent="0.3">
      <c r="A213" s="379" t="s">
        <v>251</v>
      </c>
      <c r="B213" s="482" t="s">
        <v>122</v>
      </c>
      <c r="C213" s="173"/>
      <c r="D213" s="174" t="s">
        <v>120</v>
      </c>
      <c r="E213" s="175"/>
      <c r="F213" s="403"/>
      <c r="G213" s="403"/>
      <c r="H213" s="403"/>
      <c r="I213" s="403"/>
      <c r="J213" s="403"/>
      <c r="K213" s="403"/>
      <c r="L213" s="403">
        <f>0.3*L211</f>
        <v>19.304999999999996</v>
      </c>
      <c r="M213" s="403">
        <f>0.3*M211</f>
        <v>0</v>
      </c>
      <c r="N213" s="403"/>
      <c r="O213" s="403"/>
      <c r="P213" s="403"/>
      <c r="Q213" s="403">
        <f>0.15*Q211</f>
        <v>7.7219999999999995</v>
      </c>
      <c r="R213" s="403">
        <f>0.15*R211</f>
        <v>7.7219999999999995</v>
      </c>
      <c r="S213" s="403">
        <f>0.15*S211</f>
        <v>15.443999999999999</v>
      </c>
      <c r="T213" s="403">
        <f>0.15*T211</f>
        <v>7.7219999999999995</v>
      </c>
    </row>
    <row r="214" spans="1:20" ht="15.6" x14ac:dyDescent="0.3">
      <c r="A214" s="379" t="s">
        <v>252</v>
      </c>
      <c r="B214" s="482" t="s">
        <v>124</v>
      </c>
      <c r="C214" s="173"/>
      <c r="D214" s="174" t="s">
        <v>120</v>
      </c>
      <c r="E214" s="175"/>
      <c r="F214" s="403"/>
      <c r="G214" s="403"/>
      <c r="H214" s="403"/>
      <c r="I214" s="403"/>
      <c r="J214" s="403"/>
      <c r="K214" s="403"/>
      <c r="L214" s="403">
        <f>0.3*L211</f>
        <v>19.304999999999996</v>
      </c>
      <c r="M214" s="403">
        <f>0.3*M211</f>
        <v>0</v>
      </c>
      <c r="N214" s="403"/>
      <c r="O214" s="403"/>
      <c r="P214" s="403"/>
      <c r="Q214" s="403">
        <f>0.15*Q211</f>
        <v>7.7219999999999995</v>
      </c>
      <c r="R214" s="403">
        <f>0.15*R211</f>
        <v>7.7219999999999995</v>
      </c>
      <c r="S214" s="403">
        <f>0.15*S211</f>
        <v>15.443999999999999</v>
      </c>
      <c r="T214" s="403">
        <f>0.15*T211</f>
        <v>7.7219999999999995</v>
      </c>
    </row>
    <row r="215" spans="1:20" ht="15.6" x14ac:dyDescent="0.3">
      <c r="A215" s="379" t="s">
        <v>253</v>
      </c>
      <c r="B215" s="567" t="s">
        <v>480</v>
      </c>
      <c r="C215" s="173"/>
      <c r="D215" s="174" t="s">
        <v>120</v>
      </c>
      <c r="E215" s="175"/>
      <c r="F215" s="403"/>
      <c r="G215" s="403"/>
      <c r="H215" s="403"/>
      <c r="I215" s="403"/>
      <c r="J215" s="403"/>
      <c r="K215" s="403"/>
      <c r="L215" s="403">
        <f>0.05*L211</f>
        <v>3.2174999999999998</v>
      </c>
      <c r="M215" s="403">
        <f>0.05*M211</f>
        <v>0</v>
      </c>
      <c r="N215" s="403">
        <f>0.4*N211</f>
        <v>15.444000000000001</v>
      </c>
      <c r="O215" s="403">
        <f>0.4*O211</f>
        <v>0</v>
      </c>
      <c r="P215" s="403"/>
      <c r="Q215" s="403">
        <f>0.1*Q211</f>
        <v>5.1479999999999997</v>
      </c>
      <c r="R215" s="403">
        <f>0.1*R211</f>
        <v>5.1479999999999997</v>
      </c>
      <c r="S215" s="403">
        <f>0.1*S211</f>
        <v>10.295999999999999</v>
      </c>
      <c r="T215" s="403">
        <f>0.1*T211</f>
        <v>5.1479999999999997</v>
      </c>
    </row>
    <row r="216" spans="1:20" ht="15.6" x14ac:dyDescent="0.3">
      <c r="A216" s="379" t="s">
        <v>254</v>
      </c>
      <c r="B216" s="482" t="s">
        <v>128</v>
      </c>
      <c r="C216" s="173"/>
      <c r="D216" s="174" t="s">
        <v>120</v>
      </c>
      <c r="E216" s="175"/>
      <c r="F216" s="403"/>
      <c r="G216" s="403"/>
      <c r="H216" s="403"/>
      <c r="I216" s="403"/>
      <c r="J216" s="403"/>
      <c r="K216" s="403"/>
      <c r="L216" s="403">
        <f>0.3*L211</f>
        <v>19.304999999999996</v>
      </c>
      <c r="M216" s="403">
        <f>0.3*M211</f>
        <v>0</v>
      </c>
      <c r="N216" s="403"/>
      <c r="O216" s="403"/>
      <c r="P216" s="403"/>
      <c r="Q216" s="403">
        <f>0.15*Q211</f>
        <v>7.7219999999999995</v>
      </c>
      <c r="R216" s="403">
        <f>0.15*R211</f>
        <v>7.7219999999999995</v>
      </c>
      <c r="S216" s="403">
        <f>0.15*S211</f>
        <v>15.443999999999999</v>
      </c>
      <c r="T216" s="403">
        <f>0.15*T211</f>
        <v>7.7219999999999995</v>
      </c>
    </row>
    <row r="217" spans="1:20" ht="15.6" x14ac:dyDescent="0.3">
      <c r="A217" s="379" t="s">
        <v>255</v>
      </c>
      <c r="B217" s="482" t="s">
        <v>130</v>
      </c>
      <c r="C217" s="173"/>
      <c r="D217" s="174" t="s">
        <v>120</v>
      </c>
      <c r="E217" s="175"/>
      <c r="F217" s="403"/>
      <c r="G217" s="403"/>
      <c r="H217" s="403"/>
      <c r="I217" s="403"/>
      <c r="J217" s="403"/>
      <c r="K217" s="403"/>
      <c r="L217" s="403">
        <f>0.05*L211</f>
        <v>3.2174999999999998</v>
      </c>
      <c r="M217" s="403">
        <f>0.05*M211</f>
        <v>0</v>
      </c>
      <c r="N217" s="403">
        <f>0.6*N211</f>
        <v>23.166</v>
      </c>
      <c r="O217" s="403">
        <f>0.6*O211</f>
        <v>0</v>
      </c>
      <c r="P217" s="403"/>
      <c r="Q217" s="403">
        <f>0.15*Q211</f>
        <v>7.7219999999999995</v>
      </c>
      <c r="R217" s="403">
        <f>0.15*R211</f>
        <v>7.7219999999999995</v>
      </c>
      <c r="S217" s="403">
        <f>0.15*S211</f>
        <v>15.443999999999999</v>
      </c>
      <c r="T217" s="403">
        <f>0.15*T211</f>
        <v>7.7219999999999995</v>
      </c>
    </row>
    <row r="218" spans="1:20" ht="15.6" x14ac:dyDescent="0.3">
      <c r="A218" s="379" t="s">
        <v>256</v>
      </c>
      <c r="B218" s="482" t="s">
        <v>132</v>
      </c>
      <c r="C218" s="173"/>
      <c r="D218" s="174" t="s">
        <v>120</v>
      </c>
      <c r="E218" s="175"/>
      <c r="F218" s="403">
        <f>0.5*F211</f>
        <v>25.74</v>
      </c>
      <c r="G218" s="403">
        <f>0.5*G211</f>
        <v>25.74</v>
      </c>
      <c r="H218" s="403">
        <f>0.5*H211</f>
        <v>12.87</v>
      </c>
      <c r="I218" s="403">
        <f>0.9*I211</f>
        <v>46.332000000000001</v>
      </c>
      <c r="J218" s="403">
        <f>0.9*J211</f>
        <v>46.332000000000001</v>
      </c>
      <c r="K218" s="403">
        <f>0.9*K211</f>
        <v>23.166</v>
      </c>
      <c r="L218" s="403"/>
      <c r="M218" s="403"/>
      <c r="N218" s="403"/>
      <c r="O218" s="403"/>
      <c r="P218" s="403"/>
      <c r="Q218" s="403">
        <f>0.2*Q211</f>
        <v>10.295999999999999</v>
      </c>
      <c r="R218" s="403">
        <f>0.2*R211</f>
        <v>10.295999999999999</v>
      </c>
      <c r="S218" s="403">
        <f>0.2*S211</f>
        <v>20.591999999999999</v>
      </c>
      <c r="T218" s="403">
        <f>0.2*T211</f>
        <v>10.295999999999999</v>
      </c>
    </row>
    <row r="219" spans="1:20" s="99" customFormat="1" ht="15.6" hidden="1" x14ac:dyDescent="0.3">
      <c r="A219" s="380"/>
      <c r="B219" s="247"/>
      <c r="C219" s="139"/>
      <c r="D219" s="97"/>
      <c r="E219" s="98"/>
      <c r="F219" s="404">
        <f t="shared" ref="F219:K219" si="129">F211-SUM(F212:F218)</f>
        <v>0</v>
      </c>
      <c r="G219" s="404">
        <f t="shared" si="129"/>
        <v>0</v>
      </c>
      <c r="H219" s="404">
        <f t="shared" si="129"/>
        <v>0</v>
      </c>
      <c r="I219" s="404">
        <f t="shared" si="129"/>
        <v>0</v>
      </c>
      <c r="J219" s="404">
        <f t="shared" si="129"/>
        <v>0</v>
      </c>
      <c r="K219" s="404">
        <f t="shared" si="129"/>
        <v>0</v>
      </c>
      <c r="L219" s="404">
        <f t="shared" ref="L219:O219" si="130">L211-SUM(L212:L218)</f>
        <v>0</v>
      </c>
      <c r="M219" s="404">
        <f t="shared" si="130"/>
        <v>0</v>
      </c>
      <c r="N219" s="404">
        <f t="shared" si="130"/>
        <v>0</v>
      </c>
      <c r="O219" s="404">
        <f t="shared" si="130"/>
        <v>0</v>
      </c>
      <c r="P219" s="404">
        <f>P211-SUM(P212:P218)</f>
        <v>0</v>
      </c>
      <c r="Q219" s="404">
        <f>Q211-SUM(Q212:Q218)</f>
        <v>0</v>
      </c>
      <c r="R219" s="404">
        <f>R211-SUM(R212:R218)</f>
        <v>0</v>
      </c>
      <c r="S219" s="404">
        <f>S211-SUM(S212:S218)</f>
        <v>0</v>
      </c>
      <c r="T219" s="404">
        <f>T211-SUM(T212:T218)</f>
        <v>0</v>
      </c>
    </row>
    <row r="220" spans="1:20" ht="15.6" x14ac:dyDescent="0.3">
      <c r="A220" s="377"/>
      <c r="B220" s="263"/>
      <c r="C220" s="157"/>
      <c r="D220" s="258"/>
      <c r="E220" s="158"/>
      <c r="F220" s="270"/>
      <c r="G220" s="269"/>
      <c r="H220" s="269"/>
      <c r="I220" s="269"/>
      <c r="J220" s="269"/>
      <c r="K220" s="269"/>
      <c r="L220" s="269"/>
      <c r="M220" s="269"/>
      <c r="N220" s="269"/>
      <c r="O220" s="269"/>
      <c r="P220" s="269"/>
      <c r="Q220" s="269"/>
      <c r="R220" s="269"/>
      <c r="S220" s="269"/>
      <c r="T220" s="407"/>
    </row>
    <row r="221" spans="1:20" s="122" customFormat="1" ht="15.6" x14ac:dyDescent="0.3">
      <c r="A221" s="378" t="s">
        <v>75</v>
      </c>
      <c r="B221" s="265" t="s">
        <v>497</v>
      </c>
      <c r="C221" s="171"/>
      <c r="D221" s="155"/>
      <c r="E221" s="156"/>
      <c r="F221" s="402">
        <f t="shared" ref="F221:T221" si="131">TRUNC((0.15*F209),2)</f>
        <v>17.16</v>
      </c>
      <c r="G221" s="402">
        <f t="shared" si="131"/>
        <v>17.16</v>
      </c>
      <c r="H221" s="402">
        <f t="shared" si="131"/>
        <v>8.58</v>
      </c>
      <c r="I221" s="402">
        <f t="shared" si="131"/>
        <v>17.16</v>
      </c>
      <c r="J221" s="402">
        <f t="shared" si="131"/>
        <v>17.16</v>
      </c>
      <c r="K221" s="402">
        <f t="shared" si="131"/>
        <v>8.58</v>
      </c>
      <c r="L221" s="402">
        <f t="shared" si="131"/>
        <v>21.45</v>
      </c>
      <c r="M221" s="402">
        <f t="shared" si="131"/>
        <v>0</v>
      </c>
      <c r="N221" s="402">
        <f t="shared" si="131"/>
        <v>12.87</v>
      </c>
      <c r="O221" s="402">
        <f t="shared" si="131"/>
        <v>0</v>
      </c>
      <c r="P221" s="402">
        <f t="shared" si="131"/>
        <v>0</v>
      </c>
      <c r="Q221" s="402">
        <f t="shared" si="131"/>
        <v>17.16</v>
      </c>
      <c r="R221" s="402">
        <f t="shared" si="131"/>
        <v>17.16</v>
      </c>
      <c r="S221" s="402">
        <f t="shared" si="131"/>
        <v>34.32</v>
      </c>
      <c r="T221" s="402">
        <f t="shared" si="131"/>
        <v>17.16</v>
      </c>
    </row>
    <row r="222" spans="1:20" ht="15.6" x14ac:dyDescent="0.3">
      <c r="A222" s="379" t="s">
        <v>257</v>
      </c>
      <c r="B222" s="263" t="s">
        <v>134</v>
      </c>
      <c r="C222" s="173"/>
      <c r="D222" s="174" t="s">
        <v>120</v>
      </c>
      <c r="E222" s="175"/>
      <c r="F222" s="403">
        <f>0.1*F221</f>
        <v>1.7160000000000002</v>
      </c>
      <c r="G222" s="403">
        <f>0.1*G221</f>
        <v>1.7160000000000002</v>
      </c>
      <c r="H222" s="403">
        <f>0.1*H221</f>
        <v>0.8580000000000001</v>
      </c>
      <c r="I222" s="403">
        <f>0.6*I221</f>
        <v>10.295999999999999</v>
      </c>
      <c r="J222" s="403">
        <f>0.6*J221</f>
        <v>10.295999999999999</v>
      </c>
      <c r="K222" s="403">
        <f>0.6*K221</f>
        <v>5.1479999999999997</v>
      </c>
      <c r="L222" s="403"/>
      <c r="M222" s="403"/>
      <c r="N222" s="403"/>
      <c r="O222" s="403"/>
      <c r="P222" s="403"/>
      <c r="Q222" s="403">
        <f>0.1*Q221</f>
        <v>1.7160000000000002</v>
      </c>
      <c r="R222" s="403">
        <f>0.1*R221</f>
        <v>1.7160000000000002</v>
      </c>
      <c r="S222" s="403">
        <f>0.1*S221</f>
        <v>3.4320000000000004</v>
      </c>
      <c r="T222" s="403">
        <f>0.1*T221</f>
        <v>1.7160000000000002</v>
      </c>
    </row>
    <row r="223" spans="1:20" ht="15.6" x14ac:dyDescent="0.3">
      <c r="A223" s="379" t="s">
        <v>258</v>
      </c>
      <c r="B223" s="264" t="s">
        <v>136</v>
      </c>
      <c r="C223" s="173"/>
      <c r="D223" s="174" t="s">
        <v>120</v>
      </c>
      <c r="E223" s="175"/>
      <c r="F223" s="403">
        <f>0.3*F221</f>
        <v>5.1479999999999997</v>
      </c>
      <c r="G223" s="403">
        <f>0.3*G221</f>
        <v>5.1479999999999997</v>
      </c>
      <c r="H223" s="403">
        <f>0.3*H221</f>
        <v>2.5739999999999998</v>
      </c>
      <c r="I223" s="403">
        <f>0.1*I221</f>
        <v>1.7160000000000002</v>
      </c>
      <c r="J223" s="403">
        <f>0.1*J221</f>
        <v>1.7160000000000002</v>
      </c>
      <c r="K223" s="403">
        <f>0.1*K221</f>
        <v>0.8580000000000001</v>
      </c>
      <c r="L223" s="403"/>
      <c r="M223" s="403"/>
      <c r="N223" s="403"/>
      <c r="O223" s="403"/>
      <c r="P223" s="403"/>
      <c r="Q223" s="403">
        <f>0.1*Q221</f>
        <v>1.7160000000000002</v>
      </c>
      <c r="R223" s="403">
        <f>0.1*R221</f>
        <v>1.7160000000000002</v>
      </c>
      <c r="S223" s="403">
        <f>0.1*S221</f>
        <v>3.4320000000000004</v>
      </c>
      <c r="T223" s="403">
        <f>0.1*T221</f>
        <v>1.7160000000000002</v>
      </c>
    </row>
    <row r="224" spans="1:20" ht="15.6" x14ac:dyDescent="0.3">
      <c r="A224" s="379" t="s">
        <v>259</v>
      </c>
      <c r="B224" s="263" t="s">
        <v>138</v>
      </c>
      <c r="C224" s="173"/>
      <c r="D224" s="174" t="s">
        <v>120</v>
      </c>
      <c r="E224" s="175"/>
      <c r="F224" s="403"/>
      <c r="G224" s="403"/>
      <c r="H224" s="403"/>
      <c r="I224" s="403"/>
      <c r="J224" s="403"/>
      <c r="K224" s="403"/>
      <c r="L224" s="403">
        <f>0.2*L221</f>
        <v>4.29</v>
      </c>
      <c r="M224" s="403">
        <f>0.2*M221</f>
        <v>0</v>
      </c>
      <c r="N224" s="403"/>
      <c r="O224" s="403"/>
      <c r="P224" s="403"/>
      <c r="Q224" s="403">
        <f>0.1*Q221</f>
        <v>1.7160000000000002</v>
      </c>
      <c r="R224" s="403">
        <f>0.1*R221</f>
        <v>1.7160000000000002</v>
      </c>
      <c r="S224" s="403">
        <f>0.1*S221</f>
        <v>3.4320000000000004</v>
      </c>
      <c r="T224" s="403">
        <f>0.1*T221</f>
        <v>1.7160000000000002</v>
      </c>
    </row>
    <row r="225" spans="1:20" ht="15.6" x14ac:dyDescent="0.3">
      <c r="A225" s="379" t="s">
        <v>260</v>
      </c>
      <c r="B225" s="264" t="s">
        <v>140</v>
      </c>
      <c r="C225" s="173"/>
      <c r="D225" s="174" t="s">
        <v>120</v>
      </c>
      <c r="E225" s="175"/>
      <c r="F225" s="403"/>
      <c r="G225" s="403"/>
      <c r="H225" s="403"/>
      <c r="I225" s="403"/>
      <c r="J225" s="403"/>
      <c r="K225" s="403"/>
      <c r="L225" s="403">
        <f>0.2*L221</f>
        <v>4.29</v>
      </c>
      <c r="M225" s="403">
        <f>0.2*M221</f>
        <v>0</v>
      </c>
      <c r="N225" s="403"/>
      <c r="O225" s="403"/>
      <c r="P225" s="403"/>
      <c r="Q225" s="403">
        <f>0.1*Q221</f>
        <v>1.7160000000000002</v>
      </c>
      <c r="R225" s="403">
        <f>0.1*R221</f>
        <v>1.7160000000000002</v>
      </c>
      <c r="S225" s="403">
        <f>0.1*S221</f>
        <v>3.4320000000000004</v>
      </c>
      <c r="T225" s="403">
        <f>0.1*T221</f>
        <v>1.7160000000000002</v>
      </c>
    </row>
    <row r="226" spans="1:20" ht="15.6" x14ac:dyDescent="0.3">
      <c r="A226" s="379" t="s">
        <v>261</v>
      </c>
      <c r="B226" s="263" t="s">
        <v>142</v>
      </c>
      <c r="C226" s="173"/>
      <c r="D226" s="174" t="s">
        <v>120</v>
      </c>
      <c r="E226" s="175"/>
      <c r="F226" s="403"/>
      <c r="G226" s="403"/>
      <c r="H226" s="403"/>
      <c r="I226" s="403"/>
      <c r="J226" s="403"/>
      <c r="K226" s="403"/>
      <c r="L226" s="403">
        <f>0.15*L221</f>
        <v>3.2174999999999998</v>
      </c>
      <c r="M226" s="403">
        <f>0.15*M221</f>
        <v>0</v>
      </c>
      <c r="N226" s="403"/>
      <c r="O226" s="403"/>
      <c r="P226" s="403"/>
      <c r="Q226" s="403">
        <f>0.05*Q221</f>
        <v>0.8580000000000001</v>
      </c>
      <c r="R226" s="403">
        <f>0.05*R221</f>
        <v>0.8580000000000001</v>
      </c>
      <c r="S226" s="403">
        <f>0.05*S221</f>
        <v>1.7160000000000002</v>
      </c>
      <c r="T226" s="403">
        <f>0.05*T221</f>
        <v>0.8580000000000001</v>
      </c>
    </row>
    <row r="227" spans="1:20" ht="15.6" x14ac:dyDescent="0.3">
      <c r="A227" s="379" t="s">
        <v>262</v>
      </c>
      <c r="B227" s="263" t="s">
        <v>144</v>
      </c>
      <c r="C227" s="173"/>
      <c r="D227" s="174" t="s">
        <v>120</v>
      </c>
      <c r="E227" s="175"/>
      <c r="F227" s="403"/>
      <c r="G227" s="403"/>
      <c r="H227" s="403"/>
      <c r="I227" s="403"/>
      <c r="J227" s="403"/>
      <c r="K227" s="403"/>
      <c r="L227" s="403">
        <f>0.15*L221</f>
        <v>3.2174999999999998</v>
      </c>
      <c r="M227" s="403">
        <f>0.15*M221</f>
        <v>0</v>
      </c>
      <c r="N227" s="403"/>
      <c r="O227" s="403"/>
      <c r="P227" s="403"/>
      <c r="Q227" s="403">
        <f>0.05*Q221</f>
        <v>0.8580000000000001</v>
      </c>
      <c r="R227" s="403">
        <f>0.05*R221</f>
        <v>0.8580000000000001</v>
      </c>
      <c r="S227" s="403">
        <f>0.05*S221</f>
        <v>1.7160000000000002</v>
      </c>
      <c r="T227" s="403">
        <f>0.05*T221</f>
        <v>0.8580000000000001</v>
      </c>
    </row>
    <row r="228" spans="1:20" ht="15.6" x14ac:dyDescent="0.3">
      <c r="A228" s="379" t="s">
        <v>263</v>
      </c>
      <c r="B228" s="263" t="s">
        <v>146</v>
      </c>
      <c r="C228" s="173"/>
      <c r="D228" s="174" t="s">
        <v>120</v>
      </c>
      <c r="E228" s="175"/>
      <c r="F228" s="403">
        <f>0.15*F221</f>
        <v>2.5739999999999998</v>
      </c>
      <c r="G228" s="403">
        <f>0.15*G221</f>
        <v>2.5739999999999998</v>
      </c>
      <c r="H228" s="403">
        <f>0.15*H221</f>
        <v>1.2869999999999999</v>
      </c>
      <c r="I228" s="403">
        <f>0.1*I221</f>
        <v>1.7160000000000002</v>
      </c>
      <c r="J228" s="403">
        <f>0.1*J221</f>
        <v>1.7160000000000002</v>
      </c>
      <c r="K228" s="403">
        <f>0.1*K221</f>
        <v>0.8580000000000001</v>
      </c>
      <c r="L228" s="403">
        <f>0.15*L221</f>
        <v>3.2174999999999998</v>
      </c>
      <c r="M228" s="403">
        <f>0.15*M221</f>
        <v>0</v>
      </c>
      <c r="N228" s="403"/>
      <c r="O228" s="403"/>
      <c r="P228" s="403"/>
      <c r="Q228" s="403">
        <f>0.1*Q221</f>
        <v>1.7160000000000002</v>
      </c>
      <c r="R228" s="403">
        <f>0.1*R221</f>
        <v>1.7160000000000002</v>
      </c>
      <c r="S228" s="403">
        <f>0.1*S221</f>
        <v>3.4320000000000004</v>
      </c>
      <c r="T228" s="403">
        <f>0.1*T221</f>
        <v>1.7160000000000002</v>
      </c>
    </row>
    <row r="229" spans="1:20" ht="15.6" x14ac:dyDescent="0.3">
      <c r="A229" s="379" t="s">
        <v>264</v>
      </c>
      <c r="B229" s="263" t="s">
        <v>148</v>
      </c>
      <c r="C229" s="173"/>
      <c r="D229" s="174" t="s">
        <v>120</v>
      </c>
      <c r="E229" s="175"/>
      <c r="F229" s="403"/>
      <c r="G229" s="403"/>
      <c r="H229" s="403"/>
      <c r="I229" s="403"/>
      <c r="J229" s="403"/>
      <c r="K229" s="403"/>
      <c r="L229" s="403">
        <f>0.15*L221</f>
        <v>3.2174999999999998</v>
      </c>
      <c r="M229" s="403">
        <f>0.15*M221</f>
        <v>0</v>
      </c>
      <c r="N229" s="403">
        <f>0.6*N221</f>
        <v>7.7219999999999995</v>
      </c>
      <c r="O229" s="403">
        <f>0.6*O221</f>
        <v>0</v>
      </c>
      <c r="P229" s="403"/>
      <c r="Q229" s="403">
        <f>0.1*Q221</f>
        <v>1.7160000000000002</v>
      </c>
      <c r="R229" s="403">
        <f>0.1*R221</f>
        <v>1.7160000000000002</v>
      </c>
      <c r="S229" s="403">
        <f>0.1*S221</f>
        <v>3.4320000000000004</v>
      </c>
      <c r="T229" s="403">
        <f>0.1*T221</f>
        <v>1.7160000000000002</v>
      </c>
    </row>
    <row r="230" spans="1:20" ht="15.6" x14ac:dyDescent="0.3">
      <c r="A230" s="379" t="s">
        <v>265</v>
      </c>
      <c r="B230" s="233" t="s">
        <v>150</v>
      </c>
      <c r="C230" s="173"/>
      <c r="D230" s="174" t="s">
        <v>120</v>
      </c>
      <c r="E230" s="175"/>
      <c r="F230" s="403"/>
      <c r="G230" s="403"/>
      <c r="H230" s="403"/>
      <c r="I230" s="403"/>
      <c r="J230" s="403"/>
      <c r="K230" s="403"/>
      <c r="L230" s="403"/>
      <c r="M230" s="403"/>
      <c r="N230" s="403">
        <f>0.4*N221</f>
        <v>5.1479999999999997</v>
      </c>
      <c r="O230" s="403">
        <f>0.4*O221</f>
        <v>0</v>
      </c>
      <c r="P230" s="403"/>
      <c r="Q230" s="403">
        <f>0.1*Q221</f>
        <v>1.7160000000000002</v>
      </c>
      <c r="R230" s="403">
        <f>0.1*R221</f>
        <v>1.7160000000000002</v>
      </c>
      <c r="S230" s="403">
        <f>0.1*S221</f>
        <v>3.4320000000000004</v>
      </c>
      <c r="T230" s="403">
        <f>0.1*T221</f>
        <v>1.7160000000000002</v>
      </c>
    </row>
    <row r="231" spans="1:20" ht="15.6" x14ac:dyDescent="0.3">
      <c r="A231" s="379" t="s">
        <v>266</v>
      </c>
      <c r="B231" s="263" t="s">
        <v>152</v>
      </c>
      <c r="C231" s="173"/>
      <c r="D231" s="174" t="s">
        <v>120</v>
      </c>
      <c r="E231" s="175"/>
      <c r="F231" s="403">
        <f>0.3*F221</f>
        <v>5.1479999999999997</v>
      </c>
      <c r="G231" s="403">
        <f>0.3*G221</f>
        <v>5.1479999999999997</v>
      </c>
      <c r="H231" s="403">
        <f>0.3*H221</f>
        <v>2.5739999999999998</v>
      </c>
      <c r="I231" s="403">
        <f>0.1*I221</f>
        <v>1.7160000000000002</v>
      </c>
      <c r="J231" s="403">
        <f>0.1*J221</f>
        <v>1.7160000000000002</v>
      </c>
      <c r="K231" s="403">
        <f>0.1*K221</f>
        <v>0.8580000000000001</v>
      </c>
      <c r="L231" s="403"/>
      <c r="M231" s="403"/>
      <c r="N231" s="403"/>
      <c r="O231" s="403"/>
      <c r="P231" s="403">
        <f>0.4*P221</f>
        <v>0</v>
      </c>
      <c r="Q231" s="403">
        <f>0.1*Q221</f>
        <v>1.7160000000000002</v>
      </c>
      <c r="R231" s="403">
        <f>0.1*R221</f>
        <v>1.7160000000000002</v>
      </c>
      <c r="S231" s="403">
        <f>0.1*S221</f>
        <v>3.4320000000000004</v>
      </c>
      <c r="T231" s="403">
        <f>0.1*T221</f>
        <v>1.7160000000000002</v>
      </c>
    </row>
    <row r="232" spans="1:20" ht="15.6" x14ac:dyDescent="0.3">
      <c r="A232" s="379" t="s">
        <v>267</v>
      </c>
      <c r="B232" s="263" t="s">
        <v>154</v>
      </c>
      <c r="C232" s="173"/>
      <c r="D232" s="174" t="s">
        <v>120</v>
      </c>
      <c r="E232" s="175"/>
      <c r="F232" s="403">
        <f>0.15*F221</f>
        <v>2.5739999999999998</v>
      </c>
      <c r="G232" s="403">
        <f>0.15*G221</f>
        <v>2.5739999999999998</v>
      </c>
      <c r="H232" s="403">
        <f>0.15*H221</f>
        <v>1.2869999999999999</v>
      </c>
      <c r="I232" s="403">
        <f>0.1*I221</f>
        <v>1.7160000000000002</v>
      </c>
      <c r="J232" s="403">
        <f>0.1*J221</f>
        <v>1.7160000000000002</v>
      </c>
      <c r="K232" s="403">
        <f>0.1*K221</f>
        <v>0.8580000000000001</v>
      </c>
      <c r="L232" s="403"/>
      <c r="M232" s="403"/>
      <c r="N232" s="403"/>
      <c r="O232" s="403"/>
      <c r="P232" s="403"/>
      <c r="Q232" s="403">
        <f>0.1*Q221</f>
        <v>1.7160000000000002</v>
      </c>
      <c r="R232" s="403">
        <f>0.1*R221</f>
        <v>1.7160000000000002</v>
      </c>
      <c r="S232" s="403">
        <f>0.1*S221</f>
        <v>3.4320000000000004</v>
      </c>
      <c r="T232" s="403">
        <f>0.1*T221</f>
        <v>1.7160000000000002</v>
      </c>
    </row>
    <row r="233" spans="1:20" ht="15.6" hidden="1" x14ac:dyDescent="0.3">
      <c r="A233" s="377"/>
      <c r="B233" s="263"/>
      <c r="C233" s="157"/>
      <c r="D233" s="258"/>
      <c r="E233" s="158"/>
      <c r="F233" s="404">
        <f t="shared" ref="F233:P233" si="132">F221-SUM(F222:F232)</f>
        <v>0</v>
      </c>
      <c r="G233" s="404">
        <f t="shared" si="132"/>
        <v>0</v>
      </c>
      <c r="H233" s="404">
        <f t="shared" si="132"/>
        <v>0</v>
      </c>
      <c r="I233" s="404">
        <f t="shared" si="132"/>
        <v>0</v>
      </c>
      <c r="J233" s="404">
        <f t="shared" si="132"/>
        <v>0</v>
      </c>
      <c r="K233" s="404">
        <f t="shared" si="132"/>
        <v>0</v>
      </c>
      <c r="L233" s="404">
        <f t="shared" si="132"/>
        <v>0</v>
      </c>
      <c r="M233" s="404">
        <f t="shared" si="132"/>
        <v>0</v>
      </c>
      <c r="N233" s="404">
        <f t="shared" si="132"/>
        <v>0</v>
      </c>
      <c r="O233" s="404">
        <f t="shared" si="132"/>
        <v>0</v>
      </c>
      <c r="P233" s="404">
        <f t="shared" si="132"/>
        <v>0</v>
      </c>
      <c r="Q233" s="404">
        <f t="shared" ref="Q233:T233" si="133">Q221-SUM(Q222:Q232)</f>
        <v>0</v>
      </c>
      <c r="R233" s="404">
        <f t="shared" si="133"/>
        <v>0</v>
      </c>
      <c r="S233" s="404">
        <f t="shared" si="133"/>
        <v>0</v>
      </c>
      <c r="T233" s="404">
        <f t="shared" si="133"/>
        <v>0</v>
      </c>
    </row>
    <row r="234" spans="1:20" ht="15.6" x14ac:dyDescent="0.3">
      <c r="A234" s="377"/>
      <c r="B234" s="263"/>
      <c r="C234" s="157"/>
      <c r="D234" s="258"/>
      <c r="E234" s="158"/>
      <c r="F234" s="270"/>
      <c r="G234" s="270"/>
      <c r="H234" s="270"/>
      <c r="I234" s="270"/>
      <c r="J234" s="270"/>
      <c r="K234" s="270"/>
      <c r="L234" s="268"/>
      <c r="M234" s="268"/>
      <c r="N234" s="268"/>
      <c r="O234" s="268"/>
      <c r="P234" s="268"/>
      <c r="Q234" s="268"/>
      <c r="R234" s="268"/>
      <c r="S234" s="268"/>
      <c r="T234" s="407"/>
    </row>
    <row r="235" spans="1:20" s="122" customFormat="1" ht="15.6" x14ac:dyDescent="0.3">
      <c r="A235" s="378" t="s">
        <v>76</v>
      </c>
      <c r="B235" s="245" t="s">
        <v>498</v>
      </c>
      <c r="C235" s="171"/>
      <c r="D235" s="155"/>
      <c r="E235" s="156"/>
      <c r="F235" s="402">
        <f t="shared" ref="F235:L235" si="134">TRUNC((0.05*F209),2)</f>
        <v>5.72</v>
      </c>
      <c r="G235" s="402">
        <f t="shared" si="134"/>
        <v>5.72</v>
      </c>
      <c r="H235" s="402">
        <f t="shared" si="134"/>
        <v>2.86</v>
      </c>
      <c r="I235" s="402">
        <f t="shared" si="134"/>
        <v>5.72</v>
      </c>
      <c r="J235" s="402">
        <f t="shared" si="134"/>
        <v>5.72</v>
      </c>
      <c r="K235" s="402">
        <f t="shared" si="134"/>
        <v>2.86</v>
      </c>
      <c r="L235" s="402">
        <f t="shared" si="134"/>
        <v>7.15</v>
      </c>
      <c r="M235" s="402">
        <f t="shared" ref="M235:P235" si="135">TRUNC((0.1*M209),2)</f>
        <v>0</v>
      </c>
      <c r="N235" s="402">
        <f>TRUNC((0.05*N209),2)</f>
        <v>4.29</v>
      </c>
      <c r="O235" s="402">
        <f t="shared" si="135"/>
        <v>0</v>
      </c>
      <c r="P235" s="402">
        <f t="shared" si="135"/>
        <v>0</v>
      </c>
      <c r="Q235" s="402">
        <f>TRUNC((0.05*Q209),2)</f>
        <v>5.72</v>
      </c>
      <c r="R235" s="402">
        <f>TRUNC((0.05*R209),2)</f>
        <v>5.72</v>
      </c>
      <c r="S235" s="402">
        <f>TRUNC((0.05*S209),2)</f>
        <v>11.44</v>
      </c>
      <c r="T235" s="402">
        <f>TRUNC((0.05*T209),2)</f>
        <v>5.72</v>
      </c>
    </row>
    <row r="236" spans="1:20" ht="15.6" x14ac:dyDescent="0.3">
      <c r="A236" s="377" t="s">
        <v>268</v>
      </c>
      <c r="B236" s="264" t="s">
        <v>159</v>
      </c>
      <c r="C236" s="157"/>
      <c r="D236" s="258" t="s">
        <v>120</v>
      </c>
      <c r="E236" s="158"/>
      <c r="F236" s="403">
        <f t="shared" ref="F236:T236" si="136">1*F235</f>
        <v>5.72</v>
      </c>
      <c r="G236" s="403">
        <f t="shared" si="136"/>
        <v>5.72</v>
      </c>
      <c r="H236" s="403">
        <f t="shared" si="136"/>
        <v>2.86</v>
      </c>
      <c r="I236" s="403">
        <f t="shared" si="136"/>
        <v>5.72</v>
      </c>
      <c r="J236" s="403">
        <f t="shared" si="136"/>
        <v>5.72</v>
      </c>
      <c r="K236" s="403">
        <f t="shared" si="136"/>
        <v>2.86</v>
      </c>
      <c r="L236" s="403">
        <f t="shared" si="136"/>
        <v>7.15</v>
      </c>
      <c r="M236" s="403">
        <f t="shared" si="136"/>
        <v>0</v>
      </c>
      <c r="N236" s="403">
        <f t="shared" si="136"/>
        <v>4.29</v>
      </c>
      <c r="O236" s="403">
        <f t="shared" si="136"/>
        <v>0</v>
      </c>
      <c r="P236" s="403">
        <f t="shared" si="136"/>
        <v>0</v>
      </c>
      <c r="Q236" s="403">
        <f t="shared" si="136"/>
        <v>5.72</v>
      </c>
      <c r="R236" s="403">
        <f t="shared" si="136"/>
        <v>5.72</v>
      </c>
      <c r="S236" s="403">
        <f t="shared" si="136"/>
        <v>11.44</v>
      </c>
      <c r="T236" s="403">
        <f t="shared" si="136"/>
        <v>5.72</v>
      </c>
    </row>
    <row r="237" spans="1:20" ht="15.6" hidden="1" x14ac:dyDescent="0.3">
      <c r="A237" s="377"/>
      <c r="B237" s="263"/>
      <c r="C237" s="157"/>
      <c r="D237" s="258"/>
      <c r="E237" s="158"/>
      <c r="F237" s="404">
        <f t="shared" ref="F237:T237" si="137">F235-SUM(F236:F236)</f>
        <v>0</v>
      </c>
      <c r="G237" s="404">
        <f t="shared" si="137"/>
        <v>0</v>
      </c>
      <c r="H237" s="404">
        <f t="shared" si="137"/>
        <v>0</v>
      </c>
      <c r="I237" s="404">
        <f t="shared" si="137"/>
        <v>0</v>
      </c>
      <c r="J237" s="404">
        <f t="shared" si="137"/>
        <v>0</v>
      </c>
      <c r="K237" s="404">
        <f t="shared" si="137"/>
        <v>0</v>
      </c>
      <c r="L237" s="404">
        <f t="shared" si="137"/>
        <v>0</v>
      </c>
      <c r="M237" s="404">
        <f t="shared" si="137"/>
        <v>0</v>
      </c>
      <c r="N237" s="404">
        <f t="shared" si="137"/>
        <v>0</v>
      </c>
      <c r="O237" s="404">
        <f t="shared" si="137"/>
        <v>0</v>
      </c>
      <c r="P237" s="404">
        <f t="shared" si="137"/>
        <v>0</v>
      </c>
      <c r="Q237" s="404">
        <f t="shared" si="137"/>
        <v>0</v>
      </c>
      <c r="R237" s="404">
        <f t="shared" si="137"/>
        <v>0</v>
      </c>
      <c r="S237" s="404">
        <f t="shared" si="137"/>
        <v>0</v>
      </c>
      <c r="T237" s="404">
        <f t="shared" si="137"/>
        <v>0</v>
      </c>
    </row>
    <row r="238" spans="1:20" ht="15.6" x14ac:dyDescent="0.3">
      <c r="A238" s="377"/>
      <c r="B238" s="263"/>
      <c r="C238" s="157"/>
      <c r="D238" s="258"/>
      <c r="E238" s="158"/>
      <c r="F238" s="270"/>
      <c r="G238" s="270"/>
      <c r="H238" s="270"/>
      <c r="I238" s="270"/>
      <c r="J238" s="270"/>
      <c r="K238" s="270"/>
      <c r="L238" s="269"/>
      <c r="M238" s="269"/>
      <c r="N238" s="269"/>
      <c r="O238" s="269"/>
      <c r="P238" s="269"/>
      <c r="Q238" s="269"/>
      <c r="R238" s="269"/>
      <c r="S238" s="269"/>
      <c r="T238" s="407"/>
    </row>
    <row r="239" spans="1:20" s="122" customFormat="1" ht="15.6" x14ac:dyDescent="0.3">
      <c r="A239" s="378" t="s">
        <v>77</v>
      </c>
      <c r="B239" s="265" t="s">
        <v>499</v>
      </c>
      <c r="C239" s="171"/>
      <c r="D239" s="155"/>
      <c r="E239" s="156"/>
      <c r="F239" s="402">
        <f t="shared" ref="F239:T239" si="138">TRUNC((0.1*F209),2)</f>
        <v>11.44</v>
      </c>
      <c r="G239" s="402">
        <f t="shared" si="138"/>
        <v>11.44</v>
      </c>
      <c r="H239" s="402">
        <f t="shared" si="138"/>
        <v>5.72</v>
      </c>
      <c r="I239" s="402">
        <f t="shared" si="138"/>
        <v>11.44</v>
      </c>
      <c r="J239" s="402">
        <f t="shared" si="138"/>
        <v>11.44</v>
      </c>
      <c r="K239" s="402">
        <f t="shared" si="138"/>
        <v>5.72</v>
      </c>
      <c r="L239" s="402">
        <f t="shared" si="138"/>
        <v>14.3</v>
      </c>
      <c r="M239" s="402">
        <f t="shared" si="138"/>
        <v>0</v>
      </c>
      <c r="N239" s="402">
        <f t="shared" si="138"/>
        <v>8.58</v>
      </c>
      <c r="O239" s="402">
        <f t="shared" si="138"/>
        <v>0</v>
      </c>
      <c r="P239" s="402">
        <f t="shared" si="138"/>
        <v>0</v>
      </c>
      <c r="Q239" s="402">
        <f t="shared" si="138"/>
        <v>11.44</v>
      </c>
      <c r="R239" s="402">
        <f t="shared" si="138"/>
        <v>11.44</v>
      </c>
      <c r="S239" s="402">
        <f t="shared" si="138"/>
        <v>22.88</v>
      </c>
      <c r="T239" s="402">
        <f t="shared" si="138"/>
        <v>11.44</v>
      </c>
    </row>
    <row r="240" spans="1:20" ht="15.6" x14ac:dyDescent="0.3">
      <c r="A240" s="379" t="s">
        <v>269</v>
      </c>
      <c r="B240" s="264" t="s">
        <v>160</v>
      </c>
      <c r="C240" s="172"/>
      <c r="D240" s="174" t="s">
        <v>120</v>
      </c>
      <c r="E240" s="175"/>
      <c r="F240" s="403">
        <f t="shared" ref="F240:T240" si="139">1*F239</f>
        <v>11.44</v>
      </c>
      <c r="G240" s="403">
        <f t="shared" si="139"/>
        <v>11.44</v>
      </c>
      <c r="H240" s="403">
        <f t="shared" si="139"/>
        <v>5.72</v>
      </c>
      <c r="I240" s="403">
        <f t="shared" si="139"/>
        <v>11.44</v>
      </c>
      <c r="J240" s="403">
        <f t="shared" si="139"/>
        <v>11.44</v>
      </c>
      <c r="K240" s="403">
        <f t="shared" si="139"/>
        <v>5.72</v>
      </c>
      <c r="L240" s="403">
        <f t="shared" si="139"/>
        <v>14.3</v>
      </c>
      <c r="M240" s="403">
        <f t="shared" si="139"/>
        <v>0</v>
      </c>
      <c r="N240" s="403">
        <f t="shared" si="139"/>
        <v>8.58</v>
      </c>
      <c r="O240" s="403">
        <f t="shared" si="139"/>
        <v>0</v>
      </c>
      <c r="P240" s="403">
        <f t="shared" si="139"/>
        <v>0</v>
      </c>
      <c r="Q240" s="403">
        <f t="shared" si="139"/>
        <v>11.44</v>
      </c>
      <c r="R240" s="403">
        <f t="shared" si="139"/>
        <v>11.44</v>
      </c>
      <c r="S240" s="403">
        <f t="shared" si="139"/>
        <v>22.88</v>
      </c>
      <c r="T240" s="403">
        <f t="shared" si="139"/>
        <v>11.44</v>
      </c>
    </row>
    <row r="241" spans="1:23" ht="15.6" hidden="1" x14ac:dyDescent="0.3">
      <c r="A241" s="377"/>
      <c r="B241" s="263"/>
      <c r="C241" s="157"/>
      <c r="D241" s="258"/>
      <c r="E241" s="158"/>
      <c r="F241" s="404">
        <f t="shared" ref="F241:T241" si="140">F239-SUM(F240:F240)</f>
        <v>0</v>
      </c>
      <c r="G241" s="404">
        <f t="shared" si="140"/>
        <v>0</v>
      </c>
      <c r="H241" s="404">
        <f t="shared" si="140"/>
        <v>0</v>
      </c>
      <c r="I241" s="404">
        <f t="shared" si="140"/>
        <v>0</v>
      </c>
      <c r="J241" s="404">
        <f t="shared" si="140"/>
        <v>0</v>
      </c>
      <c r="K241" s="404">
        <f t="shared" si="140"/>
        <v>0</v>
      </c>
      <c r="L241" s="404">
        <f t="shared" si="140"/>
        <v>0</v>
      </c>
      <c r="M241" s="404">
        <f t="shared" si="140"/>
        <v>0</v>
      </c>
      <c r="N241" s="404">
        <f t="shared" si="140"/>
        <v>0</v>
      </c>
      <c r="O241" s="404">
        <f t="shared" si="140"/>
        <v>0</v>
      </c>
      <c r="P241" s="404">
        <f t="shared" si="140"/>
        <v>0</v>
      </c>
      <c r="Q241" s="404">
        <f t="shared" si="140"/>
        <v>0</v>
      </c>
      <c r="R241" s="404">
        <f t="shared" si="140"/>
        <v>0</v>
      </c>
      <c r="S241" s="404">
        <f t="shared" si="140"/>
        <v>0</v>
      </c>
      <c r="T241" s="404">
        <f t="shared" si="140"/>
        <v>0</v>
      </c>
    </row>
    <row r="242" spans="1:23" ht="15.6" x14ac:dyDescent="0.3">
      <c r="A242" s="377"/>
      <c r="B242" s="263"/>
      <c r="C242" s="157"/>
      <c r="D242" s="258"/>
      <c r="E242" s="158"/>
      <c r="F242" s="270"/>
      <c r="G242" s="270"/>
      <c r="H242" s="270"/>
      <c r="I242" s="270"/>
      <c r="J242" s="270"/>
      <c r="K242" s="270"/>
      <c r="L242" s="269"/>
      <c r="M242" s="269"/>
      <c r="N242" s="269"/>
      <c r="O242" s="269"/>
      <c r="P242" s="269"/>
      <c r="Q242" s="269"/>
      <c r="R242" s="269"/>
      <c r="S242" s="269"/>
      <c r="T242" s="407"/>
    </row>
    <row r="243" spans="1:23" s="122" customFormat="1" ht="31.2" x14ac:dyDescent="0.3">
      <c r="A243" s="378" t="s">
        <v>78</v>
      </c>
      <c r="B243" s="244" t="s">
        <v>272</v>
      </c>
      <c r="C243" s="123"/>
      <c r="D243" s="155"/>
      <c r="E243" s="156"/>
      <c r="F243" s="402">
        <f t="shared" ref="F243:T243" si="141">TRUNC((0.1*F209),2)</f>
        <v>11.44</v>
      </c>
      <c r="G243" s="402">
        <f t="shared" si="141"/>
        <v>11.44</v>
      </c>
      <c r="H243" s="402">
        <f t="shared" si="141"/>
        <v>5.72</v>
      </c>
      <c r="I243" s="402">
        <f t="shared" si="141"/>
        <v>11.44</v>
      </c>
      <c r="J243" s="402">
        <f t="shared" si="141"/>
        <v>11.44</v>
      </c>
      <c r="K243" s="402">
        <f t="shared" si="141"/>
        <v>5.72</v>
      </c>
      <c r="L243" s="402">
        <f t="shared" si="141"/>
        <v>14.3</v>
      </c>
      <c r="M243" s="402">
        <f t="shared" si="141"/>
        <v>0</v>
      </c>
      <c r="N243" s="402">
        <f t="shared" si="141"/>
        <v>8.58</v>
      </c>
      <c r="O243" s="402">
        <f t="shared" si="141"/>
        <v>0</v>
      </c>
      <c r="P243" s="402">
        <f t="shared" si="141"/>
        <v>0</v>
      </c>
      <c r="Q243" s="402">
        <f t="shared" si="141"/>
        <v>11.44</v>
      </c>
      <c r="R243" s="402">
        <f t="shared" si="141"/>
        <v>11.44</v>
      </c>
      <c r="S243" s="402">
        <f t="shared" si="141"/>
        <v>22.88</v>
      </c>
      <c r="T243" s="402">
        <f t="shared" si="141"/>
        <v>11.44</v>
      </c>
    </row>
    <row r="244" spans="1:23" ht="15.6" x14ac:dyDescent="0.3">
      <c r="A244" s="379" t="s">
        <v>270</v>
      </c>
      <c r="B244" s="264" t="s">
        <v>164</v>
      </c>
      <c r="C244" s="172"/>
      <c r="D244" s="174" t="s">
        <v>120</v>
      </c>
      <c r="E244" s="175"/>
      <c r="F244" s="406">
        <f t="shared" ref="F244:L244" si="142">0.5*F243</f>
        <v>5.72</v>
      </c>
      <c r="G244" s="406">
        <f t="shared" si="142"/>
        <v>5.72</v>
      </c>
      <c r="H244" s="406">
        <f t="shared" si="142"/>
        <v>2.86</v>
      </c>
      <c r="I244" s="406">
        <f t="shared" si="142"/>
        <v>5.72</v>
      </c>
      <c r="J244" s="406">
        <f t="shared" si="142"/>
        <v>5.72</v>
      </c>
      <c r="K244" s="406">
        <f t="shared" si="142"/>
        <v>2.86</v>
      </c>
      <c r="L244" s="406">
        <f t="shared" si="142"/>
        <v>7.15</v>
      </c>
      <c r="M244" s="406">
        <f t="shared" ref="M244:P244" si="143">0.2*M243</f>
        <v>0</v>
      </c>
      <c r="N244" s="406">
        <f>0.5*N243</f>
        <v>4.29</v>
      </c>
      <c r="O244" s="406">
        <f t="shared" si="143"/>
        <v>0</v>
      </c>
      <c r="P244" s="516">
        <f t="shared" si="143"/>
        <v>0</v>
      </c>
      <c r="Q244" s="406">
        <f>0.5*Q243</f>
        <v>5.72</v>
      </c>
      <c r="R244" s="406">
        <f>0.5*R243</f>
        <v>5.72</v>
      </c>
      <c r="S244" s="406">
        <f>0.5*S243</f>
        <v>11.44</v>
      </c>
      <c r="T244" s="406">
        <f>0.5*T243</f>
        <v>5.72</v>
      </c>
    </row>
    <row r="245" spans="1:23" ht="15.6" x14ac:dyDescent="0.3">
      <c r="A245" s="379" t="s">
        <v>271</v>
      </c>
      <c r="B245" s="263" t="s">
        <v>165</v>
      </c>
      <c r="C245" s="173"/>
      <c r="D245" s="174" t="s">
        <v>120</v>
      </c>
      <c r="E245" s="175"/>
      <c r="F245" s="406">
        <f t="shared" ref="F245:L245" si="144">0.5*F243</f>
        <v>5.72</v>
      </c>
      <c r="G245" s="406">
        <f t="shared" si="144"/>
        <v>5.72</v>
      </c>
      <c r="H245" s="406">
        <f t="shared" si="144"/>
        <v>2.86</v>
      </c>
      <c r="I245" s="406">
        <f t="shared" si="144"/>
        <v>5.72</v>
      </c>
      <c r="J245" s="406">
        <f t="shared" si="144"/>
        <v>5.72</v>
      </c>
      <c r="K245" s="406">
        <f t="shared" si="144"/>
        <v>2.86</v>
      </c>
      <c r="L245" s="406">
        <f t="shared" si="144"/>
        <v>7.15</v>
      </c>
      <c r="M245" s="406">
        <f t="shared" ref="M245:P245" si="145">0.1*M243</f>
        <v>0</v>
      </c>
      <c r="N245" s="406">
        <f>0.5*N243</f>
        <v>4.29</v>
      </c>
      <c r="O245" s="406">
        <f t="shared" si="145"/>
        <v>0</v>
      </c>
      <c r="P245" s="516">
        <f t="shared" si="145"/>
        <v>0</v>
      </c>
      <c r="Q245" s="406">
        <f>0.5*Q243</f>
        <v>5.72</v>
      </c>
      <c r="R245" s="406">
        <f>0.5*R243</f>
        <v>5.72</v>
      </c>
      <c r="S245" s="406">
        <f>0.5*S243</f>
        <v>11.44</v>
      </c>
      <c r="T245" s="406">
        <f>0.5*T243</f>
        <v>5.72</v>
      </c>
    </row>
    <row r="246" spans="1:23" ht="15.6" hidden="1" x14ac:dyDescent="0.3">
      <c r="A246" s="377"/>
      <c r="B246" s="263"/>
      <c r="C246" s="173"/>
      <c r="D246" s="174"/>
      <c r="E246" s="158"/>
      <c r="F246" s="404">
        <f t="shared" ref="F246:T246" si="146">F243-SUM(F244:F245)</f>
        <v>0</v>
      </c>
      <c r="G246" s="404">
        <f t="shared" si="146"/>
        <v>0</v>
      </c>
      <c r="H246" s="404">
        <f t="shared" si="146"/>
        <v>0</v>
      </c>
      <c r="I246" s="404">
        <f t="shared" si="146"/>
        <v>0</v>
      </c>
      <c r="J246" s="404">
        <f t="shared" si="146"/>
        <v>0</v>
      </c>
      <c r="K246" s="404">
        <f t="shared" si="146"/>
        <v>0</v>
      </c>
      <c r="L246" s="404">
        <f t="shared" si="146"/>
        <v>0</v>
      </c>
      <c r="M246" s="404">
        <f t="shared" si="146"/>
        <v>0</v>
      </c>
      <c r="N246" s="404">
        <f t="shared" si="146"/>
        <v>0</v>
      </c>
      <c r="O246" s="404">
        <f t="shared" si="146"/>
        <v>0</v>
      </c>
      <c r="P246" s="404">
        <f t="shared" si="146"/>
        <v>0</v>
      </c>
      <c r="Q246" s="404">
        <f t="shared" si="146"/>
        <v>0</v>
      </c>
      <c r="R246" s="404">
        <f t="shared" si="146"/>
        <v>0</v>
      </c>
      <c r="S246" s="404">
        <f t="shared" si="146"/>
        <v>0</v>
      </c>
      <c r="T246" s="404">
        <f t="shared" si="146"/>
        <v>0</v>
      </c>
    </row>
    <row r="247" spans="1:23" ht="15.6" x14ac:dyDescent="0.3">
      <c r="A247" s="377"/>
      <c r="B247" s="263"/>
      <c r="C247" s="157"/>
      <c r="D247" s="258"/>
      <c r="E247" s="158"/>
      <c r="F247" s="270"/>
      <c r="G247" s="270"/>
      <c r="H247" s="270"/>
      <c r="I247" s="270"/>
      <c r="J247" s="270"/>
      <c r="K247" s="270"/>
      <c r="L247" s="269"/>
      <c r="M247" s="269"/>
      <c r="N247" s="269"/>
      <c r="O247" s="269"/>
      <c r="P247" s="269"/>
      <c r="Q247" s="269"/>
      <c r="R247" s="269"/>
      <c r="S247" s="269"/>
      <c r="T247" s="407"/>
    </row>
    <row r="248" spans="1:23" s="122" customFormat="1" ht="31.2" x14ac:dyDescent="0.3">
      <c r="A248" s="385" t="s">
        <v>79</v>
      </c>
      <c r="B248" s="244" t="s">
        <v>500</v>
      </c>
      <c r="C248" s="124"/>
      <c r="D248" s="155"/>
      <c r="E248" s="125"/>
      <c r="F248" s="402">
        <f t="shared" ref="F248:L248" si="147">TRUNC((0.15*F209),2)</f>
        <v>17.16</v>
      </c>
      <c r="G248" s="402">
        <f t="shared" si="147"/>
        <v>17.16</v>
      </c>
      <c r="H248" s="402">
        <f t="shared" si="147"/>
        <v>8.58</v>
      </c>
      <c r="I248" s="402">
        <f t="shared" si="147"/>
        <v>17.16</v>
      </c>
      <c r="J248" s="402">
        <f t="shared" si="147"/>
        <v>17.16</v>
      </c>
      <c r="K248" s="402">
        <f t="shared" si="147"/>
        <v>8.58</v>
      </c>
      <c r="L248" s="402">
        <f t="shared" si="147"/>
        <v>21.45</v>
      </c>
      <c r="M248" s="402">
        <f t="shared" ref="M248:P248" si="148">TRUNC((0.1*M209),2)</f>
        <v>0</v>
      </c>
      <c r="N248" s="402">
        <f>TRUNC((0.15*N209),2)</f>
        <v>12.87</v>
      </c>
      <c r="O248" s="402">
        <f t="shared" si="148"/>
        <v>0</v>
      </c>
      <c r="P248" s="402">
        <f t="shared" si="148"/>
        <v>0</v>
      </c>
      <c r="Q248" s="402">
        <f>TRUNC((0.15*Q209),2)</f>
        <v>17.16</v>
      </c>
      <c r="R248" s="402">
        <f>TRUNC((0.15*R209),2)</f>
        <v>17.16</v>
      </c>
      <c r="S248" s="402">
        <f>TRUNC((0.15*S209),2)</f>
        <v>34.32</v>
      </c>
      <c r="T248" s="402">
        <f>TRUNC((0.15*T209),2)</f>
        <v>17.16</v>
      </c>
    </row>
    <row r="249" spans="1:23" ht="15.6" x14ac:dyDescent="0.3">
      <c r="A249" s="383" t="s">
        <v>273</v>
      </c>
      <c r="B249" s="263" t="s">
        <v>161</v>
      </c>
      <c r="C249" s="177"/>
      <c r="D249" s="174" t="s">
        <v>120</v>
      </c>
      <c r="E249" s="178"/>
      <c r="F249" s="403">
        <f t="shared" ref="F249:L249" si="149">1*F248</f>
        <v>17.16</v>
      </c>
      <c r="G249" s="403">
        <f t="shared" si="149"/>
        <v>17.16</v>
      </c>
      <c r="H249" s="403">
        <f t="shared" si="149"/>
        <v>8.58</v>
      </c>
      <c r="I249" s="403">
        <f t="shared" si="149"/>
        <v>17.16</v>
      </c>
      <c r="J249" s="403">
        <f t="shared" si="149"/>
        <v>17.16</v>
      </c>
      <c r="K249" s="403">
        <f t="shared" si="149"/>
        <v>8.58</v>
      </c>
      <c r="L249" s="403">
        <f t="shared" si="149"/>
        <v>21.45</v>
      </c>
      <c r="M249" s="403">
        <f t="shared" ref="M249:P249" si="150">0.5*M248</f>
        <v>0</v>
      </c>
      <c r="N249" s="403">
        <f>1*N248</f>
        <v>12.87</v>
      </c>
      <c r="O249" s="403">
        <f t="shared" si="150"/>
        <v>0</v>
      </c>
      <c r="P249" s="403">
        <f t="shared" si="150"/>
        <v>0</v>
      </c>
      <c r="Q249" s="403">
        <f>1*Q248</f>
        <v>17.16</v>
      </c>
      <c r="R249" s="403">
        <f>1*R248</f>
        <v>17.16</v>
      </c>
      <c r="S249" s="403">
        <f>1*S248</f>
        <v>34.32</v>
      </c>
      <c r="T249" s="403">
        <f>1*T248</f>
        <v>17.16</v>
      </c>
    </row>
    <row r="250" spans="1:23" ht="15.6" hidden="1" x14ac:dyDescent="0.3">
      <c r="A250" s="384"/>
      <c r="B250" s="263"/>
      <c r="C250" s="153"/>
      <c r="D250" s="258"/>
      <c r="E250" s="154"/>
      <c r="F250" s="404">
        <f t="shared" ref="F250:T250" si="151">F248-SUM(F249:F249)</f>
        <v>0</v>
      </c>
      <c r="G250" s="404">
        <f t="shared" si="151"/>
        <v>0</v>
      </c>
      <c r="H250" s="404">
        <f t="shared" si="151"/>
        <v>0</v>
      </c>
      <c r="I250" s="404">
        <f t="shared" si="151"/>
        <v>0</v>
      </c>
      <c r="J250" s="404">
        <f t="shared" si="151"/>
        <v>0</v>
      </c>
      <c r="K250" s="404">
        <f t="shared" si="151"/>
        <v>0</v>
      </c>
      <c r="L250" s="404">
        <f t="shared" si="151"/>
        <v>0</v>
      </c>
      <c r="M250" s="404">
        <f t="shared" si="151"/>
        <v>0</v>
      </c>
      <c r="N250" s="404">
        <f t="shared" si="151"/>
        <v>0</v>
      </c>
      <c r="O250" s="404">
        <f t="shared" si="151"/>
        <v>0</v>
      </c>
      <c r="P250" s="404">
        <f t="shared" si="151"/>
        <v>0</v>
      </c>
      <c r="Q250" s="404">
        <f t="shared" si="151"/>
        <v>0</v>
      </c>
      <c r="R250" s="404">
        <f t="shared" si="151"/>
        <v>0</v>
      </c>
      <c r="S250" s="404">
        <f t="shared" si="151"/>
        <v>0</v>
      </c>
      <c r="T250" s="404">
        <f t="shared" si="151"/>
        <v>0</v>
      </c>
    </row>
    <row r="251" spans="1:23" ht="15.6" x14ac:dyDescent="0.3">
      <c r="A251" s="377"/>
      <c r="B251" s="263"/>
      <c r="C251" s="157"/>
      <c r="D251" s="258"/>
      <c r="E251" s="158"/>
      <c r="F251" s="407"/>
      <c r="G251" s="407"/>
      <c r="H251" s="407"/>
      <c r="I251" s="407"/>
      <c r="J251" s="407"/>
      <c r="K251" s="407"/>
      <c r="L251" s="407"/>
      <c r="M251" s="407"/>
      <c r="N251" s="407"/>
      <c r="O251" s="407"/>
      <c r="P251" s="407"/>
      <c r="Q251" s="407"/>
      <c r="R251" s="407"/>
      <c r="S251" s="407"/>
      <c r="T251" s="407"/>
    </row>
    <row r="252" spans="1:23" s="513" customFormat="1" ht="16.5" customHeight="1" x14ac:dyDescent="0.3">
      <c r="A252" s="507"/>
      <c r="B252" s="508" t="s">
        <v>274</v>
      </c>
      <c r="C252" s="509"/>
      <c r="D252" s="510" t="s">
        <v>167</v>
      </c>
      <c r="E252" s="515">
        <f>C209</f>
        <v>0.13</v>
      </c>
      <c r="F252" s="512">
        <f t="shared" ref="F252:T252" si="152">TRUNC((F$12*$E$252),2)</f>
        <v>114.4</v>
      </c>
      <c r="G252" s="512">
        <f t="shared" si="152"/>
        <v>114.4</v>
      </c>
      <c r="H252" s="512">
        <f t="shared" si="152"/>
        <v>57.2</v>
      </c>
      <c r="I252" s="512">
        <f t="shared" si="152"/>
        <v>114.4</v>
      </c>
      <c r="J252" s="512">
        <f t="shared" si="152"/>
        <v>114.4</v>
      </c>
      <c r="K252" s="512">
        <f t="shared" si="152"/>
        <v>57.2</v>
      </c>
      <c r="L252" s="512">
        <f t="shared" si="152"/>
        <v>143</v>
      </c>
      <c r="M252" s="512">
        <f t="shared" si="152"/>
        <v>0</v>
      </c>
      <c r="N252" s="512">
        <f t="shared" si="152"/>
        <v>85.8</v>
      </c>
      <c r="O252" s="512">
        <f t="shared" si="152"/>
        <v>0</v>
      </c>
      <c r="P252" s="512">
        <f t="shared" si="152"/>
        <v>0</v>
      </c>
      <c r="Q252" s="512">
        <f t="shared" si="152"/>
        <v>114.4</v>
      </c>
      <c r="R252" s="512">
        <f t="shared" si="152"/>
        <v>114.4</v>
      </c>
      <c r="S252" s="512">
        <f t="shared" si="152"/>
        <v>228.8</v>
      </c>
      <c r="T252" s="512">
        <f t="shared" si="152"/>
        <v>114.4</v>
      </c>
      <c r="V252" s="514"/>
      <c r="W252" s="514"/>
    </row>
    <row r="253" spans="1:23" ht="16.5" customHeight="1" x14ac:dyDescent="0.3">
      <c r="A253" s="377"/>
      <c r="B253" s="263"/>
      <c r="C253" s="157"/>
      <c r="D253" s="258"/>
      <c r="E253" s="158"/>
      <c r="F253" s="407"/>
      <c r="G253" s="407"/>
      <c r="H253" s="407"/>
      <c r="I253" s="407"/>
      <c r="J253" s="407"/>
      <c r="K253" s="407"/>
      <c r="L253" s="407"/>
      <c r="M253" s="407"/>
      <c r="N253" s="407"/>
      <c r="O253" s="407"/>
      <c r="P253" s="407"/>
      <c r="Q253" s="407"/>
      <c r="R253" s="407"/>
      <c r="S253" s="407"/>
      <c r="T253" s="407"/>
      <c r="V253" s="121"/>
      <c r="W253" s="121"/>
    </row>
    <row r="254" spans="1:23" s="128" customFormat="1" ht="16.5" hidden="1" customHeight="1" x14ac:dyDescent="0.3">
      <c r="A254" s="389"/>
      <c r="B254" s="240"/>
      <c r="C254" s="140"/>
      <c r="D254" s="126" t="s">
        <v>167</v>
      </c>
      <c r="E254" s="127"/>
      <c r="F254" s="411">
        <f t="shared" ref="F254:T254" si="153">F211+F221+F235+F239+F243+F248</f>
        <v>114.39999999999999</v>
      </c>
      <c r="G254" s="411">
        <f t="shared" si="153"/>
        <v>114.39999999999999</v>
      </c>
      <c r="H254" s="411">
        <f t="shared" si="153"/>
        <v>57.199999999999996</v>
      </c>
      <c r="I254" s="411">
        <f t="shared" si="153"/>
        <v>114.39999999999999</v>
      </c>
      <c r="J254" s="411">
        <f t="shared" si="153"/>
        <v>114.39999999999999</v>
      </c>
      <c r="K254" s="411">
        <f t="shared" si="153"/>
        <v>57.199999999999996</v>
      </c>
      <c r="L254" s="411">
        <f t="shared" si="153"/>
        <v>143</v>
      </c>
      <c r="M254" s="411">
        <f t="shared" si="153"/>
        <v>0</v>
      </c>
      <c r="N254" s="411">
        <f t="shared" si="153"/>
        <v>85.8</v>
      </c>
      <c r="O254" s="411">
        <f t="shared" si="153"/>
        <v>0</v>
      </c>
      <c r="P254" s="411">
        <f t="shared" si="153"/>
        <v>0</v>
      </c>
      <c r="Q254" s="411">
        <f t="shared" si="153"/>
        <v>114.39999999999999</v>
      </c>
      <c r="R254" s="411">
        <f t="shared" si="153"/>
        <v>114.39999999999999</v>
      </c>
      <c r="S254" s="411">
        <f t="shared" si="153"/>
        <v>228.79999999999998</v>
      </c>
      <c r="T254" s="411">
        <f t="shared" si="153"/>
        <v>114.39999999999999</v>
      </c>
      <c r="V254" s="129"/>
      <c r="W254" s="129"/>
    </row>
    <row r="255" spans="1:23" ht="16.5" hidden="1" customHeight="1" x14ac:dyDescent="0.3">
      <c r="A255" s="377"/>
      <c r="B255" s="263"/>
      <c r="C255" s="157"/>
      <c r="D255" s="258"/>
      <c r="E255" s="158"/>
      <c r="F255" s="407"/>
      <c r="G255" s="407"/>
      <c r="H255" s="407"/>
      <c r="I255" s="407"/>
      <c r="J255" s="407"/>
      <c r="K255" s="407"/>
      <c r="L255" s="407"/>
      <c r="M255" s="407"/>
      <c r="N255" s="407"/>
      <c r="O255" s="407"/>
      <c r="P255" s="407"/>
      <c r="Q255" s="407"/>
      <c r="R255" s="407"/>
      <c r="S255" s="407"/>
      <c r="T255" s="407"/>
      <c r="V255" s="121"/>
      <c r="W255" s="121"/>
    </row>
    <row r="256" spans="1:23" s="132" customFormat="1" ht="16.5" hidden="1" customHeight="1" x14ac:dyDescent="0.3">
      <c r="A256" s="390"/>
      <c r="B256" s="239"/>
      <c r="C256" s="130"/>
      <c r="D256" s="131"/>
      <c r="E256" s="143" t="s">
        <v>168</v>
      </c>
      <c r="F256" s="412">
        <f>F252-F254</f>
        <v>0</v>
      </c>
      <c r="G256" s="412">
        <f t="shared" ref="G256:J256" si="154">G252-G254</f>
        <v>0</v>
      </c>
      <c r="H256" s="412">
        <f t="shared" si="154"/>
        <v>0</v>
      </c>
      <c r="I256" s="412">
        <f t="shared" si="154"/>
        <v>0</v>
      </c>
      <c r="J256" s="412">
        <f t="shared" si="154"/>
        <v>0</v>
      </c>
      <c r="K256" s="412">
        <f>K252-K254</f>
        <v>0</v>
      </c>
      <c r="L256" s="412">
        <f t="shared" ref="L256" si="155">L252-L254</f>
        <v>0</v>
      </c>
      <c r="M256" s="412">
        <f>M252-M254</f>
        <v>0</v>
      </c>
      <c r="N256" s="412">
        <f t="shared" ref="N256:T256" si="156">N252-N254</f>
        <v>0</v>
      </c>
      <c r="O256" s="412">
        <f t="shared" si="156"/>
        <v>0</v>
      </c>
      <c r="P256" s="412">
        <f t="shared" si="156"/>
        <v>0</v>
      </c>
      <c r="Q256" s="412">
        <f t="shared" si="156"/>
        <v>0</v>
      </c>
      <c r="R256" s="412">
        <f t="shared" si="156"/>
        <v>0</v>
      </c>
      <c r="S256" s="412">
        <f t="shared" si="156"/>
        <v>0</v>
      </c>
      <c r="T256" s="412">
        <f t="shared" si="156"/>
        <v>0</v>
      </c>
      <c r="V256" s="133"/>
      <c r="W256" s="133"/>
    </row>
    <row r="257" spans="1:20" ht="15.6" x14ac:dyDescent="0.3">
      <c r="A257" s="377"/>
      <c r="B257" s="263"/>
      <c r="C257" s="157"/>
      <c r="D257" s="258"/>
      <c r="E257" s="158"/>
      <c r="F257" s="483"/>
      <c r="G257" s="483"/>
      <c r="H257" s="483"/>
      <c r="I257" s="483"/>
      <c r="J257" s="483"/>
      <c r="K257" s="483"/>
      <c r="L257" s="483"/>
      <c r="M257" s="483"/>
      <c r="N257" s="483"/>
      <c r="O257" s="483"/>
      <c r="P257" s="483"/>
      <c r="Q257" s="483"/>
      <c r="R257" s="483"/>
      <c r="S257" s="483"/>
      <c r="T257" s="407"/>
    </row>
    <row r="258" spans="1:20" s="110" customFormat="1" ht="15.6" x14ac:dyDescent="0.3">
      <c r="A258" s="376" t="s">
        <v>82</v>
      </c>
      <c r="B258" s="398" t="s">
        <v>11</v>
      </c>
      <c r="C258" s="134">
        <v>0.06</v>
      </c>
      <c r="D258" s="164"/>
      <c r="E258" s="165"/>
      <c r="F258" s="420">
        <f t="shared" ref="F258:T258" si="157">TRUNC(($C$258*F$12),2)</f>
        <v>52.8</v>
      </c>
      <c r="G258" s="420">
        <f t="shared" si="157"/>
        <v>52.8</v>
      </c>
      <c r="H258" s="420">
        <f t="shared" si="157"/>
        <v>26.4</v>
      </c>
      <c r="I258" s="420">
        <f t="shared" si="157"/>
        <v>52.8</v>
      </c>
      <c r="J258" s="420">
        <f t="shared" si="157"/>
        <v>52.8</v>
      </c>
      <c r="K258" s="420">
        <f t="shared" si="157"/>
        <v>26.4</v>
      </c>
      <c r="L258" s="420">
        <f t="shared" si="157"/>
        <v>66</v>
      </c>
      <c r="M258" s="420">
        <f t="shared" si="157"/>
        <v>0</v>
      </c>
      <c r="N258" s="420">
        <f t="shared" si="157"/>
        <v>39.6</v>
      </c>
      <c r="O258" s="420">
        <f t="shared" si="157"/>
        <v>0</v>
      </c>
      <c r="P258" s="420">
        <f t="shared" si="157"/>
        <v>0</v>
      </c>
      <c r="Q258" s="420">
        <f t="shared" si="157"/>
        <v>52.8</v>
      </c>
      <c r="R258" s="420">
        <f t="shared" si="157"/>
        <v>52.8</v>
      </c>
      <c r="S258" s="420">
        <f t="shared" si="157"/>
        <v>105.6</v>
      </c>
      <c r="T258" s="420">
        <f t="shared" si="157"/>
        <v>52.8</v>
      </c>
    </row>
    <row r="259" spans="1:20" ht="15.6" x14ac:dyDescent="0.3">
      <c r="A259" s="377"/>
      <c r="B259" s="241"/>
      <c r="C259" s="157"/>
      <c r="D259" s="258"/>
      <c r="E259" s="158"/>
      <c r="F259" s="407"/>
      <c r="G259" s="407"/>
      <c r="H259" s="407"/>
      <c r="I259" s="407"/>
      <c r="J259" s="407"/>
      <c r="K259" s="407"/>
      <c r="L259" s="407"/>
      <c r="M259" s="407"/>
      <c r="N259" s="407"/>
      <c r="O259" s="407"/>
      <c r="P259" s="407"/>
      <c r="Q259" s="407"/>
      <c r="R259" s="407"/>
      <c r="S259" s="407"/>
      <c r="T259" s="407"/>
    </row>
    <row r="260" spans="1:20" s="122" customFormat="1" ht="15.6" x14ac:dyDescent="0.3">
      <c r="A260" s="378" t="s">
        <v>83</v>
      </c>
      <c r="B260" s="248" t="s">
        <v>275</v>
      </c>
      <c r="C260" s="171"/>
      <c r="D260" s="155"/>
      <c r="E260" s="156"/>
      <c r="F260" s="405">
        <f t="shared" ref="F260:P260" si="158">TRUNC((0.45*F258),2)</f>
        <v>23.76</v>
      </c>
      <c r="G260" s="405">
        <f t="shared" si="158"/>
        <v>23.76</v>
      </c>
      <c r="H260" s="405">
        <f t="shared" si="158"/>
        <v>11.88</v>
      </c>
      <c r="I260" s="405">
        <f t="shared" si="158"/>
        <v>23.76</v>
      </c>
      <c r="J260" s="405">
        <f t="shared" si="158"/>
        <v>23.76</v>
      </c>
      <c r="K260" s="405">
        <f t="shared" si="158"/>
        <v>11.88</v>
      </c>
      <c r="L260" s="405">
        <f t="shared" si="158"/>
        <v>29.7</v>
      </c>
      <c r="M260" s="405">
        <f t="shared" si="158"/>
        <v>0</v>
      </c>
      <c r="N260" s="405">
        <f t="shared" si="158"/>
        <v>17.82</v>
      </c>
      <c r="O260" s="405">
        <f t="shared" si="158"/>
        <v>0</v>
      </c>
      <c r="P260" s="405">
        <f t="shared" si="158"/>
        <v>0</v>
      </c>
      <c r="Q260" s="405">
        <f t="shared" ref="Q260:R260" si="159">TRUNC((0.45*Q258),2)</f>
        <v>23.76</v>
      </c>
      <c r="R260" s="405">
        <f t="shared" si="159"/>
        <v>23.76</v>
      </c>
      <c r="S260" s="405">
        <f t="shared" ref="S260:T260" si="160">TRUNC((0.45*S258),2)</f>
        <v>47.52</v>
      </c>
      <c r="T260" s="405">
        <f t="shared" si="160"/>
        <v>23.76</v>
      </c>
    </row>
    <row r="261" spans="1:20" ht="15.6" x14ac:dyDescent="0.3">
      <c r="A261" s="379" t="s">
        <v>276</v>
      </c>
      <c r="B261" s="482" t="s">
        <v>119</v>
      </c>
      <c r="C261" s="173"/>
      <c r="D261" s="174" t="s">
        <v>120</v>
      </c>
      <c r="E261" s="175"/>
      <c r="F261" s="403">
        <f>0.5*F260</f>
        <v>11.88</v>
      </c>
      <c r="G261" s="403">
        <f>0.5*G260</f>
        <v>11.88</v>
      </c>
      <c r="H261" s="403">
        <f>0.5*H260</f>
        <v>5.94</v>
      </c>
      <c r="I261" s="403">
        <f>0.1*I260</f>
        <v>2.3760000000000003</v>
      </c>
      <c r="J261" s="403">
        <f>0.1*J260</f>
        <v>2.3760000000000003</v>
      </c>
      <c r="K261" s="403">
        <f>0.1*K260</f>
        <v>1.1880000000000002</v>
      </c>
      <c r="L261" s="403"/>
      <c r="M261" s="403"/>
      <c r="N261" s="403"/>
      <c r="O261" s="403"/>
      <c r="P261" s="403">
        <f>1*P260</f>
        <v>0</v>
      </c>
      <c r="Q261" s="403">
        <f>0.1*Q260</f>
        <v>2.3760000000000003</v>
      </c>
      <c r="R261" s="403">
        <f>0.1*R260</f>
        <v>2.3760000000000003</v>
      </c>
      <c r="S261" s="403">
        <f>0.1*S260</f>
        <v>4.7520000000000007</v>
      </c>
      <c r="T261" s="403">
        <f>0.1*T260</f>
        <v>2.3760000000000003</v>
      </c>
    </row>
    <row r="262" spans="1:20" ht="15.6" x14ac:dyDescent="0.3">
      <c r="A262" s="379" t="s">
        <v>277</v>
      </c>
      <c r="B262" s="482" t="s">
        <v>122</v>
      </c>
      <c r="C262" s="173"/>
      <c r="D262" s="174" t="s">
        <v>120</v>
      </c>
      <c r="E262" s="175"/>
      <c r="F262" s="403"/>
      <c r="G262" s="403"/>
      <c r="H262" s="403"/>
      <c r="I262" s="403"/>
      <c r="J262" s="403"/>
      <c r="K262" s="403"/>
      <c r="L262" s="403">
        <f>0.3*L260</f>
        <v>8.91</v>
      </c>
      <c r="M262" s="403">
        <f>0.3*M260</f>
        <v>0</v>
      </c>
      <c r="N262" s="403"/>
      <c r="O262" s="403"/>
      <c r="P262" s="403"/>
      <c r="Q262" s="403">
        <f>0.15*Q260</f>
        <v>3.5640000000000001</v>
      </c>
      <c r="R262" s="403">
        <f>0.15*R260</f>
        <v>3.5640000000000001</v>
      </c>
      <c r="S262" s="403">
        <f>0.15*S260</f>
        <v>7.1280000000000001</v>
      </c>
      <c r="T262" s="403">
        <f>0.15*T260</f>
        <v>3.5640000000000001</v>
      </c>
    </row>
    <row r="263" spans="1:20" ht="15.6" x14ac:dyDescent="0.3">
      <c r="A263" s="379" t="s">
        <v>278</v>
      </c>
      <c r="B263" s="482" t="s">
        <v>124</v>
      </c>
      <c r="C263" s="173"/>
      <c r="D263" s="174" t="s">
        <v>120</v>
      </c>
      <c r="E263" s="175"/>
      <c r="F263" s="403"/>
      <c r="G263" s="403"/>
      <c r="H263" s="403"/>
      <c r="I263" s="403"/>
      <c r="J263" s="403"/>
      <c r="K263" s="403"/>
      <c r="L263" s="403">
        <f>0.3*L260</f>
        <v>8.91</v>
      </c>
      <c r="M263" s="403">
        <f>0.3*M260</f>
        <v>0</v>
      </c>
      <c r="N263" s="403"/>
      <c r="O263" s="403"/>
      <c r="P263" s="403"/>
      <c r="Q263" s="403">
        <f>0.15*Q260</f>
        <v>3.5640000000000001</v>
      </c>
      <c r="R263" s="403">
        <f>0.15*R260</f>
        <v>3.5640000000000001</v>
      </c>
      <c r="S263" s="403">
        <f>0.15*S260</f>
        <v>7.1280000000000001</v>
      </c>
      <c r="T263" s="403">
        <f>0.15*T260</f>
        <v>3.5640000000000001</v>
      </c>
    </row>
    <row r="264" spans="1:20" ht="15.6" x14ac:dyDescent="0.3">
      <c r="A264" s="379" t="s">
        <v>279</v>
      </c>
      <c r="B264" s="567" t="s">
        <v>480</v>
      </c>
      <c r="C264" s="173"/>
      <c r="D264" s="174" t="s">
        <v>120</v>
      </c>
      <c r="E264" s="175"/>
      <c r="F264" s="403"/>
      <c r="G264" s="403"/>
      <c r="H264" s="403"/>
      <c r="I264" s="403"/>
      <c r="J264" s="403"/>
      <c r="K264" s="403"/>
      <c r="L264" s="403">
        <f>0.05*L260</f>
        <v>1.4850000000000001</v>
      </c>
      <c r="M264" s="403">
        <f>0.05*M260</f>
        <v>0</v>
      </c>
      <c r="N264" s="403">
        <f>0.4*N260</f>
        <v>7.1280000000000001</v>
      </c>
      <c r="O264" s="403">
        <f>0.4*O260</f>
        <v>0</v>
      </c>
      <c r="P264" s="403"/>
      <c r="Q264" s="403">
        <f>0.1*Q260</f>
        <v>2.3760000000000003</v>
      </c>
      <c r="R264" s="403">
        <f>0.1*R260</f>
        <v>2.3760000000000003</v>
      </c>
      <c r="S264" s="403">
        <f>0.1*S260</f>
        <v>4.7520000000000007</v>
      </c>
      <c r="T264" s="403">
        <f>0.1*T260</f>
        <v>2.3760000000000003</v>
      </c>
    </row>
    <row r="265" spans="1:20" ht="15.6" x14ac:dyDescent="0.3">
      <c r="A265" s="379" t="s">
        <v>280</v>
      </c>
      <c r="B265" s="482" t="s">
        <v>128</v>
      </c>
      <c r="C265" s="173"/>
      <c r="D265" s="174" t="s">
        <v>120</v>
      </c>
      <c r="E265" s="175"/>
      <c r="F265" s="403"/>
      <c r="G265" s="403"/>
      <c r="H265" s="403"/>
      <c r="I265" s="403"/>
      <c r="J265" s="403"/>
      <c r="K265" s="403"/>
      <c r="L265" s="403">
        <f>0.3*L260</f>
        <v>8.91</v>
      </c>
      <c r="M265" s="403">
        <f>0.3*M260</f>
        <v>0</v>
      </c>
      <c r="N265" s="403"/>
      <c r="O265" s="403"/>
      <c r="P265" s="403"/>
      <c r="Q265" s="403">
        <f>0.15*Q260</f>
        <v>3.5640000000000001</v>
      </c>
      <c r="R265" s="403">
        <f>0.15*R260</f>
        <v>3.5640000000000001</v>
      </c>
      <c r="S265" s="403">
        <f>0.15*S260</f>
        <v>7.1280000000000001</v>
      </c>
      <c r="T265" s="403">
        <f>0.15*T260</f>
        <v>3.5640000000000001</v>
      </c>
    </row>
    <row r="266" spans="1:20" ht="15.6" x14ac:dyDescent="0.3">
      <c r="A266" s="379" t="s">
        <v>281</v>
      </c>
      <c r="B266" s="482" t="s">
        <v>130</v>
      </c>
      <c r="C266" s="173"/>
      <c r="D266" s="174" t="s">
        <v>120</v>
      </c>
      <c r="E266" s="175"/>
      <c r="F266" s="403"/>
      <c r="G266" s="403"/>
      <c r="H266" s="403"/>
      <c r="I266" s="403"/>
      <c r="J266" s="403"/>
      <c r="K266" s="403"/>
      <c r="L266" s="403">
        <f>0.05*L260</f>
        <v>1.4850000000000001</v>
      </c>
      <c r="M266" s="403">
        <f>0.05*M260</f>
        <v>0</v>
      </c>
      <c r="N266" s="403">
        <f>0.6*N260</f>
        <v>10.692</v>
      </c>
      <c r="O266" s="403">
        <f>0.6*O260</f>
        <v>0</v>
      </c>
      <c r="P266" s="403"/>
      <c r="Q266" s="403">
        <f>0.15*Q260</f>
        <v>3.5640000000000001</v>
      </c>
      <c r="R266" s="403">
        <f>0.15*R260</f>
        <v>3.5640000000000001</v>
      </c>
      <c r="S266" s="403">
        <f>0.15*S260</f>
        <v>7.1280000000000001</v>
      </c>
      <c r="T266" s="403">
        <f>0.15*T260</f>
        <v>3.5640000000000001</v>
      </c>
    </row>
    <row r="267" spans="1:20" ht="15.6" x14ac:dyDescent="0.3">
      <c r="A267" s="379" t="s">
        <v>282</v>
      </c>
      <c r="B267" s="482" t="s">
        <v>132</v>
      </c>
      <c r="C267" s="173"/>
      <c r="D267" s="174" t="s">
        <v>120</v>
      </c>
      <c r="E267" s="175"/>
      <c r="F267" s="403">
        <f>0.5*F260</f>
        <v>11.88</v>
      </c>
      <c r="G267" s="403">
        <f>0.5*G260</f>
        <v>11.88</v>
      </c>
      <c r="H267" s="403">
        <f>0.5*H260</f>
        <v>5.94</v>
      </c>
      <c r="I267" s="403">
        <f>0.9*I260</f>
        <v>21.384</v>
      </c>
      <c r="J267" s="403">
        <f>0.9*J260</f>
        <v>21.384</v>
      </c>
      <c r="K267" s="403">
        <f>0.9*K260</f>
        <v>10.692</v>
      </c>
      <c r="L267" s="403"/>
      <c r="M267" s="403"/>
      <c r="N267" s="403"/>
      <c r="O267" s="403"/>
      <c r="P267" s="403"/>
      <c r="Q267" s="403">
        <f>0.2*Q260</f>
        <v>4.7520000000000007</v>
      </c>
      <c r="R267" s="403">
        <f>0.2*R260</f>
        <v>4.7520000000000007</v>
      </c>
      <c r="S267" s="403">
        <f>0.2*S260</f>
        <v>9.5040000000000013</v>
      </c>
      <c r="T267" s="403">
        <f>0.2*T260</f>
        <v>4.7520000000000007</v>
      </c>
    </row>
    <row r="268" spans="1:20" s="99" customFormat="1" ht="15.6" hidden="1" x14ac:dyDescent="0.3">
      <c r="A268" s="380"/>
      <c r="B268" s="247"/>
      <c r="C268" s="139"/>
      <c r="D268" s="97"/>
      <c r="E268" s="98"/>
      <c r="F268" s="404">
        <f t="shared" ref="F268:K268" si="161">F260-SUM(F261:F267)</f>
        <v>0</v>
      </c>
      <c r="G268" s="404">
        <f t="shared" si="161"/>
        <v>0</v>
      </c>
      <c r="H268" s="404">
        <f t="shared" si="161"/>
        <v>0</v>
      </c>
      <c r="I268" s="404">
        <f t="shared" si="161"/>
        <v>0</v>
      </c>
      <c r="J268" s="404">
        <f t="shared" si="161"/>
        <v>0</v>
      </c>
      <c r="K268" s="404">
        <f t="shared" si="161"/>
        <v>0</v>
      </c>
      <c r="L268" s="404">
        <f t="shared" ref="L268:O268" si="162">L260-SUM(L261:L267)</f>
        <v>0</v>
      </c>
      <c r="M268" s="404">
        <f t="shared" si="162"/>
        <v>0</v>
      </c>
      <c r="N268" s="404">
        <f t="shared" si="162"/>
        <v>0</v>
      </c>
      <c r="O268" s="404">
        <f t="shared" si="162"/>
        <v>0</v>
      </c>
      <c r="P268" s="404">
        <f>P260-SUM(P261:P267)</f>
        <v>0</v>
      </c>
      <c r="Q268" s="404">
        <f>Q260-SUM(Q261:Q267)</f>
        <v>0</v>
      </c>
      <c r="R268" s="404">
        <f>R260-SUM(R261:R267)</f>
        <v>0</v>
      </c>
      <c r="S268" s="404">
        <f>S260-SUM(S261:S267)</f>
        <v>0</v>
      </c>
      <c r="T268" s="404">
        <f>T260-SUM(T261:T267)</f>
        <v>0</v>
      </c>
    </row>
    <row r="269" spans="1:20" ht="15.6" x14ac:dyDescent="0.3">
      <c r="A269" s="377"/>
      <c r="B269" s="263"/>
      <c r="C269" s="157"/>
      <c r="D269" s="258"/>
      <c r="E269" s="158"/>
      <c r="F269" s="270"/>
      <c r="G269" s="269"/>
      <c r="H269" s="269"/>
      <c r="I269" s="269"/>
      <c r="J269" s="269"/>
      <c r="K269" s="269"/>
      <c r="L269" s="269"/>
      <c r="M269" s="269"/>
      <c r="N269" s="269"/>
      <c r="O269" s="269"/>
      <c r="P269" s="269"/>
      <c r="Q269" s="269"/>
      <c r="R269" s="269"/>
      <c r="S269" s="269"/>
      <c r="T269" s="407"/>
    </row>
    <row r="270" spans="1:20" s="122" customFormat="1" ht="15.6" x14ac:dyDescent="0.3">
      <c r="A270" s="378" t="s">
        <v>84</v>
      </c>
      <c r="B270" s="265" t="s">
        <v>501</v>
      </c>
      <c r="C270" s="171"/>
      <c r="D270" s="155"/>
      <c r="E270" s="156"/>
      <c r="F270" s="402">
        <f t="shared" ref="F270:T270" si="163">TRUNC((0.15*F258),2)</f>
        <v>7.92</v>
      </c>
      <c r="G270" s="402">
        <f t="shared" si="163"/>
        <v>7.92</v>
      </c>
      <c r="H270" s="402">
        <f t="shared" si="163"/>
        <v>3.96</v>
      </c>
      <c r="I270" s="402">
        <f t="shared" si="163"/>
        <v>7.92</v>
      </c>
      <c r="J270" s="402">
        <f t="shared" si="163"/>
        <v>7.92</v>
      </c>
      <c r="K270" s="402">
        <f t="shared" si="163"/>
        <v>3.96</v>
      </c>
      <c r="L270" s="402">
        <f t="shared" si="163"/>
        <v>9.9</v>
      </c>
      <c r="M270" s="402">
        <f t="shared" si="163"/>
        <v>0</v>
      </c>
      <c r="N270" s="402">
        <f t="shared" si="163"/>
        <v>5.94</v>
      </c>
      <c r="O270" s="402">
        <f t="shared" si="163"/>
        <v>0</v>
      </c>
      <c r="P270" s="402">
        <f t="shared" si="163"/>
        <v>0</v>
      </c>
      <c r="Q270" s="402">
        <f t="shared" si="163"/>
        <v>7.92</v>
      </c>
      <c r="R270" s="402">
        <f t="shared" si="163"/>
        <v>7.92</v>
      </c>
      <c r="S270" s="402">
        <f t="shared" si="163"/>
        <v>15.84</v>
      </c>
      <c r="T270" s="402">
        <f t="shared" si="163"/>
        <v>7.92</v>
      </c>
    </row>
    <row r="271" spans="1:20" ht="15.6" x14ac:dyDescent="0.3">
      <c r="A271" s="379" t="s">
        <v>283</v>
      </c>
      <c r="B271" s="263" t="s">
        <v>134</v>
      </c>
      <c r="C271" s="173"/>
      <c r="D271" s="174" t="s">
        <v>120</v>
      </c>
      <c r="E271" s="175"/>
      <c r="F271" s="403">
        <f>0.1*F270</f>
        <v>0.79200000000000004</v>
      </c>
      <c r="G271" s="403">
        <f>0.1*G270</f>
        <v>0.79200000000000004</v>
      </c>
      <c r="H271" s="403">
        <f>0.1*H270</f>
        <v>0.39600000000000002</v>
      </c>
      <c r="I271" s="403">
        <f>0.6*I270</f>
        <v>4.7519999999999998</v>
      </c>
      <c r="J271" s="403">
        <f>0.6*J270</f>
        <v>4.7519999999999998</v>
      </c>
      <c r="K271" s="403">
        <f>0.6*K270</f>
        <v>2.3759999999999999</v>
      </c>
      <c r="L271" s="403"/>
      <c r="M271" s="403"/>
      <c r="N271" s="403"/>
      <c r="O271" s="403"/>
      <c r="P271" s="403"/>
      <c r="Q271" s="403">
        <f>0.1*Q270</f>
        <v>0.79200000000000004</v>
      </c>
      <c r="R271" s="403">
        <f>0.1*R270</f>
        <v>0.79200000000000004</v>
      </c>
      <c r="S271" s="403">
        <f>0.1*S270</f>
        <v>1.5840000000000001</v>
      </c>
      <c r="T271" s="403">
        <f>0.1*T270</f>
        <v>0.79200000000000004</v>
      </c>
    </row>
    <row r="272" spans="1:20" ht="15.6" x14ac:dyDescent="0.3">
      <c r="A272" s="379" t="s">
        <v>284</v>
      </c>
      <c r="B272" s="264" t="s">
        <v>136</v>
      </c>
      <c r="C272" s="173"/>
      <c r="D272" s="174" t="s">
        <v>120</v>
      </c>
      <c r="E272" s="175"/>
      <c r="F272" s="403">
        <f>0.3*F270</f>
        <v>2.3759999999999999</v>
      </c>
      <c r="G272" s="403">
        <f>0.3*G270</f>
        <v>2.3759999999999999</v>
      </c>
      <c r="H272" s="403">
        <f>0.3*H270</f>
        <v>1.1879999999999999</v>
      </c>
      <c r="I272" s="403">
        <f>0.1*I270</f>
        <v>0.79200000000000004</v>
      </c>
      <c r="J272" s="403">
        <f>0.1*J270</f>
        <v>0.79200000000000004</v>
      </c>
      <c r="K272" s="403">
        <f>0.1*K270</f>
        <v>0.39600000000000002</v>
      </c>
      <c r="L272" s="403"/>
      <c r="M272" s="403"/>
      <c r="N272" s="403"/>
      <c r="O272" s="403"/>
      <c r="P272" s="403"/>
      <c r="Q272" s="403">
        <f>0.1*Q270</f>
        <v>0.79200000000000004</v>
      </c>
      <c r="R272" s="403">
        <f>0.1*R270</f>
        <v>0.79200000000000004</v>
      </c>
      <c r="S272" s="403">
        <f>0.1*S270</f>
        <v>1.5840000000000001</v>
      </c>
      <c r="T272" s="403">
        <f>0.1*T270</f>
        <v>0.79200000000000004</v>
      </c>
    </row>
    <row r="273" spans="1:20" ht="15.6" x14ac:dyDescent="0.3">
      <c r="A273" s="379" t="s">
        <v>285</v>
      </c>
      <c r="B273" s="263" t="s">
        <v>138</v>
      </c>
      <c r="C273" s="173"/>
      <c r="D273" s="174" t="s">
        <v>120</v>
      </c>
      <c r="E273" s="175"/>
      <c r="F273" s="403"/>
      <c r="G273" s="403"/>
      <c r="H273" s="403"/>
      <c r="I273" s="403"/>
      <c r="J273" s="403"/>
      <c r="K273" s="403"/>
      <c r="L273" s="403">
        <f>0.2*L270</f>
        <v>1.9800000000000002</v>
      </c>
      <c r="M273" s="403">
        <f>0.2*M270</f>
        <v>0</v>
      </c>
      <c r="N273" s="403"/>
      <c r="O273" s="403"/>
      <c r="P273" s="403"/>
      <c r="Q273" s="403">
        <f>0.1*Q270</f>
        <v>0.79200000000000004</v>
      </c>
      <c r="R273" s="403">
        <f>0.1*R270</f>
        <v>0.79200000000000004</v>
      </c>
      <c r="S273" s="403">
        <f>0.1*S270</f>
        <v>1.5840000000000001</v>
      </c>
      <c r="T273" s="403">
        <f>0.1*T270</f>
        <v>0.79200000000000004</v>
      </c>
    </row>
    <row r="274" spans="1:20" ht="15.6" x14ac:dyDescent="0.3">
      <c r="A274" s="379" t="s">
        <v>286</v>
      </c>
      <c r="B274" s="264" t="s">
        <v>140</v>
      </c>
      <c r="C274" s="173"/>
      <c r="D274" s="174" t="s">
        <v>120</v>
      </c>
      <c r="E274" s="175"/>
      <c r="F274" s="403"/>
      <c r="G274" s="403"/>
      <c r="H274" s="403"/>
      <c r="I274" s="403"/>
      <c r="J274" s="403"/>
      <c r="K274" s="403"/>
      <c r="L274" s="403">
        <f>0.2*L270</f>
        <v>1.9800000000000002</v>
      </c>
      <c r="M274" s="403">
        <f>0.2*M270</f>
        <v>0</v>
      </c>
      <c r="N274" s="403"/>
      <c r="O274" s="403"/>
      <c r="P274" s="403"/>
      <c r="Q274" s="403">
        <f>0.1*Q270</f>
        <v>0.79200000000000004</v>
      </c>
      <c r="R274" s="403">
        <f>0.1*R270</f>
        <v>0.79200000000000004</v>
      </c>
      <c r="S274" s="403">
        <f>0.1*S270</f>
        <v>1.5840000000000001</v>
      </c>
      <c r="T274" s="403">
        <f>0.1*T270</f>
        <v>0.79200000000000004</v>
      </c>
    </row>
    <row r="275" spans="1:20" ht="15.6" x14ac:dyDescent="0.3">
      <c r="A275" s="379" t="s">
        <v>287</v>
      </c>
      <c r="B275" s="263" t="s">
        <v>142</v>
      </c>
      <c r="C275" s="173"/>
      <c r="D275" s="174" t="s">
        <v>120</v>
      </c>
      <c r="E275" s="175"/>
      <c r="F275" s="403"/>
      <c r="G275" s="403"/>
      <c r="H275" s="403"/>
      <c r="I275" s="403"/>
      <c r="J275" s="403"/>
      <c r="K275" s="403"/>
      <c r="L275" s="403">
        <f>0.15*L270</f>
        <v>1.4850000000000001</v>
      </c>
      <c r="M275" s="403">
        <f>0.15*M270</f>
        <v>0</v>
      </c>
      <c r="N275" s="403"/>
      <c r="O275" s="403"/>
      <c r="P275" s="403"/>
      <c r="Q275" s="403">
        <f>0.05*Q270</f>
        <v>0.39600000000000002</v>
      </c>
      <c r="R275" s="403">
        <f>0.05*R270</f>
        <v>0.39600000000000002</v>
      </c>
      <c r="S275" s="403">
        <f>0.05*S270</f>
        <v>0.79200000000000004</v>
      </c>
      <c r="T275" s="403">
        <f>0.05*T270</f>
        <v>0.39600000000000002</v>
      </c>
    </row>
    <row r="276" spans="1:20" ht="15.6" x14ac:dyDescent="0.3">
      <c r="A276" s="379" t="s">
        <v>288</v>
      </c>
      <c r="B276" s="263" t="s">
        <v>144</v>
      </c>
      <c r="C276" s="173"/>
      <c r="D276" s="174" t="s">
        <v>120</v>
      </c>
      <c r="E276" s="175"/>
      <c r="F276" s="403"/>
      <c r="G276" s="403"/>
      <c r="H276" s="403"/>
      <c r="I276" s="403"/>
      <c r="J276" s="403"/>
      <c r="K276" s="403"/>
      <c r="L276" s="403">
        <f>0.15*L270</f>
        <v>1.4850000000000001</v>
      </c>
      <c r="M276" s="403">
        <f>0.15*M270</f>
        <v>0</v>
      </c>
      <c r="N276" s="403"/>
      <c r="O276" s="403"/>
      <c r="P276" s="403"/>
      <c r="Q276" s="403">
        <f>0.05*Q270</f>
        <v>0.39600000000000002</v>
      </c>
      <c r="R276" s="403">
        <f>0.05*R270</f>
        <v>0.39600000000000002</v>
      </c>
      <c r="S276" s="403">
        <f>0.05*S270</f>
        <v>0.79200000000000004</v>
      </c>
      <c r="T276" s="403">
        <f>0.05*T270</f>
        <v>0.39600000000000002</v>
      </c>
    </row>
    <row r="277" spans="1:20" ht="15.6" x14ac:dyDescent="0.3">
      <c r="A277" s="379" t="s">
        <v>289</v>
      </c>
      <c r="B277" s="263" t="s">
        <v>146</v>
      </c>
      <c r="C277" s="173"/>
      <c r="D277" s="174" t="s">
        <v>120</v>
      </c>
      <c r="E277" s="175"/>
      <c r="F277" s="403">
        <f>0.15*F270</f>
        <v>1.1879999999999999</v>
      </c>
      <c r="G277" s="403">
        <f>0.15*G270</f>
        <v>1.1879999999999999</v>
      </c>
      <c r="H277" s="403">
        <f>0.15*H270</f>
        <v>0.59399999999999997</v>
      </c>
      <c r="I277" s="403">
        <f>0.1*I270</f>
        <v>0.79200000000000004</v>
      </c>
      <c r="J277" s="403">
        <f>0.1*J270</f>
        <v>0.79200000000000004</v>
      </c>
      <c r="K277" s="403">
        <f>0.1*K270</f>
        <v>0.39600000000000002</v>
      </c>
      <c r="L277" s="403">
        <f>0.15*L270</f>
        <v>1.4850000000000001</v>
      </c>
      <c r="M277" s="403">
        <f>0.15*M270</f>
        <v>0</v>
      </c>
      <c r="N277" s="403"/>
      <c r="O277" s="403"/>
      <c r="P277" s="403"/>
      <c r="Q277" s="403">
        <f>0.1*Q270</f>
        <v>0.79200000000000004</v>
      </c>
      <c r="R277" s="403">
        <f>0.1*R270</f>
        <v>0.79200000000000004</v>
      </c>
      <c r="S277" s="403">
        <f>0.1*S270</f>
        <v>1.5840000000000001</v>
      </c>
      <c r="T277" s="403">
        <f>0.1*T270</f>
        <v>0.79200000000000004</v>
      </c>
    </row>
    <row r="278" spans="1:20" ht="15.6" x14ac:dyDescent="0.3">
      <c r="A278" s="379" t="s">
        <v>290</v>
      </c>
      <c r="B278" s="263" t="s">
        <v>148</v>
      </c>
      <c r="C278" s="173"/>
      <c r="D278" s="174" t="s">
        <v>120</v>
      </c>
      <c r="E278" s="175"/>
      <c r="F278" s="403"/>
      <c r="G278" s="403"/>
      <c r="H278" s="403"/>
      <c r="I278" s="403"/>
      <c r="J278" s="403"/>
      <c r="K278" s="403"/>
      <c r="L278" s="403">
        <f>0.15*L270</f>
        <v>1.4850000000000001</v>
      </c>
      <c r="M278" s="403">
        <f>0.15*M270</f>
        <v>0</v>
      </c>
      <c r="N278" s="403">
        <f>0.6*N270</f>
        <v>3.5640000000000001</v>
      </c>
      <c r="O278" s="403">
        <f>0.6*O270</f>
        <v>0</v>
      </c>
      <c r="P278" s="403"/>
      <c r="Q278" s="403">
        <f>0.1*Q270</f>
        <v>0.79200000000000004</v>
      </c>
      <c r="R278" s="403">
        <f>0.1*R270</f>
        <v>0.79200000000000004</v>
      </c>
      <c r="S278" s="403">
        <f>0.1*S270</f>
        <v>1.5840000000000001</v>
      </c>
      <c r="T278" s="403">
        <f>0.1*T270</f>
        <v>0.79200000000000004</v>
      </c>
    </row>
    <row r="279" spans="1:20" ht="15.6" x14ac:dyDescent="0.3">
      <c r="A279" s="379" t="s">
        <v>291</v>
      </c>
      <c r="B279" s="233" t="s">
        <v>150</v>
      </c>
      <c r="C279" s="173"/>
      <c r="D279" s="174" t="s">
        <v>120</v>
      </c>
      <c r="E279" s="175"/>
      <c r="F279" s="403"/>
      <c r="G279" s="403"/>
      <c r="H279" s="403"/>
      <c r="I279" s="403"/>
      <c r="J279" s="403"/>
      <c r="K279" s="403"/>
      <c r="L279" s="403"/>
      <c r="M279" s="403"/>
      <c r="N279" s="403">
        <f>0.4*N270</f>
        <v>2.3760000000000003</v>
      </c>
      <c r="O279" s="403">
        <f>0.4*O270</f>
        <v>0</v>
      </c>
      <c r="P279" s="403"/>
      <c r="Q279" s="403">
        <f>0.1*Q270</f>
        <v>0.79200000000000004</v>
      </c>
      <c r="R279" s="403">
        <f>0.1*R270</f>
        <v>0.79200000000000004</v>
      </c>
      <c r="S279" s="403">
        <f>0.1*S270</f>
        <v>1.5840000000000001</v>
      </c>
      <c r="T279" s="403">
        <f>0.1*T270</f>
        <v>0.79200000000000004</v>
      </c>
    </row>
    <row r="280" spans="1:20" ht="15.6" x14ac:dyDescent="0.3">
      <c r="A280" s="379" t="s">
        <v>292</v>
      </c>
      <c r="B280" s="263" t="s">
        <v>152</v>
      </c>
      <c r="C280" s="173"/>
      <c r="D280" s="174" t="s">
        <v>120</v>
      </c>
      <c r="E280" s="175"/>
      <c r="F280" s="403">
        <f>0.3*F270</f>
        <v>2.3759999999999999</v>
      </c>
      <c r="G280" s="403">
        <f>0.3*G270</f>
        <v>2.3759999999999999</v>
      </c>
      <c r="H280" s="403">
        <f>0.3*H270</f>
        <v>1.1879999999999999</v>
      </c>
      <c r="I280" s="403">
        <f>0.1*I270</f>
        <v>0.79200000000000004</v>
      </c>
      <c r="J280" s="403">
        <f>0.1*J270</f>
        <v>0.79200000000000004</v>
      </c>
      <c r="K280" s="403">
        <f>0.1*K270</f>
        <v>0.39600000000000002</v>
      </c>
      <c r="L280" s="403"/>
      <c r="M280" s="403"/>
      <c r="N280" s="403"/>
      <c r="O280" s="403"/>
      <c r="P280" s="403">
        <f>0.4*P270</f>
        <v>0</v>
      </c>
      <c r="Q280" s="403">
        <f>0.1*Q270</f>
        <v>0.79200000000000004</v>
      </c>
      <c r="R280" s="403">
        <f>0.1*R270</f>
        <v>0.79200000000000004</v>
      </c>
      <c r="S280" s="403">
        <f>0.1*S270</f>
        <v>1.5840000000000001</v>
      </c>
      <c r="T280" s="403">
        <f>0.1*T270</f>
        <v>0.79200000000000004</v>
      </c>
    </row>
    <row r="281" spans="1:20" ht="15.6" x14ac:dyDescent="0.3">
      <c r="A281" s="379" t="s">
        <v>293</v>
      </c>
      <c r="B281" s="263" t="s">
        <v>154</v>
      </c>
      <c r="C281" s="173"/>
      <c r="D281" s="174" t="s">
        <v>120</v>
      </c>
      <c r="E281" s="175"/>
      <c r="F281" s="403">
        <f>0.15*F270</f>
        <v>1.1879999999999999</v>
      </c>
      <c r="G281" s="403">
        <f>0.15*G270</f>
        <v>1.1879999999999999</v>
      </c>
      <c r="H281" s="403">
        <f>0.15*H270</f>
        <v>0.59399999999999997</v>
      </c>
      <c r="I281" s="403">
        <f>0.1*I270</f>
        <v>0.79200000000000004</v>
      </c>
      <c r="J281" s="403">
        <f>0.1*J270</f>
        <v>0.79200000000000004</v>
      </c>
      <c r="K281" s="403">
        <f>0.1*K270</f>
        <v>0.39600000000000002</v>
      </c>
      <c r="L281" s="403"/>
      <c r="M281" s="403"/>
      <c r="N281" s="403"/>
      <c r="O281" s="403"/>
      <c r="P281" s="403"/>
      <c r="Q281" s="403">
        <f>0.1*Q270</f>
        <v>0.79200000000000004</v>
      </c>
      <c r="R281" s="403">
        <f>0.1*R270</f>
        <v>0.79200000000000004</v>
      </c>
      <c r="S281" s="403">
        <f>0.1*S270</f>
        <v>1.5840000000000001</v>
      </c>
      <c r="T281" s="403">
        <f>0.1*T270</f>
        <v>0.79200000000000004</v>
      </c>
    </row>
    <row r="282" spans="1:20" ht="15.6" hidden="1" x14ac:dyDescent="0.3">
      <c r="A282" s="377"/>
      <c r="B282" s="263"/>
      <c r="C282" s="157"/>
      <c r="D282" s="258"/>
      <c r="E282" s="158"/>
      <c r="F282" s="404">
        <f t="shared" ref="F282:P282" si="164">F270-SUM(F271:F281)</f>
        <v>0</v>
      </c>
      <c r="G282" s="404">
        <f t="shared" si="164"/>
        <v>0</v>
      </c>
      <c r="H282" s="404">
        <f t="shared" si="164"/>
        <v>0</v>
      </c>
      <c r="I282" s="404">
        <f t="shared" si="164"/>
        <v>0</v>
      </c>
      <c r="J282" s="404">
        <f t="shared" si="164"/>
        <v>0</v>
      </c>
      <c r="K282" s="404">
        <f t="shared" si="164"/>
        <v>0</v>
      </c>
      <c r="L282" s="404">
        <f t="shared" si="164"/>
        <v>0</v>
      </c>
      <c r="M282" s="404">
        <f t="shared" si="164"/>
        <v>0</v>
      </c>
      <c r="N282" s="404">
        <f t="shared" si="164"/>
        <v>0</v>
      </c>
      <c r="O282" s="404">
        <f t="shared" si="164"/>
        <v>0</v>
      </c>
      <c r="P282" s="404">
        <f t="shared" si="164"/>
        <v>0</v>
      </c>
      <c r="Q282" s="404">
        <f t="shared" ref="Q282:R282" si="165">Q270-SUM(Q271:Q281)</f>
        <v>0</v>
      </c>
      <c r="R282" s="404">
        <f t="shared" si="165"/>
        <v>0</v>
      </c>
      <c r="S282" s="404">
        <f t="shared" ref="S282:T282" si="166">S270-SUM(S271:S281)</f>
        <v>0</v>
      </c>
      <c r="T282" s="404">
        <f t="shared" si="166"/>
        <v>0</v>
      </c>
    </row>
    <row r="283" spans="1:20" ht="15.6" x14ac:dyDescent="0.3">
      <c r="A283" s="377"/>
      <c r="B283" s="263"/>
      <c r="C283" s="157"/>
      <c r="D283" s="258"/>
      <c r="E283" s="158"/>
      <c r="F283" s="270"/>
      <c r="G283" s="270"/>
      <c r="H283" s="270"/>
      <c r="I283" s="270"/>
      <c r="J283" s="270"/>
      <c r="K283" s="270"/>
      <c r="L283" s="268"/>
      <c r="M283" s="268"/>
      <c r="N283" s="268"/>
      <c r="O283" s="268"/>
      <c r="P283" s="268"/>
      <c r="Q283" s="268"/>
      <c r="R283" s="268"/>
      <c r="S283" s="268"/>
      <c r="T283" s="407"/>
    </row>
    <row r="284" spans="1:20" s="122" customFormat="1" ht="15.6" x14ac:dyDescent="0.3">
      <c r="A284" s="378" t="s">
        <v>85</v>
      </c>
      <c r="B284" s="245" t="s">
        <v>502</v>
      </c>
      <c r="C284" s="171"/>
      <c r="D284" s="155"/>
      <c r="E284" s="156"/>
      <c r="F284" s="402">
        <f t="shared" ref="F284:L284" si="167">TRUNC((0.05*F258),2)</f>
        <v>2.64</v>
      </c>
      <c r="G284" s="402">
        <f t="shared" si="167"/>
        <v>2.64</v>
      </c>
      <c r="H284" s="402">
        <f t="shared" si="167"/>
        <v>1.32</v>
      </c>
      <c r="I284" s="402">
        <f t="shared" si="167"/>
        <v>2.64</v>
      </c>
      <c r="J284" s="402">
        <f t="shared" si="167"/>
        <v>2.64</v>
      </c>
      <c r="K284" s="402">
        <f t="shared" si="167"/>
        <v>1.32</v>
      </c>
      <c r="L284" s="402">
        <f t="shared" si="167"/>
        <v>3.3</v>
      </c>
      <c r="M284" s="402">
        <f t="shared" ref="M284:P284" si="168">TRUNC((0.1*M258),2)</f>
        <v>0</v>
      </c>
      <c r="N284" s="402">
        <f>TRUNC((0.05*N258),2)</f>
        <v>1.98</v>
      </c>
      <c r="O284" s="402">
        <f t="shared" si="168"/>
        <v>0</v>
      </c>
      <c r="P284" s="402">
        <f t="shared" si="168"/>
        <v>0</v>
      </c>
      <c r="Q284" s="402">
        <f>TRUNC((0.05*Q258),2)</f>
        <v>2.64</v>
      </c>
      <c r="R284" s="402">
        <f>TRUNC((0.05*R258),2)</f>
        <v>2.64</v>
      </c>
      <c r="S284" s="402">
        <f>TRUNC((0.05*S258),2)</f>
        <v>5.28</v>
      </c>
      <c r="T284" s="402">
        <f>TRUNC((0.05*T258),2)</f>
        <v>2.64</v>
      </c>
    </row>
    <row r="285" spans="1:20" ht="15.6" x14ac:dyDescent="0.3">
      <c r="A285" s="377" t="s">
        <v>294</v>
      </c>
      <c r="B285" s="264" t="s">
        <v>159</v>
      </c>
      <c r="C285" s="157"/>
      <c r="D285" s="258" t="s">
        <v>120</v>
      </c>
      <c r="E285" s="158"/>
      <c r="F285" s="403">
        <f t="shared" ref="F285:T285" si="169">1*F284</f>
        <v>2.64</v>
      </c>
      <c r="G285" s="403">
        <f t="shared" si="169"/>
        <v>2.64</v>
      </c>
      <c r="H285" s="403">
        <f t="shared" si="169"/>
        <v>1.32</v>
      </c>
      <c r="I285" s="403">
        <f t="shared" si="169"/>
        <v>2.64</v>
      </c>
      <c r="J285" s="403">
        <f t="shared" si="169"/>
        <v>2.64</v>
      </c>
      <c r="K285" s="403">
        <f t="shared" si="169"/>
        <v>1.32</v>
      </c>
      <c r="L285" s="403">
        <f t="shared" si="169"/>
        <v>3.3</v>
      </c>
      <c r="M285" s="403">
        <f t="shared" si="169"/>
        <v>0</v>
      </c>
      <c r="N285" s="403">
        <f t="shared" si="169"/>
        <v>1.98</v>
      </c>
      <c r="O285" s="403">
        <f t="shared" si="169"/>
        <v>0</v>
      </c>
      <c r="P285" s="403">
        <f t="shared" si="169"/>
        <v>0</v>
      </c>
      <c r="Q285" s="403">
        <f t="shared" si="169"/>
        <v>2.64</v>
      </c>
      <c r="R285" s="403">
        <f t="shared" si="169"/>
        <v>2.64</v>
      </c>
      <c r="S285" s="403">
        <f t="shared" si="169"/>
        <v>5.28</v>
      </c>
      <c r="T285" s="403">
        <f t="shared" si="169"/>
        <v>2.64</v>
      </c>
    </row>
    <row r="286" spans="1:20" ht="15.6" hidden="1" x14ac:dyDescent="0.3">
      <c r="A286" s="377"/>
      <c r="B286" s="263"/>
      <c r="C286" s="157"/>
      <c r="D286" s="258"/>
      <c r="E286" s="158"/>
      <c r="F286" s="404">
        <f t="shared" ref="F286:T286" si="170">F284-SUM(F285:F285)</f>
        <v>0</v>
      </c>
      <c r="G286" s="404">
        <f t="shared" si="170"/>
        <v>0</v>
      </c>
      <c r="H286" s="404">
        <f t="shared" si="170"/>
        <v>0</v>
      </c>
      <c r="I286" s="404">
        <f t="shared" si="170"/>
        <v>0</v>
      </c>
      <c r="J286" s="404">
        <f t="shared" si="170"/>
        <v>0</v>
      </c>
      <c r="K286" s="404">
        <f t="shared" si="170"/>
        <v>0</v>
      </c>
      <c r="L286" s="404">
        <f t="shared" si="170"/>
        <v>0</v>
      </c>
      <c r="M286" s="404">
        <f t="shared" si="170"/>
        <v>0</v>
      </c>
      <c r="N286" s="404">
        <f t="shared" si="170"/>
        <v>0</v>
      </c>
      <c r="O286" s="404">
        <f t="shared" si="170"/>
        <v>0</v>
      </c>
      <c r="P286" s="404">
        <f t="shared" si="170"/>
        <v>0</v>
      </c>
      <c r="Q286" s="404">
        <f t="shared" si="170"/>
        <v>0</v>
      </c>
      <c r="R286" s="404">
        <f t="shared" si="170"/>
        <v>0</v>
      </c>
      <c r="S286" s="404">
        <f t="shared" si="170"/>
        <v>0</v>
      </c>
      <c r="T286" s="404">
        <f t="shared" si="170"/>
        <v>0</v>
      </c>
    </row>
    <row r="287" spans="1:20" ht="15.6" x14ac:dyDescent="0.3">
      <c r="A287" s="377"/>
      <c r="B287" s="263"/>
      <c r="C287" s="157"/>
      <c r="D287" s="258"/>
      <c r="E287" s="158"/>
      <c r="F287" s="270"/>
      <c r="G287" s="270"/>
      <c r="H287" s="270"/>
      <c r="I287" s="270"/>
      <c r="J287" s="270"/>
      <c r="K287" s="270"/>
      <c r="L287" s="269"/>
      <c r="M287" s="269"/>
      <c r="N287" s="269"/>
      <c r="O287" s="269"/>
      <c r="P287" s="269"/>
      <c r="Q287" s="269"/>
      <c r="R287" s="269"/>
      <c r="S287" s="269"/>
      <c r="T287" s="407"/>
    </row>
    <row r="288" spans="1:20" s="122" customFormat="1" ht="15.6" x14ac:dyDescent="0.3">
      <c r="A288" s="378" t="s">
        <v>86</v>
      </c>
      <c r="B288" s="265" t="s">
        <v>503</v>
      </c>
      <c r="C288" s="171"/>
      <c r="D288" s="155"/>
      <c r="E288" s="156"/>
      <c r="F288" s="402">
        <f t="shared" ref="F288:T288" si="171">TRUNC((0.1*F258),2)</f>
        <v>5.28</v>
      </c>
      <c r="G288" s="402">
        <f t="shared" si="171"/>
        <v>5.28</v>
      </c>
      <c r="H288" s="402">
        <f t="shared" si="171"/>
        <v>2.64</v>
      </c>
      <c r="I288" s="402">
        <f t="shared" si="171"/>
        <v>5.28</v>
      </c>
      <c r="J288" s="402">
        <f t="shared" si="171"/>
        <v>5.28</v>
      </c>
      <c r="K288" s="402">
        <f t="shared" si="171"/>
        <v>2.64</v>
      </c>
      <c r="L288" s="402">
        <f t="shared" si="171"/>
        <v>6.6</v>
      </c>
      <c r="M288" s="402">
        <f t="shared" si="171"/>
        <v>0</v>
      </c>
      <c r="N288" s="402">
        <f t="shared" si="171"/>
        <v>3.96</v>
      </c>
      <c r="O288" s="402">
        <f t="shared" si="171"/>
        <v>0</v>
      </c>
      <c r="P288" s="402">
        <f t="shared" si="171"/>
        <v>0</v>
      </c>
      <c r="Q288" s="402">
        <f t="shared" si="171"/>
        <v>5.28</v>
      </c>
      <c r="R288" s="402">
        <f t="shared" si="171"/>
        <v>5.28</v>
      </c>
      <c r="S288" s="402">
        <f t="shared" si="171"/>
        <v>10.56</v>
      </c>
      <c r="T288" s="402">
        <f t="shared" si="171"/>
        <v>5.28</v>
      </c>
    </row>
    <row r="289" spans="1:23" ht="15.6" x14ac:dyDescent="0.3">
      <c r="A289" s="379" t="s">
        <v>295</v>
      </c>
      <c r="B289" s="264" t="s">
        <v>160</v>
      </c>
      <c r="C289" s="172"/>
      <c r="D289" s="174" t="s">
        <v>120</v>
      </c>
      <c r="E289" s="175"/>
      <c r="F289" s="403">
        <f t="shared" ref="F289:T289" si="172">1*F288</f>
        <v>5.28</v>
      </c>
      <c r="G289" s="403">
        <f t="shared" si="172"/>
        <v>5.28</v>
      </c>
      <c r="H289" s="403">
        <f t="shared" si="172"/>
        <v>2.64</v>
      </c>
      <c r="I289" s="403">
        <f t="shared" si="172"/>
        <v>5.28</v>
      </c>
      <c r="J289" s="403">
        <f t="shared" si="172"/>
        <v>5.28</v>
      </c>
      <c r="K289" s="403">
        <f t="shared" si="172"/>
        <v>2.64</v>
      </c>
      <c r="L289" s="403">
        <f t="shared" si="172"/>
        <v>6.6</v>
      </c>
      <c r="M289" s="403">
        <f t="shared" si="172"/>
        <v>0</v>
      </c>
      <c r="N289" s="403">
        <f t="shared" si="172"/>
        <v>3.96</v>
      </c>
      <c r="O289" s="403">
        <f t="shared" si="172"/>
        <v>0</v>
      </c>
      <c r="P289" s="403">
        <f t="shared" si="172"/>
        <v>0</v>
      </c>
      <c r="Q289" s="403">
        <f t="shared" si="172"/>
        <v>5.28</v>
      </c>
      <c r="R289" s="403">
        <f t="shared" si="172"/>
        <v>5.28</v>
      </c>
      <c r="S289" s="403">
        <f t="shared" si="172"/>
        <v>10.56</v>
      </c>
      <c r="T289" s="403">
        <f t="shared" si="172"/>
        <v>5.28</v>
      </c>
    </row>
    <row r="290" spans="1:23" ht="15.6" hidden="1" x14ac:dyDescent="0.3">
      <c r="A290" s="377"/>
      <c r="B290" s="263"/>
      <c r="C290" s="157"/>
      <c r="D290" s="258"/>
      <c r="E290" s="158"/>
      <c r="F290" s="404">
        <f t="shared" ref="F290:T290" si="173">F288-SUM(F289:F289)</f>
        <v>0</v>
      </c>
      <c r="G290" s="404">
        <f t="shared" si="173"/>
        <v>0</v>
      </c>
      <c r="H290" s="404">
        <f t="shared" si="173"/>
        <v>0</v>
      </c>
      <c r="I290" s="404">
        <f t="shared" si="173"/>
        <v>0</v>
      </c>
      <c r="J290" s="404">
        <f t="shared" si="173"/>
        <v>0</v>
      </c>
      <c r="K290" s="404">
        <f t="shared" si="173"/>
        <v>0</v>
      </c>
      <c r="L290" s="404">
        <f t="shared" si="173"/>
        <v>0</v>
      </c>
      <c r="M290" s="404">
        <f t="shared" si="173"/>
        <v>0</v>
      </c>
      <c r="N290" s="404">
        <f t="shared" si="173"/>
        <v>0</v>
      </c>
      <c r="O290" s="404">
        <f t="shared" si="173"/>
        <v>0</v>
      </c>
      <c r="P290" s="404">
        <f t="shared" si="173"/>
        <v>0</v>
      </c>
      <c r="Q290" s="404">
        <f t="shared" si="173"/>
        <v>0</v>
      </c>
      <c r="R290" s="404">
        <f t="shared" si="173"/>
        <v>0</v>
      </c>
      <c r="S290" s="404">
        <f t="shared" si="173"/>
        <v>0</v>
      </c>
      <c r="T290" s="404">
        <f t="shared" si="173"/>
        <v>0</v>
      </c>
    </row>
    <row r="291" spans="1:23" ht="15.6" x14ac:dyDescent="0.3">
      <c r="A291" s="377"/>
      <c r="B291" s="263"/>
      <c r="C291" s="157"/>
      <c r="D291" s="258"/>
      <c r="E291" s="158"/>
      <c r="F291" s="270"/>
      <c r="G291" s="270"/>
      <c r="H291" s="270"/>
      <c r="I291" s="270"/>
      <c r="J291" s="270"/>
      <c r="K291" s="270"/>
      <c r="L291" s="269"/>
      <c r="M291" s="269"/>
      <c r="N291" s="269"/>
      <c r="O291" s="269"/>
      <c r="P291" s="269"/>
      <c r="Q291" s="269"/>
      <c r="R291" s="269"/>
      <c r="S291" s="269"/>
      <c r="T291" s="407"/>
    </row>
    <row r="292" spans="1:23" s="122" customFormat="1" ht="31.2" x14ac:dyDescent="0.3">
      <c r="A292" s="378" t="s">
        <v>87</v>
      </c>
      <c r="B292" s="244" t="s">
        <v>298</v>
      </c>
      <c r="C292" s="123"/>
      <c r="D292" s="155"/>
      <c r="E292" s="156"/>
      <c r="F292" s="402">
        <f t="shared" ref="F292:T292" si="174">TRUNC((0.1*F258),2)</f>
        <v>5.28</v>
      </c>
      <c r="G292" s="402">
        <f t="shared" si="174"/>
        <v>5.28</v>
      </c>
      <c r="H292" s="402">
        <f t="shared" si="174"/>
        <v>2.64</v>
      </c>
      <c r="I292" s="402">
        <f t="shared" si="174"/>
        <v>5.28</v>
      </c>
      <c r="J292" s="402">
        <f t="shared" si="174"/>
        <v>5.28</v>
      </c>
      <c r="K292" s="402">
        <f t="shared" si="174"/>
        <v>2.64</v>
      </c>
      <c r="L292" s="402">
        <f t="shared" si="174"/>
        <v>6.6</v>
      </c>
      <c r="M292" s="402">
        <f t="shared" si="174"/>
        <v>0</v>
      </c>
      <c r="N292" s="402">
        <f t="shared" si="174"/>
        <v>3.96</v>
      </c>
      <c r="O292" s="402">
        <f t="shared" si="174"/>
        <v>0</v>
      </c>
      <c r="P292" s="402">
        <f t="shared" si="174"/>
        <v>0</v>
      </c>
      <c r="Q292" s="402">
        <f t="shared" si="174"/>
        <v>5.28</v>
      </c>
      <c r="R292" s="402">
        <f t="shared" si="174"/>
        <v>5.28</v>
      </c>
      <c r="S292" s="402">
        <f t="shared" si="174"/>
        <v>10.56</v>
      </c>
      <c r="T292" s="402">
        <f t="shared" si="174"/>
        <v>5.28</v>
      </c>
    </row>
    <row r="293" spans="1:23" ht="15.6" x14ac:dyDescent="0.3">
      <c r="A293" s="379" t="s">
        <v>296</v>
      </c>
      <c r="B293" s="264" t="s">
        <v>164</v>
      </c>
      <c r="C293" s="172"/>
      <c r="D293" s="174" t="s">
        <v>120</v>
      </c>
      <c r="E293" s="175"/>
      <c r="F293" s="406">
        <f t="shared" ref="F293:L293" si="175">0.5*F292</f>
        <v>2.64</v>
      </c>
      <c r="G293" s="406">
        <f t="shared" si="175"/>
        <v>2.64</v>
      </c>
      <c r="H293" s="406">
        <f t="shared" si="175"/>
        <v>1.32</v>
      </c>
      <c r="I293" s="406">
        <f t="shared" si="175"/>
        <v>2.64</v>
      </c>
      <c r="J293" s="406">
        <f t="shared" si="175"/>
        <v>2.64</v>
      </c>
      <c r="K293" s="406">
        <f t="shared" si="175"/>
        <v>1.32</v>
      </c>
      <c r="L293" s="406">
        <f t="shared" si="175"/>
        <v>3.3</v>
      </c>
      <c r="M293" s="406">
        <f t="shared" ref="M293:P293" si="176">0.2*M292</f>
        <v>0</v>
      </c>
      <c r="N293" s="406">
        <f>0.5*N292</f>
        <v>1.98</v>
      </c>
      <c r="O293" s="406">
        <f t="shared" si="176"/>
        <v>0</v>
      </c>
      <c r="P293" s="516">
        <f t="shared" si="176"/>
        <v>0</v>
      </c>
      <c r="Q293" s="406">
        <f>0.5*Q292</f>
        <v>2.64</v>
      </c>
      <c r="R293" s="406">
        <f>0.5*R292</f>
        <v>2.64</v>
      </c>
      <c r="S293" s="406">
        <f>0.5*S292</f>
        <v>5.28</v>
      </c>
      <c r="T293" s="406">
        <f>0.5*T292</f>
        <v>2.64</v>
      </c>
    </row>
    <row r="294" spans="1:23" ht="15.6" x14ac:dyDescent="0.3">
      <c r="A294" s="379" t="s">
        <v>297</v>
      </c>
      <c r="B294" s="263" t="s">
        <v>165</v>
      </c>
      <c r="C294" s="173"/>
      <c r="D294" s="174" t="s">
        <v>120</v>
      </c>
      <c r="E294" s="175"/>
      <c r="F294" s="406">
        <f t="shared" ref="F294:L294" si="177">0.5*F292</f>
        <v>2.64</v>
      </c>
      <c r="G294" s="406">
        <f t="shared" si="177"/>
        <v>2.64</v>
      </c>
      <c r="H294" s="406">
        <f t="shared" si="177"/>
        <v>1.32</v>
      </c>
      <c r="I294" s="406">
        <f t="shared" si="177"/>
        <v>2.64</v>
      </c>
      <c r="J294" s="406">
        <f t="shared" si="177"/>
        <v>2.64</v>
      </c>
      <c r="K294" s="406">
        <f t="shared" si="177"/>
        <v>1.32</v>
      </c>
      <c r="L294" s="406">
        <f t="shared" si="177"/>
        <v>3.3</v>
      </c>
      <c r="M294" s="406">
        <f t="shared" ref="M294:P294" si="178">0.1*M292</f>
        <v>0</v>
      </c>
      <c r="N294" s="406">
        <f>0.5*N292</f>
        <v>1.98</v>
      </c>
      <c r="O294" s="406">
        <f t="shared" si="178"/>
        <v>0</v>
      </c>
      <c r="P294" s="516">
        <f t="shared" si="178"/>
        <v>0</v>
      </c>
      <c r="Q294" s="406">
        <f>0.5*Q292</f>
        <v>2.64</v>
      </c>
      <c r="R294" s="406">
        <f>0.5*R292</f>
        <v>2.64</v>
      </c>
      <c r="S294" s="406">
        <f>0.5*S292</f>
        <v>5.28</v>
      </c>
      <c r="T294" s="406">
        <f>0.5*T292</f>
        <v>2.64</v>
      </c>
    </row>
    <row r="295" spans="1:23" ht="15.6" hidden="1" x14ac:dyDescent="0.3">
      <c r="A295" s="377"/>
      <c r="B295" s="263"/>
      <c r="C295" s="173"/>
      <c r="D295" s="174"/>
      <c r="E295" s="158"/>
      <c r="F295" s="404">
        <f t="shared" ref="F295:T295" si="179">F292-SUM(F293:F294)</f>
        <v>0</v>
      </c>
      <c r="G295" s="404">
        <f t="shared" si="179"/>
        <v>0</v>
      </c>
      <c r="H295" s="404">
        <f t="shared" si="179"/>
        <v>0</v>
      </c>
      <c r="I295" s="404">
        <f t="shared" si="179"/>
        <v>0</v>
      </c>
      <c r="J295" s="404">
        <f t="shared" si="179"/>
        <v>0</v>
      </c>
      <c r="K295" s="404">
        <f t="shared" si="179"/>
        <v>0</v>
      </c>
      <c r="L295" s="404">
        <f t="shared" si="179"/>
        <v>0</v>
      </c>
      <c r="M295" s="404">
        <f t="shared" si="179"/>
        <v>0</v>
      </c>
      <c r="N295" s="404">
        <f t="shared" si="179"/>
        <v>0</v>
      </c>
      <c r="O295" s="404">
        <f t="shared" si="179"/>
        <v>0</v>
      </c>
      <c r="P295" s="404">
        <f t="shared" si="179"/>
        <v>0</v>
      </c>
      <c r="Q295" s="404">
        <f t="shared" si="179"/>
        <v>0</v>
      </c>
      <c r="R295" s="404">
        <f t="shared" si="179"/>
        <v>0</v>
      </c>
      <c r="S295" s="404">
        <f t="shared" si="179"/>
        <v>0</v>
      </c>
      <c r="T295" s="404">
        <f t="shared" si="179"/>
        <v>0</v>
      </c>
    </row>
    <row r="296" spans="1:23" ht="15.6" x14ac:dyDescent="0.3">
      <c r="A296" s="377"/>
      <c r="B296" s="263"/>
      <c r="C296" s="157"/>
      <c r="D296" s="258"/>
      <c r="E296" s="158"/>
      <c r="F296" s="270"/>
      <c r="G296" s="270"/>
      <c r="H296" s="270"/>
      <c r="I296" s="270"/>
      <c r="J296" s="270"/>
      <c r="K296" s="270"/>
      <c r="L296" s="269"/>
      <c r="M296" s="269"/>
      <c r="N296" s="269"/>
      <c r="O296" s="269"/>
      <c r="P296" s="269"/>
      <c r="Q296" s="269"/>
      <c r="R296" s="269"/>
      <c r="S296" s="269"/>
      <c r="T296" s="407"/>
    </row>
    <row r="297" spans="1:23" s="122" customFormat="1" ht="31.2" x14ac:dyDescent="0.3">
      <c r="A297" s="385" t="s">
        <v>88</v>
      </c>
      <c r="B297" s="244" t="s">
        <v>504</v>
      </c>
      <c r="C297" s="124"/>
      <c r="D297" s="155"/>
      <c r="E297" s="125"/>
      <c r="F297" s="402">
        <f t="shared" ref="F297:L297" si="180">TRUNC((0.15*F258),2)</f>
        <v>7.92</v>
      </c>
      <c r="G297" s="402">
        <f t="shared" si="180"/>
        <v>7.92</v>
      </c>
      <c r="H297" s="402">
        <f t="shared" si="180"/>
        <v>3.96</v>
      </c>
      <c r="I297" s="402">
        <f t="shared" si="180"/>
        <v>7.92</v>
      </c>
      <c r="J297" s="402">
        <f t="shared" si="180"/>
        <v>7.92</v>
      </c>
      <c r="K297" s="402">
        <f t="shared" si="180"/>
        <v>3.96</v>
      </c>
      <c r="L297" s="402">
        <f t="shared" si="180"/>
        <v>9.9</v>
      </c>
      <c r="M297" s="402">
        <f t="shared" ref="M297:P297" si="181">TRUNC((0.1*M258),2)</f>
        <v>0</v>
      </c>
      <c r="N297" s="402">
        <f>TRUNC((0.15*N258),2)</f>
        <v>5.94</v>
      </c>
      <c r="O297" s="402">
        <f t="shared" si="181"/>
        <v>0</v>
      </c>
      <c r="P297" s="402">
        <f t="shared" si="181"/>
        <v>0</v>
      </c>
      <c r="Q297" s="402">
        <f>TRUNC((0.15*Q258),2)</f>
        <v>7.92</v>
      </c>
      <c r="R297" s="402">
        <f>TRUNC((0.15*R258),2)</f>
        <v>7.92</v>
      </c>
      <c r="S297" s="402">
        <f>TRUNC((0.15*S258),2)</f>
        <v>15.84</v>
      </c>
      <c r="T297" s="402">
        <f>TRUNC((0.15*T258),2)</f>
        <v>7.92</v>
      </c>
    </row>
    <row r="298" spans="1:23" ht="15.6" x14ac:dyDescent="0.3">
      <c r="A298" s="383" t="s">
        <v>299</v>
      </c>
      <c r="B298" s="263" t="s">
        <v>161</v>
      </c>
      <c r="C298" s="177"/>
      <c r="D298" s="174" t="s">
        <v>120</v>
      </c>
      <c r="E298" s="178"/>
      <c r="F298" s="403">
        <f t="shared" ref="F298:L298" si="182">1*F297</f>
        <v>7.92</v>
      </c>
      <c r="G298" s="403">
        <f t="shared" si="182"/>
        <v>7.92</v>
      </c>
      <c r="H298" s="403">
        <f t="shared" si="182"/>
        <v>3.96</v>
      </c>
      <c r="I298" s="403">
        <f t="shared" si="182"/>
        <v>7.92</v>
      </c>
      <c r="J298" s="403">
        <f t="shared" si="182"/>
        <v>7.92</v>
      </c>
      <c r="K298" s="403">
        <f t="shared" si="182"/>
        <v>3.96</v>
      </c>
      <c r="L298" s="403">
        <f t="shared" si="182"/>
        <v>9.9</v>
      </c>
      <c r="M298" s="403">
        <f t="shared" ref="M298:P298" si="183">0.5*M297</f>
        <v>0</v>
      </c>
      <c r="N298" s="403">
        <f>1*N297</f>
        <v>5.94</v>
      </c>
      <c r="O298" s="403">
        <f t="shared" si="183"/>
        <v>0</v>
      </c>
      <c r="P298" s="403">
        <f t="shared" si="183"/>
        <v>0</v>
      </c>
      <c r="Q298" s="403">
        <f>1*Q297</f>
        <v>7.92</v>
      </c>
      <c r="R298" s="403">
        <f>1*R297</f>
        <v>7.92</v>
      </c>
      <c r="S298" s="403">
        <f>1*S297</f>
        <v>15.84</v>
      </c>
      <c r="T298" s="403">
        <f>1*T297</f>
        <v>7.92</v>
      </c>
    </row>
    <row r="299" spans="1:23" ht="15.6" hidden="1" x14ac:dyDescent="0.3">
      <c r="A299" s="384"/>
      <c r="B299" s="263"/>
      <c r="C299" s="153"/>
      <c r="D299" s="258"/>
      <c r="E299" s="154"/>
      <c r="F299" s="404">
        <f t="shared" ref="F299:T299" si="184">F297-SUM(F298:F298)</f>
        <v>0</v>
      </c>
      <c r="G299" s="404">
        <f t="shared" si="184"/>
        <v>0</v>
      </c>
      <c r="H299" s="404">
        <f t="shared" si="184"/>
        <v>0</v>
      </c>
      <c r="I299" s="404">
        <f t="shared" si="184"/>
        <v>0</v>
      </c>
      <c r="J299" s="404">
        <f t="shared" si="184"/>
        <v>0</v>
      </c>
      <c r="K299" s="404">
        <f t="shared" si="184"/>
        <v>0</v>
      </c>
      <c r="L299" s="404">
        <f t="shared" si="184"/>
        <v>0</v>
      </c>
      <c r="M299" s="404">
        <f t="shared" si="184"/>
        <v>0</v>
      </c>
      <c r="N299" s="404">
        <f t="shared" si="184"/>
        <v>0</v>
      </c>
      <c r="O299" s="404">
        <f t="shared" si="184"/>
        <v>0</v>
      </c>
      <c r="P299" s="404">
        <f t="shared" si="184"/>
        <v>0</v>
      </c>
      <c r="Q299" s="404">
        <f t="shared" si="184"/>
        <v>0</v>
      </c>
      <c r="R299" s="404">
        <f t="shared" si="184"/>
        <v>0</v>
      </c>
      <c r="S299" s="404">
        <f t="shared" si="184"/>
        <v>0</v>
      </c>
      <c r="T299" s="404">
        <f t="shared" si="184"/>
        <v>0</v>
      </c>
    </row>
    <row r="300" spans="1:23" ht="15.6" x14ac:dyDescent="0.3">
      <c r="A300" s="377"/>
      <c r="B300" s="263"/>
      <c r="C300" s="157"/>
      <c r="D300" s="258"/>
      <c r="E300" s="158"/>
      <c r="F300" s="407"/>
      <c r="G300" s="407"/>
      <c r="H300" s="407"/>
      <c r="I300" s="407"/>
      <c r="J300" s="407"/>
      <c r="K300" s="407"/>
      <c r="L300" s="407"/>
      <c r="M300" s="407"/>
      <c r="N300" s="407"/>
      <c r="O300" s="407"/>
      <c r="P300" s="407"/>
      <c r="Q300" s="407"/>
      <c r="R300" s="407"/>
      <c r="S300" s="407"/>
      <c r="T300" s="407"/>
    </row>
    <row r="301" spans="1:23" s="513" customFormat="1" ht="16.5" customHeight="1" x14ac:dyDescent="0.3">
      <c r="A301" s="507"/>
      <c r="B301" s="508" t="s">
        <v>300</v>
      </c>
      <c r="C301" s="509"/>
      <c r="D301" s="510" t="s">
        <v>167</v>
      </c>
      <c r="E301" s="515">
        <f>C258</f>
        <v>0.06</v>
      </c>
      <c r="F301" s="512">
        <f t="shared" ref="F301:T301" si="185">TRUNC((F$12*$E$301),2)</f>
        <v>52.8</v>
      </c>
      <c r="G301" s="512">
        <f t="shared" si="185"/>
        <v>52.8</v>
      </c>
      <c r="H301" s="512">
        <f t="shared" si="185"/>
        <v>26.4</v>
      </c>
      <c r="I301" s="512">
        <f t="shared" si="185"/>
        <v>52.8</v>
      </c>
      <c r="J301" s="512">
        <f t="shared" si="185"/>
        <v>52.8</v>
      </c>
      <c r="K301" s="512">
        <f t="shared" si="185"/>
        <v>26.4</v>
      </c>
      <c r="L301" s="512">
        <f t="shared" si="185"/>
        <v>66</v>
      </c>
      <c r="M301" s="512">
        <f t="shared" si="185"/>
        <v>0</v>
      </c>
      <c r="N301" s="512">
        <f t="shared" si="185"/>
        <v>39.6</v>
      </c>
      <c r="O301" s="512">
        <f t="shared" si="185"/>
        <v>0</v>
      </c>
      <c r="P301" s="512">
        <f t="shared" si="185"/>
        <v>0</v>
      </c>
      <c r="Q301" s="512">
        <f t="shared" si="185"/>
        <v>52.8</v>
      </c>
      <c r="R301" s="512">
        <f t="shared" si="185"/>
        <v>52.8</v>
      </c>
      <c r="S301" s="512">
        <f t="shared" si="185"/>
        <v>105.6</v>
      </c>
      <c r="T301" s="512">
        <f t="shared" si="185"/>
        <v>52.8</v>
      </c>
      <c r="V301" s="514"/>
      <c r="W301" s="514"/>
    </row>
    <row r="302" spans="1:23" ht="16.5" customHeight="1" x14ac:dyDescent="0.3">
      <c r="A302" s="377"/>
      <c r="B302" s="263"/>
      <c r="C302" s="157"/>
      <c r="D302" s="258"/>
      <c r="E302" s="158"/>
      <c r="F302" s="407"/>
      <c r="G302" s="407"/>
      <c r="H302" s="407"/>
      <c r="I302" s="407"/>
      <c r="J302" s="407"/>
      <c r="K302" s="407"/>
      <c r="L302" s="407"/>
      <c r="M302" s="407"/>
      <c r="N302" s="407"/>
      <c r="O302" s="407"/>
      <c r="P302" s="407"/>
      <c r="Q302" s="407"/>
      <c r="R302" s="407"/>
      <c r="S302" s="407"/>
      <c r="T302" s="407"/>
      <c r="V302" s="121"/>
      <c r="W302" s="121"/>
    </row>
    <row r="303" spans="1:23" s="128" customFormat="1" ht="16.5" hidden="1" customHeight="1" x14ac:dyDescent="0.3">
      <c r="A303" s="389"/>
      <c r="B303" s="240"/>
      <c r="C303" s="140"/>
      <c r="D303" s="126" t="s">
        <v>167</v>
      </c>
      <c r="E303" s="127"/>
      <c r="F303" s="411">
        <f t="shared" ref="F303:T303" si="186">F260+F270+F284+F288+F292+F297</f>
        <v>52.800000000000004</v>
      </c>
      <c r="G303" s="411">
        <f t="shared" si="186"/>
        <v>52.800000000000004</v>
      </c>
      <c r="H303" s="411">
        <f t="shared" si="186"/>
        <v>26.400000000000002</v>
      </c>
      <c r="I303" s="411">
        <f t="shared" si="186"/>
        <v>52.800000000000004</v>
      </c>
      <c r="J303" s="411">
        <f t="shared" si="186"/>
        <v>52.800000000000004</v>
      </c>
      <c r="K303" s="411">
        <f t="shared" si="186"/>
        <v>26.400000000000002</v>
      </c>
      <c r="L303" s="411">
        <f t="shared" si="186"/>
        <v>66</v>
      </c>
      <c r="M303" s="411">
        <f t="shared" si="186"/>
        <v>0</v>
      </c>
      <c r="N303" s="411">
        <f t="shared" si="186"/>
        <v>39.6</v>
      </c>
      <c r="O303" s="411">
        <f t="shared" si="186"/>
        <v>0</v>
      </c>
      <c r="P303" s="411">
        <f t="shared" si="186"/>
        <v>0</v>
      </c>
      <c r="Q303" s="411">
        <f t="shared" si="186"/>
        <v>52.800000000000004</v>
      </c>
      <c r="R303" s="411">
        <f t="shared" si="186"/>
        <v>52.800000000000004</v>
      </c>
      <c r="S303" s="411">
        <f t="shared" si="186"/>
        <v>105.60000000000001</v>
      </c>
      <c r="T303" s="411">
        <f t="shared" si="186"/>
        <v>52.800000000000004</v>
      </c>
      <c r="V303" s="129"/>
      <c r="W303" s="129"/>
    </row>
    <row r="304" spans="1:23" ht="16.5" hidden="1" customHeight="1" x14ac:dyDescent="0.3">
      <c r="A304" s="377"/>
      <c r="B304" s="263"/>
      <c r="C304" s="157"/>
      <c r="D304" s="258"/>
      <c r="E304" s="158"/>
      <c r="F304" s="407"/>
      <c r="G304" s="407"/>
      <c r="H304" s="407"/>
      <c r="I304" s="407"/>
      <c r="J304" s="407"/>
      <c r="K304" s="407"/>
      <c r="L304" s="407"/>
      <c r="M304" s="407"/>
      <c r="N304" s="407"/>
      <c r="O304" s="407"/>
      <c r="P304" s="407"/>
      <c r="Q304" s="407"/>
      <c r="R304" s="407"/>
      <c r="S304" s="407"/>
      <c r="T304" s="407"/>
      <c r="V304" s="121"/>
      <c r="W304" s="121"/>
    </row>
    <row r="305" spans="1:23" s="132" customFormat="1" ht="16.5" hidden="1" customHeight="1" x14ac:dyDescent="0.3">
      <c r="A305" s="390"/>
      <c r="B305" s="239"/>
      <c r="C305" s="130"/>
      <c r="D305" s="131"/>
      <c r="E305" s="143" t="s">
        <v>168</v>
      </c>
      <c r="F305" s="412">
        <f>F301-F303</f>
        <v>0</v>
      </c>
      <c r="G305" s="412">
        <f t="shared" ref="G305:J305" si="187">G301-G303</f>
        <v>0</v>
      </c>
      <c r="H305" s="412">
        <f t="shared" si="187"/>
        <v>0</v>
      </c>
      <c r="I305" s="412">
        <f t="shared" si="187"/>
        <v>0</v>
      </c>
      <c r="J305" s="412">
        <f t="shared" si="187"/>
        <v>0</v>
      </c>
      <c r="K305" s="412">
        <f>K301-K303</f>
        <v>0</v>
      </c>
      <c r="L305" s="412">
        <f t="shared" ref="L305" si="188">L301-L303</f>
        <v>0</v>
      </c>
      <c r="M305" s="412">
        <f>M301-M303</f>
        <v>0</v>
      </c>
      <c r="N305" s="412">
        <f t="shared" ref="N305:T305" si="189">N301-N303</f>
        <v>0</v>
      </c>
      <c r="O305" s="412">
        <f t="shared" si="189"/>
        <v>0</v>
      </c>
      <c r="P305" s="412">
        <f t="shared" si="189"/>
        <v>0</v>
      </c>
      <c r="Q305" s="412">
        <f t="shared" si="189"/>
        <v>0</v>
      </c>
      <c r="R305" s="412">
        <f t="shared" si="189"/>
        <v>0</v>
      </c>
      <c r="S305" s="412">
        <f t="shared" si="189"/>
        <v>0</v>
      </c>
      <c r="T305" s="412">
        <f t="shared" si="189"/>
        <v>0</v>
      </c>
      <c r="V305" s="133"/>
      <c r="W305" s="133"/>
    </row>
    <row r="306" spans="1:23" ht="15.6" hidden="1" x14ac:dyDescent="0.3">
      <c r="A306" s="377"/>
      <c r="B306" s="263"/>
      <c r="C306" s="157"/>
      <c r="D306" s="258"/>
      <c r="E306" s="158"/>
      <c r="F306" s="483"/>
      <c r="G306" s="483"/>
      <c r="H306" s="483"/>
      <c r="I306" s="483"/>
      <c r="J306" s="483"/>
      <c r="K306" s="483"/>
      <c r="L306" s="483"/>
      <c r="M306" s="483"/>
      <c r="N306" s="483"/>
      <c r="O306" s="483"/>
      <c r="P306" s="483"/>
      <c r="Q306" s="483"/>
      <c r="R306" s="483"/>
      <c r="S306" s="483"/>
      <c r="T306" s="407"/>
    </row>
    <row r="307" spans="1:23" ht="16.5" customHeight="1" x14ac:dyDescent="0.3">
      <c r="A307" s="377"/>
      <c r="B307" s="263"/>
      <c r="C307" s="157"/>
      <c r="D307" s="258"/>
      <c r="E307" s="158"/>
      <c r="F307" s="407"/>
      <c r="G307" s="407"/>
      <c r="H307" s="407"/>
      <c r="I307" s="407"/>
      <c r="J307" s="407"/>
      <c r="K307" s="407"/>
      <c r="L307" s="407"/>
      <c r="M307" s="407"/>
      <c r="N307" s="407"/>
      <c r="O307" s="407"/>
      <c r="P307" s="407"/>
      <c r="Q307" s="407"/>
      <c r="R307" s="407"/>
      <c r="S307" s="407"/>
      <c r="T307" s="407"/>
      <c r="V307" s="121"/>
      <c r="W307" s="121"/>
    </row>
    <row r="308" spans="1:23" s="110" customFormat="1" ht="16.5" customHeight="1" x14ac:dyDescent="0.3">
      <c r="A308" s="391"/>
      <c r="B308" s="238" t="s">
        <v>301</v>
      </c>
      <c r="C308" s="134">
        <f>SUM(C13:C306)</f>
        <v>1</v>
      </c>
      <c r="D308" s="164"/>
      <c r="E308" s="165"/>
      <c r="F308" s="420">
        <f t="shared" ref="F308:T308" si="190">F56+F105+F154+F203+F252+F301</f>
        <v>879.99999999999989</v>
      </c>
      <c r="G308" s="420">
        <f t="shared" si="190"/>
        <v>879.99999999999989</v>
      </c>
      <c r="H308" s="420">
        <f t="shared" si="190"/>
        <v>439.99999999999994</v>
      </c>
      <c r="I308" s="420">
        <f t="shared" si="190"/>
        <v>879.99999999999989</v>
      </c>
      <c r="J308" s="420">
        <f t="shared" si="190"/>
        <v>879.99999999999989</v>
      </c>
      <c r="K308" s="420">
        <f t="shared" si="190"/>
        <v>439.99999999999994</v>
      </c>
      <c r="L308" s="420">
        <f t="shared" si="190"/>
        <v>1100</v>
      </c>
      <c r="M308" s="420">
        <f t="shared" si="190"/>
        <v>0</v>
      </c>
      <c r="N308" s="420">
        <f t="shared" si="190"/>
        <v>660</v>
      </c>
      <c r="O308" s="420">
        <f t="shared" si="190"/>
        <v>0</v>
      </c>
      <c r="P308" s="420">
        <f t="shared" si="190"/>
        <v>0</v>
      </c>
      <c r="Q308" s="420">
        <f t="shared" si="190"/>
        <v>879.99999999999989</v>
      </c>
      <c r="R308" s="420">
        <f t="shared" si="190"/>
        <v>879.99999999999989</v>
      </c>
      <c r="S308" s="420">
        <f t="shared" si="190"/>
        <v>1759.9999999999998</v>
      </c>
      <c r="T308" s="420">
        <f t="shared" si="190"/>
        <v>879.99999999999989</v>
      </c>
      <c r="V308" s="148"/>
      <c r="W308" s="148"/>
    </row>
    <row r="309" spans="1:23" ht="16.5" customHeight="1" x14ac:dyDescent="0.3">
      <c r="A309" s="377"/>
      <c r="B309" s="263"/>
      <c r="C309" s="157"/>
      <c r="D309" s="258"/>
      <c r="E309" s="158"/>
      <c r="F309" s="421"/>
      <c r="G309" s="421"/>
      <c r="H309" s="421"/>
      <c r="I309" s="421"/>
      <c r="J309" s="421"/>
      <c r="K309" s="421"/>
      <c r="L309" s="421"/>
      <c r="M309" s="421"/>
      <c r="N309" s="421"/>
      <c r="O309" s="421"/>
      <c r="P309" s="421"/>
      <c r="Q309" s="421"/>
      <c r="R309" s="421"/>
      <c r="S309" s="421"/>
      <c r="T309" s="421"/>
      <c r="V309" s="121"/>
      <c r="W309" s="121"/>
    </row>
    <row r="310" spans="1:23" hidden="1" x14ac:dyDescent="0.3">
      <c r="A310" s="455"/>
      <c r="B310" s="355"/>
      <c r="C310" s="355"/>
      <c r="D310" s="355"/>
      <c r="E310" s="355" t="s">
        <v>168</v>
      </c>
      <c r="F310" s="355">
        <f t="shared" ref="F310:T310" si="191">F308-F12</f>
        <v>0</v>
      </c>
      <c r="G310" s="355">
        <f t="shared" si="191"/>
        <v>0</v>
      </c>
      <c r="H310" s="355">
        <f t="shared" si="191"/>
        <v>0</v>
      </c>
      <c r="I310" s="355">
        <f t="shared" si="191"/>
        <v>0</v>
      </c>
      <c r="J310" s="355">
        <f t="shared" si="191"/>
        <v>0</v>
      </c>
      <c r="K310" s="355">
        <f t="shared" si="191"/>
        <v>0</v>
      </c>
      <c r="L310" s="355">
        <f t="shared" si="191"/>
        <v>0</v>
      </c>
      <c r="M310" s="355">
        <f t="shared" si="191"/>
        <v>0</v>
      </c>
      <c r="N310" s="355">
        <f t="shared" si="191"/>
        <v>0</v>
      </c>
      <c r="O310" s="355">
        <f t="shared" si="191"/>
        <v>0</v>
      </c>
      <c r="P310" s="355">
        <f t="shared" si="191"/>
        <v>0</v>
      </c>
      <c r="Q310" s="355">
        <f t="shared" si="191"/>
        <v>0</v>
      </c>
      <c r="R310" s="355">
        <f t="shared" si="191"/>
        <v>0</v>
      </c>
      <c r="S310" s="355">
        <f t="shared" si="191"/>
        <v>0</v>
      </c>
      <c r="T310" s="355">
        <f t="shared" si="191"/>
        <v>0</v>
      </c>
    </row>
    <row r="311" spans="1:23" x14ac:dyDescent="0.3">
      <c r="A311" s="461"/>
      <c r="B311" s="355"/>
      <c r="C311" s="355"/>
      <c r="D311" s="355"/>
      <c r="E311" s="355"/>
      <c r="F311" s="355"/>
      <c r="G311" s="355"/>
      <c r="H311" s="355"/>
      <c r="I311" s="355"/>
      <c r="J311" s="355"/>
      <c r="K311" s="355"/>
      <c r="L311" s="355"/>
      <c r="M311" s="355"/>
      <c r="N311" s="355"/>
      <c r="O311" s="355"/>
      <c r="P311" s="355"/>
      <c r="Q311" s="355"/>
      <c r="R311" s="355"/>
      <c r="S311" s="355"/>
      <c r="T311" s="355"/>
    </row>
    <row r="312" spans="1:23" x14ac:dyDescent="0.3">
      <c r="A312" s="712" t="s">
        <v>302</v>
      </c>
      <c r="B312" s="713"/>
      <c r="C312" s="713"/>
      <c r="D312" s="713"/>
      <c r="E312" s="713"/>
      <c r="F312" s="714"/>
      <c r="G312" s="228"/>
      <c r="H312" s="486" t="s">
        <v>303</v>
      </c>
      <c r="J312" s="366"/>
      <c r="K312" s="356"/>
      <c r="L312" s="228"/>
      <c r="M312" s="228"/>
      <c r="N312" s="228"/>
      <c r="O312" s="228"/>
      <c r="P312" s="228"/>
      <c r="Q312" s="228"/>
      <c r="R312" s="228"/>
      <c r="S312" s="228"/>
      <c r="T312" s="228"/>
    </row>
    <row r="313" spans="1:23" ht="43.2" x14ac:dyDescent="0.3">
      <c r="A313" s="576" t="s">
        <v>505</v>
      </c>
      <c r="B313" s="456" t="s">
        <v>304</v>
      </c>
      <c r="C313" s="457" t="s">
        <v>305</v>
      </c>
      <c r="D313" s="458" t="s">
        <v>306</v>
      </c>
      <c r="E313" s="459" t="s">
        <v>307</v>
      </c>
      <c r="F313" s="460" t="s">
        <v>308</v>
      </c>
      <c r="G313" s="323"/>
      <c r="H313" s="499" t="s">
        <v>309</v>
      </c>
      <c r="I313" s="500" t="s">
        <v>310</v>
      </c>
      <c r="J313" s="501" t="s">
        <v>311</v>
      </c>
      <c r="K313" s="502" t="s">
        <v>312</v>
      </c>
      <c r="L313" s="259"/>
      <c r="M313" s="259"/>
      <c r="N313" s="259"/>
      <c r="O313" s="259"/>
      <c r="P313" s="259"/>
      <c r="Q313" s="228"/>
      <c r="R313" s="228"/>
      <c r="S313" s="228"/>
      <c r="T313" s="228"/>
    </row>
    <row r="314" spans="1:23" x14ac:dyDescent="0.3">
      <c r="A314" s="392">
        <v>101403</v>
      </c>
      <c r="B314" s="348" t="s">
        <v>313</v>
      </c>
      <c r="C314" s="212" t="s">
        <v>314</v>
      </c>
      <c r="D314" s="341">
        <v>28484.21</v>
      </c>
      <c r="E314" s="338">
        <f>D314/$C$339</f>
        <v>16443.000634993939</v>
      </c>
      <c r="F314" s="345">
        <f>E314/220</f>
        <v>74.740911977245176</v>
      </c>
      <c r="G314" s="363"/>
      <c r="H314" s="493">
        <v>440</v>
      </c>
      <c r="I314" s="551">
        <f>$Q$316*0.25</f>
        <v>1.8333333333333333</v>
      </c>
      <c r="J314" s="495">
        <f>H314/I$314</f>
        <v>240</v>
      </c>
      <c r="K314" s="491">
        <f t="shared" ref="K314:K336" si="192">J314/30</f>
        <v>8</v>
      </c>
      <c r="L314" s="490">
        <f>Q318*0.25*8</f>
        <v>440</v>
      </c>
      <c r="M314" s="323"/>
      <c r="N314" s="323"/>
      <c r="O314" s="323"/>
      <c r="P314" s="323"/>
      <c r="Q314" s="541">
        <v>44</v>
      </c>
      <c r="R314" s="542" t="s">
        <v>315</v>
      </c>
      <c r="S314" s="228"/>
      <c r="T314" s="228"/>
    </row>
    <row r="315" spans="1:23" x14ac:dyDescent="0.3">
      <c r="A315" s="393">
        <v>100320</v>
      </c>
      <c r="B315" s="349" t="s">
        <v>316</v>
      </c>
      <c r="C315" s="33" t="s">
        <v>314</v>
      </c>
      <c r="D315" s="342">
        <v>20863.52</v>
      </c>
      <c r="E315" s="339">
        <f t="shared" ref="E315:E326" si="193">D315/$C$339</f>
        <v>12043.826127114242</v>
      </c>
      <c r="F315" s="346">
        <f>E315/220</f>
        <v>54.744664214155648</v>
      </c>
      <c r="G315" s="364"/>
      <c r="H315" s="493">
        <v>880</v>
      </c>
      <c r="I315" s="551">
        <f>$Q$316*0.5</f>
        <v>3.6666666666666665</v>
      </c>
      <c r="J315" s="495">
        <f>H315/I315</f>
        <v>240</v>
      </c>
      <c r="K315" s="491">
        <f t="shared" si="192"/>
        <v>8</v>
      </c>
      <c r="L315" s="490"/>
      <c r="M315" s="323"/>
      <c r="N315" s="323"/>
      <c r="O315" s="323"/>
      <c r="P315" s="323"/>
      <c r="Q315" s="543">
        <v>6</v>
      </c>
      <c r="R315" s="544" t="s">
        <v>317</v>
      </c>
      <c r="S315" s="228"/>
      <c r="T315" s="228"/>
    </row>
    <row r="316" spans="1:23" x14ac:dyDescent="0.3">
      <c r="A316" s="393">
        <v>100319</v>
      </c>
      <c r="B316" s="349" t="s">
        <v>318</v>
      </c>
      <c r="C316" s="33" t="s">
        <v>314</v>
      </c>
      <c r="D316" s="342">
        <v>18525.689999999999</v>
      </c>
      <c r="E316" s="339">
        <f t="shared" si="193"/>
        <v>10694.273509207411</v>
      </c>
      <c r="F316" s="346">
        <f t="shared" ref="F316:F328" si="194">E316/220</f>
        <v>48.610334132760961</v>
      </c>
      <c r="G316" s="363"/>
      <c r="H316" s="493">
        <v>880</v>
      </c>
      <c r="I316" s="551">
        <f>$Q$316*0.5</f>
        <v>3.6666666666666665</v>
      </c>
      <c r="J316" s="495">
        <f>H316/I316</f>
        <v>240</v>
      </c>
      <c r="K316" s="491">
        <f t="shared" si="192"/>
        <v>8</v>
      </c>
      <c r="L316" s="490">
        <f>Q318*0.5*8</f>
        <v>880</v>
      </c>
      <c r="M316" s="323"/>
      <c r="N316" s="323"/>
      <c r="O316" s="323"/>
      <c r="P316" s="323"/>
      <c r="Q316" s="549">
        <f>Q314/Q315</f>
        <v>7.333333333333333</v>
      </c>
      <c r="R316" s="545" t="s">
        <v>319</v>
      </c>
      <c r="S316" s="228"/>
      <c r="T316" s="228"/>
    </row>
    <row r="317" spans="1:23" x14ac:dyDescent="0.3">
      <c r="A317" s="393">
        <v>93571</v>
      </c>
      <c r="B317" s="349" t="s">
        <v>320</v>
      </c>
      <c r="C317" s="33" t="s">
        <v>314</v>
      </c>
      <c r="D317" s="343">
        <v>25119.91</v>
      </c>
      <c r="E317" s="339">
        <f t="shared" si="193"/>
        <v>14500.900536858511</v>
      </c>
      <c r="F317" s="346">
        <f t="shared" si="194"/>
        <v>65.913184258447785</v>
      </c>
      <c r="G317" s="363"/>
      <c r="H317" s="493">
        <v>440</v>
      </c>
      <c r="I317" s="551">
        <f t="shared" ref="I317" si="195">$Q$316*0.25</f>
        <v>1.8333333333333333</v>
      </c>
      <c r="J317" s="495">
        <f>H317/I317</f>
        <v>240</v>
      </c>
      <c r="K317" s="491">
        <f t="shared" si="192"/>
        <v>8</v>
      </c>
      <c r="L317" s="490"/>
      <c r="M317" s="323"/>
      <c r="N317" s="323"/>
      <c r="O317" s="323"/>
      <c r="P317" s="323"/>
      <c r="Q317" s="546">
        <v>30</v>
      </c>
      <c r="R317" s="547" t="s">
        <v>321</v>
      </c>
      <c r="S317" s="228"/>
      <c r="T317" s="228"/>
    </row>
    <row r="318" spans="1:23" x14ac:dyDescent="0.3">
      <c r="A318" s="393">
        <v>93569</v>
      </c>
      <c r="B318" s="349" t="s">
        <v>322</v>
      </c>
      <c r="C318" s="33" t="s">
        <v>314</v>
      </c>
      <c r="D318" s="343">
        <v>13511.85</v>
      </c>
      <c r="E318" s="339">
        <f t="shared" si="193"/>
        <v>7799.9480459504712</v>
      </c>
      <c r="F318" s="346">
        <f t="shared" si="194"/>
        <v>35.45430929977487</v>
      </c>
      <c r="G318" s="363"/>
      <c r="H318" s="493">
        <v>880</v>
      </c>
      <c r="I318" s="551">
        <f>$Q$316*0.5</f>
        <v>3.6666666666666665</v>
      </c>
      <c r="J318" s="495">
        <f t="shared" ref="J318:J334" si="196">H318/I318</f>
        <v>240</v>
      </c>
      <c r="K318" s="491">
        <f t="shared" si="192"/>
        <v>8</v>
      </c>
      <c r="L318" s="490"/>
      <c r="M318" s="323"/>
      <c r="N318" s="323"/>
      <c r="O318" s="323"/>
      <c r="P318" s="323"/>
      <c r="Q318" s="550">
        <f>Q316*Q317</f>
        <v>220</v>
      </c>
      <c r="R318" s="548" t="s">
        <v>323</v>
      </c>
      <c r="S318" s="228"/>
      <c r="T318" s="228"/>
    </row>
    <row r="319" spans="1:23" x14ac:dyDescent="0.3">
      <c r="A319" s="393">
        <v>93570</v>
      </c>
      <c r="B319" s="349" t="s">
        <v>324</v>
      </c>
      <c r="C319" s="33" t="s">
        <v>314</v>
      </c>
      <c r="D319" s="343">
        <v>19070.71</v>
      </c>
      <c r="E319" s="339">
        <f t="shared" si="193"/>
        <v>11008.895687813889</v>
      </c>
      <c r="F319" s="346">
        <f t="shared" si="194"/>
        <v>50.040434944608585</v>
      </c>
      <c r="G319" s="363"/>
      <c r="H319" s="493">
        <v>880</v>
      </c>
      <c r="I319" s="551">
        <f>$Q$316*0.5</f>
        <v>3.6666666666666665</v>
      </c>
      <c r="J319" s="495">
        <f t="shared" si="196"/>
        <v>240</v>
      </c>
      <c r="K319" s="491">
        <f t="shared" si="192"/>
        <v>8</v>
      </c>
      <c r="L319" s="490"/>
      <c r="M319" s="229"/>
      <c r="N319" s="228"/>
      <c r="O319" s="228"/>
      <c r="P319" s="228"/>
      <c r="Q319" s="228"/>
      <c r="R319" s="228"/>
      <c r="S319" s="228"/>
      <c r="T319" s="228"/>
    </row>
    <row r="320" spans="1:23" hidden="1" x14ac:dyDescent="0.3">
      <c r="A320" s="394">
        <v>101405</v>
      </c>
      <c r="B320" s="349" t="s">
        <v>325</v>
      </c>
      <c r="C320" s="33" t="s">
        <v>314</v>
      </c>
      <c r="D320" s="343">
        <v>14314.8</v>
      </c>
      <c r="E320" s="339">
        <f t="shared" si="193"/>
        <v>8263.464757836402</v>
      </c>
      <c r="F320" s="346">
        <f t="shared" si="194"/>
        <v>37.56120344471092</v>
      </c>
      <c r="G320" s="363"/>
      <c r="H320" s="534">
        <v>0</v>
      </c>
      <c r="I320" s="551">
        <f>$Q$316*0</f>
        <v>0</v>
      </c>
      <c r="J320" s="495" t="e">
        <f t="shared" si="196"/>
        <v>#DIV/0!</v>
      </c>
      <c r="K320" s="491" t="e">
        <f t="shared" si="192"/>
        <v>#DIV/0!</v>
      </c>
      <c r="L320" s="490"/>
      <c r="M320" s="229"/>
      <c r="N320" s="228"/>
      <c r="O320" s="228"/>
      <c r="P320" s="228"/>
      <c r="Q320" s="228"/>
      <c r="R320" s="228"/>
      <c r="S320" s="228"/>
      <c r="T320" s="228"/>
    </row>
    <row r="321" spans="1:20" hidden="1" x14ac:dyDescent="0.3">
      <c r="A321" s="393">
        <f>A315</f>
        <v>100320</v>
      </c>
      <c r="B321" s="349" t="s">
        <v>326</v>
      </c>
      <c r="C321" s="33" t="s">
        <v>314</v>
      </c>
      <c r="D321" s="343">
        <f>D315</f>
        <v>20863.52</v>
      </c>
      <c r="E321" s="339">
        <f t="shared" si="193"/>
        <v>12043.826127114242</v>
      </c>
      <c r="F321" s="346">
        <f t="shared" si="194"/>
        <v>54.744664214155648</v>
      </c>
      <c r="G321" s="363"/>
      <c r="H321" s="534">
        <v>0</v>
      </c>
      <c r="I321" s="551">
        <f>$Q$316*0</f>
        <v>0</v>
      </c>
      <c r="J321" s="495" t="e">
        <f t="shared" si="196"/>
        <v>#DIV/0!</v>
      </c>
      <c r="K321" s="491" t="e">
        <f t="shared" si="192"/>
        <v>#DIV/0!</v>
      </c>
      <c r="L321" s="490"/>
      <c r="M321" s="365"/>
      <c r="N321" s="356"/>
      <c r="P321" s="228"/>
      <c r="Q321" s="228"/>
      <c r="R321" s="228"/>
      <c r="S321" s="228"/>
      <c r="T321" s="228"/>
    </row>
    <row r="322" spans="1:20" x14ac:dyDescent="0.3">
      <c r="A322" s="393">
        <f>A316</f>
        <v>100319</v>
      </c>
      <c r="B322" s="349" t="s">
        <v>327</v>
      </c>
      <c r="C322" s="33" t="s">
        <v>314</v>
      </c>
      <c r="D322" s="343">
        <f>D316</f>
        <v>18525.689999999999</v>
      </c>
      <c r="E322" s="339">
        <f t="shared" si="193"/>
        <v>10694.273509207411</v>
      </c>
      <c r="F322" s="346">
        <f t="shared" si="194"/>
        <v>48.610334132760961</v>
      </c>
      <c r="G322" s="363"/>
      <c r="H322" s="493">
        <v>660</v>
      </c>
      <c r="I322" s="551">
        <f>$Q$316*1</f>
        <v>7.333333333333333</v>
      </c>
      <c r="J322" s="495">
        <f t="shared" si="196"/>
        <v>90</v>
      </c>
      <c r="K322" s="491">
        <f t="shared" si="192"/>
        <v>3</v>
      </c>
      <c r="L322" s="490">
        <f>Q318*1*3</f>
        <v>660</v>
      </c>
      <c r="M322" s="369"/>
      <c r="N322" s="357"/>
      <c r="O322" s="449"/>
      <c r="P322" s="228"/>
      <c r="Q322" s="228"/>
      <c r="R322" s="228"/>
      <c r="S322" s="228"/>
      <c r="T322" s="228"/>
    </row>
    <row r="323" spans="1:20" hidden="1" x14ac:dyDescent="0.3">
      <c r="A323" s="393">
        <f>A315</f>
        <v>100320</v>
      </c>
      <c r="B323" s="349" t="s">
        <v>328</v>
      </c>
      <c r="C323" s="33" t="s">
        <v>314</v>
      </c>
      <c r="D323" s="343">
        <f>D315</f>
        <v>20863.52</v>
      </c>
      <c r="E323" s="339">
        <f t="shared" si="193"/>
        <v>12043.826127114242</v>
      </c>
      <c r="F323" s="346">
        <f t="shared" si="194"/>
        <v>54.744664214155648</v>
      </c>
      <c r="G323" s="363"/>
      <c r="H323" s="534">
        <v>0</v>
      </c>
      <c r="I323" s="551">
        <f>$Q$316*0</f>
        <v>0</v>
      </c>
      <c r="J323" s="495" t="e">
        <f t="shared" si="196"/>
        <v>#DIV/0!</v>
      </c>
      <c r="K323" s="491" t="e">
        <f t="shared" si="192"/>
        <v>#DIV/0!</v>
      </c>
      <c r="L323" s="490"/>
      <c r="M323" s="369"/>
      <c r="N323" s="357"/>
      <c r="O323" s="228"/>
      <c r="P323" s="228"/>
      <c r="Q323" s="228"/>
      <c r="R323" s="228"/>
      <c r="S323" s="228"/>
      <c r="T323" s="228"/>
    </row>
    <row r="324" spans="1:20" x14ac:dyDescent="0.3">
      <c r="A324" s="393">
        <v>101404</v>
      </c>
      <c r="B324" s="349" t="s">
        <v>329</v>
      </c>
      <c r="C324" s="33" t="s">
        <v>314</v>
      </c>
      <c r="D324" s="343">
        <v>18535.919999999998</v>
      </c>
      <c r="E324" s="339">
        <f t="shared" si="193"/>
        <v>10700.178952837268</v>
      </c>
      <c r="F324" s="346">
        <f t="shared" si="194"/>
        <v>48.63717705835122</v>
      </c>
      <c r="G324" s="363"/>
      <c r="H324" s="493">
        <v>1100</v>
      </c>
      <c r="I324" s="551">
        <f>$Q$316*1</f>
        <v>7.333333333333333</v>
      </c>
      <c r="J324" s="495">
        <f t="shared" si="196"/>
        <v>150</v>
      </c>
      <c r="K324" s="491">
        <f t="shared" si="192"/>
        <v>5</v>
      </c>
      <c r="L324" s="490">
        <f>Q318*1*5</f>
        <v>1100</v>
      </c>
      <c r="M324" s="365"/>
      <c r="N324" s="356"/>
      <c r="O324" s="532">
        <f>N324/F324</f>
        <v>0</v>
      </c>
      <c r="Q324" s="228"/>
      <c r="R324" s="228"/>
      <c r="S324" s="228"/>
      <c r="T324" s="228"/>
    </row>
    <row r="325" spans="1:20" x14ac:dyDescent="0.3">
      <c r="A325" s="393">
        <v>93562</v>
      </c>
      <c r="B325" s="349" t="s">
        <v>330</v>
      </c>
      <c r="C325" s="33" t="s">
        <v>314</v>
      </c>
      <c r="D325" s="343">
        <v>5252.81</v>
      </c>
      <c r="E325" s="339">
        <f t="shared" si="193"/>
        <v>3032.2750101021766</v>
      </c>
      <c r="F325" s="346">
        <f t="shared" si="194"/>
        <v>13.783068227737166</v>
      </c>
      <c r="G325" s="363"/>
      <c r="H325" s="493">
        <v>880</v>
      </c>
      <c r="I325" s="551">
        <f>$Q$316*0.5</f>
        <v>3.6666666666666665</v>
      </c>
      <c r="J325" s="495">
        <f t="shared" si="196"/>
        <v>240</v>
      </c>
      <c r="K325" s="491">
        <f t="shared" si="192"/>
        <v>8</v>
      </c>
      <c r="L325" s="490">
        <f>Q318*0.5*8</f>
        <v>880</v>
      </c>
      <c r="M325" s="229"/>
    </row>
    <row r="326" spans="1:20" x14ac:dyDescent="0.3">
      <c r="A326" s="393">
        <v>93561</v>
      </c>
      <c r="B326" s="349" t="s">
        <v>112</v>
      </c>
      <c r="C326" s="33" t="s">
        <v>314</v>
      </c>
      <c r="D326" s="343">
        <v>7334.27</v>
      </c>
      <c r="E326" s="339">
        <f t="shared" si="193"/>
        <v>4233.8336315880624</v>
      </c>
      <c r="F326" s="346">
        <f t="shared" si="194"/>
        <v>19.244698325400282</v>
      </c>
      <c r="G326" s="363"/>
      <c r="H326" s="493">
        <v>880</v>
      </c>
      <c r="I326" s="551">
        <f>$Q$316*0.5</f>
        <v>3.6666666666666665</v>
      </c>
      <c r="J326" s="495">
        <f t="shared" si="196"/>
        <v>240</v>
      </c>
      <c r="K326" s="491">
        <f t="shared" si="192"/>
        <v>8</v>
      </c>
      <c r="L326" s="490"/>
      <c r="M326" s="369"/>
      <c r="N326" s="356"/>
    </row>
    <row r="327" spans="1:20" hidden="1" x14ac:dyDescent="0.3">
      <c r="A327" s="393">
        <v>93560</v>
      </c>
      <c r="B327" s="349" t="s">
        <v>331</v>
      </c>
      <c r="C327" s="33" t="s">
        <v>314</v>
      </c>
      <c r="D327" s="343">
        <v>5859.84</v>
      </c>
      <c r="E327" s="339">
        <f t="shared" ref="E327" si="197">D327/$C$339</f>
        <v>3382.6935288344976</v>
      </c>
      <c r="F327" s="346">
        <f t="shared" ref="F327" si="198">E327/220</f>
        <v>15.375879676520443</v>
      </c>
      <c r="G327" s="363"/>
      <c r="H327" s="493" t="s">
        <v>332</v>
      </c>
      <c r="I327" s="494" t="s">
        <v>332</v>
      </c>
      <c r="J327" s="495"/>
      <c r="K327" s="491">
        <f t="shared" si="192"/>
        <v>0</v>
      </c>
      <c r="L327" s="490"/>
      <c r="M327" s="369"/>
      <c r="N327" s="356"/>
      <c r="O327" s="532" t="e">
        <f>N327/N326</f>
        <v>#DIV/0!</v>
      </c>
    </row>
    <row r="328" spans="1:20" hidden="1" x14ac:dyDescent="0.3">
      <c r="A328" s="393">
        <v>93559</v>
      </c>
      <c r="B328" s="349" t="s">
        <v>333</v>
      </c>
      <c r="C328" s="33" t="s">
        <v>314</v>
      </c>
      <c r="D328" s="343">
        <v>4718.1000000000004</v>
      </c>
      <c r="E328" s="339">
        <f t="shared" ref="E328:E336" si="199">D328/$C$339</f>
        <v>2723.6044565029156</v>
      </c>
      <c r="F328" s="346">
        <f t="shared" si="194"/>
        <v>12.380020256831434</v>
      </c>
      <c r="G328" s="363"/>
      <c r="H328" s="493" t="s">
        <v>332</v>
      </c>
      <c r="I328" s="494" t="s">
        <v>332</v>
      </c>
      <c r="J328" s="495"/>
      <c r="K328" s="491">
        <f t="shared" si="192"/>
        <v>0</v>
      </c>
      <c r="L328" s="490"/>
      <c r="M328" s="369"/>
      <c r="N328" s="450"/>
      <c r="O328" s="229">
        <f>N326*40</f>
        <v>0</v>
      </c>
    </row>
    <row r="329" spans="1:20" ht="15" customHeight="1" x14ac:dyDescent="0.3">
      <c r="A329" s="393">
        <v>93566</v>
      </c>
      <c r="B329" s="349" t="s">
        <v>113</v>
      </c>
      <c r="C329" s="33" t="s">
        <v>314</v>
      </c>
      <c r="D329" s="484">
        <v>3243.83</v>
      </c>
      <c r="E329" s="339">
        <f t="shared" si="199"/>
        <v>1872.5567165040698</v>
      </c>
      <c r="F329" s="346">
        <f t="shared" ref="F329:F336" si="200">E329/220</f>
        <v>8.5116214386548616</v>
      </c>
      <c r="G329" s="363"/>
      <c r="H329" s="493">
        <v>1760</v>
      </c>
      <c r="I329" s="551">
        <f>$Q$316*1</f>
        <v>7.333333333333333</v>
      </c>
      <c r="J329" s="495">
        <f t="shared" si="196"/>
        <v>240</v>
      </c>
      <c r="K329" s="491">
        <f t="shared" si="192"/>
        <v>8</v>
      </c>
      <c r="L329" s="490">
        <f>Q318*1*8</f>
        <v>1760</v>
      </c>
      <c r="M329" s="229"/>
      <c r="O329" s="117"/>
      <c r="P329" s="117"/>
      <c r="Q329" s="117"/>
    </row>
    <row r="330" spans="1:20" hidden="1" x14ac:dyDescent="0.3">
      <c r="A330" s="395">
        <v>93572</v>
      </c>
      <c r="B330" s="350" t="s">
        <v>334</v>
      </c>
      <c r="C330" s="211" t="s">
        <v>314</v>
      </c>
      <c r="D330" s="344">
        <v>7292.96</v>
      </c>
      <c r="E330" s="340">
        <f t="shared" si="199"/>
        <v>4209.9867228540097</v>
      </c>
      <c r="F330" s="347">
        <f t="shared" si="200"/>
        <v>19.136303285700045</v>
      </c>
      <c r="G330" s="363"/>
      <c r="H330" s="493" t="s">
        <v>332</v>
      </c>
      <c r="I330" s="494" t="s">
        <v>332</v>
      </c>
      <c r="J330" s="495"/>
      <c r="K330" s="491">
        <f t="shared" si="192"/>
        <v>0</v>
      </c>
      <c r="L330" s="490"/>
      <c r="M330" s="229"/>
      <c r="N330" s="356"/>
      <c r="O330" s="117"/>
      <c r="P330" s="117"/>
      <c r="Q330" s="117"/>
    </row>
    <row r="331" spans="1:20" hidden="1" x14ac:dyDescent="0.3">
      <c r="A331" s="395">
        <v>94295</v>
      </c>
      <c r="B331" s="350" t="s">
        <v>335</v>
      </c>
      <c r="C331" s="211" t="s">
        <v>314</v>
      </c>
      <c r="D331" s="344">
        <v>11653.14</v>
      </c>
      <c r="E331" s="340">
        <f t="shared" si="199"/>
        <v>6726.9756970501639</v>
      </c>
      <c r="F331" s="347">
        <f t="shared" si="200"/>
        <v>30.577162259318929</v>
      </c>
      <c r="G331" s="363"/>
      <c r="H331" s="493" t="s">
        <v>332</v>
      </c>
      <c r="I331" s="494" t="s">
        <v>332</v>
      </c>
      <c r="J331" s="495"/>
      <c r="K331" s="491">
        <f t="shared" si="192"/>
        <v>0</v>
      </c>
      <c r="L331" s="490"/>
      <c r="M331" s="229"/>
      <c r="N331" s="356"/>
      <c r="O331" s="117"/>
      <c r="P331" s="117"/>
      <c r="Q331" s="117"/>
    </row>
    <row r="332" spans="1:20" hidden="1" x14ac:dyDescent="0.3">
      <c r="A332" s="395">
        <v>94296</v>
      </c>
      <c r="B332" s="350" t="s">
        <v>336</v>
      </c>
      <c r="C332" s="211" t="s">
        <v>314</v>
      </c>
      <c r="D332" s="344">
        <v>7235.33</v>
      </c>
      <c r="E332" s="340">
        <f t="shared" si="199"/>
        <v>4176.7188131386019</v>
      </c>
      <c r="F332" s="347">
        <f t="shared" si="200"/>
        <v>18.985085514266373</v>
      </c>
      <c r="G332" s="363"/>
      <c r="H332" s="493" t="s">
        <v>332</v>
      </c>
      <c r="I332" s="494" t="s">
        <v>332</v>
      </c>
      <c r="J332" s="495"/>
      <c r="K332" s="491">
        <f t="shared" si="192"/>
        <v>0</v>
      </c>
      <c r="L332" s="490"/>
      <c r="M332" s="229"/>
      <c r="N332" s="229"/>
      <c r="O332" s="117"/>
      <c r="P332" s="117"/>
      <c r="Q332" s="117"/>
    </row>
    <row r="333" spans="1:20" hidden="1" x14ac:dyDescent="0.3">
      <c r="A333" s="395">
        <v>101389</v>
      </c>
      <c r="B333" s="350" t="s">
        <v>337</v>
      </c>
      <c r="C333" s="33" t="s">
        <v>314</v>
      </c>
      <c r="D333" s="485">
        <v>3418.06</v>
      </c>
      <c r="E333" s="339">
        <f t="shared" si="199"/>
        <v>1973.1339837210644</v>
      </c>
      <c r="F333" s="346">
        <f t="shared" si="200"/>
        <v>8.9687908350957475</v>
      </c>
      <c r="G333" s="363"/>
      <c r="H333" s="493" t="s">
        <v>332</v>
      </c>
      <c r="I333" s="494" t="s">
        <v>332</v>
      </c>
      <c r="J333" s="495"/>
      <c r="K333" s="491">
        <f t="shared" si="192"/>
        <v>0</v>
      </c>
      <c r="L333" s="490"/>
      <c r="M333" s="365"/>
      <c r="N333" s="356"/>
      <c r="O333" s="117"/>
      <c r="P333" s="117"/>
      <c r="Q333" s="117"/>
    </row>
    <row r="334" spans="1:20" x14ac:dyDescent="0.3">
      <c r="A334" s="395">
        <v>101390</v>
      </c>
      <c r="B334" s="350" t="s">
        <v>114</v>
      </c>
      <c r="C334" s="33" t="s">
        <v>314</v>
      </c>
      <c r="D334" s="485">
        <v>5805.34</v>
      </c>
      <c r="E334" s="339">
        <f t="shared" si="199"/>
        <v>3351.2324655082839</v>
      </c>
      <c r="F334" s="346">
        <f t="shared" si="200"/>
        <v>15.232874843219472</v>
      </c>
      <c r="G334" s="363"/>
      <c r="H334" s="493">
        <v>880</v>
      </c>
      <c r="I334" s="551">
        <f>$Q$316*0.5</f>
        <v>3.6666666666666665</v>
      </c>
      <c r="J334" s="495">
        <f t="shared" si="196"/>
        <v>240</v>
      </c>
      <c r="K334" s="491">
        <f t="shared" si="192"/>
        <v>8</v>
      </c>
      <c r="L334" s="490">
        <f>Q318*0.5*8</f>
        <v>880</v>
      </c>
      <c r="M334" s="229"/>
      <c r="N334" s="356"/>
      <c r="O334" s="117"/>
      <c r="P334" s="117"/>
      <c r="Q334" s="117"/>
    </row>
    <row r="335" spans="1:20" hidden="1" x14ac:dyDescent="0.3">
      <c r="A335" s="395">
        <v>101456</v>
      </c>
      <c r="B335" s="350" t="s">
        <v>338</v>
      </c>
      <c r="C335" s="33" t="s">
        <v>314</v>
      </c>
      <c r="D335" s="485">
        <v>6176.07</v>
      </c>
      <c r="E335" s="339">
        <f t="shared" si="199"/>
        <v>3565.2427408647463</v>
      </c>
      <c r="F335" s="346">
        <f t="shared" si="200"/>
        <v>16.205648822112483</v>
      </c>
      <c r="G335" s="363"/>
      <c r="H335" s="493" t="s">
        <v>332</v>
      </c>
      <c r="I335" s="494" t="s">
        <v>332</v>
      </c>
      <c r="J335" s="495"/>
      <c r="K335" s="491">
        <f t="shared" si="192"/>
        <v>0</v>
      </c>
      <c r="L335" s="490"/>
      <c r="M335" s="229"/>
      <c r="N335" s="356"/>
      <c r="O335" s="117"/>
      <c r="P335" s="117"/>
      <c r="Q335" s="117"/>
    </row>
    <row r="336" spans="1:20" hidden="1" x14ac:dyDescent="0.3">
      <c r="A336" s="395">
        <v>101457</v>
      </c>
      <c r="B336" s="350" t="s">
        <v>339</v>
      </c>
      <c r="C336" s="33" t="s">
        <v>314</v>
      </c>
      <c r="D336" s="485">
        <v>7418.67</v>
      </c>
      <c r="E336" s="339">
        <f t="shared" si="199"/>
        <v>4282.5549847024186</v>
      </c>
      <c r="F336" s="346">
        <f t="shared" si="200"/>
        <v>19.466159021374629</v>
      </c>
      <c r="G336" s="363"/>
      <c r="H336" s="493" t="s">
        <v>332</v>
      </c>
      <c r="I336" s="494" t="s">
        <v>332</v>
      </c>
      <c r="J336" s="495"/>
      <c r="K336" s="491">
        <f t="shared" si="192"/>
        <v>0</v>
      </c>
      <c r="L336" s="490"/>
      <c r="M336" s="229"/>
      <c r="N336" s="356"/>
      <c r="O336" s="117"/>
      <c r="P336" s="117"/>
      <c r="Q336" s="117"/>
    </row>
    <row r="337" spans="1:19" x14ac:dyDescent="0.3">
      <c r="A337" s="395"/>
      <c r="B337" s="350"/>
      <c r="C337" s="211"/>
      <c r="D337" s="344"/>
      <c r="E337" s="340"/>
      <c r="F337" s="347"/>
      <c r="G337" s="363"/>
      <c r="H337" s="496"/>
      <c r="I337" s="497"/>
      <c r="J337" s="498"/>
      <c r="K337" s="492"/>
      <c r="L337" s="490"/>
      <c r="M337" s="229"/>
      <c r="N337" s="229"/>
      <c r="O337" s="117"/>
      <c r="P337" s="117"/>
      <c r="Q337" s="117"/>
    </row>
    <row r="338" spans="1:19" x14ac:dyDescent="0.3">
      <c r="A338" s="396"/>
      <c r="B338" s="237"/>
      <c r="C338" s="111"/>
      <c r="D338" s="208"/>
      <c r="E338" s="209"/>
      <c r="F338" s="210"/>
      <c r="G338" s="323"/>
      <c r="J338" s="366"/>
      <c r="L338" s="228"/>
      <c r="M338" s="229"/>
      <c r="O338" s="117"/>
      <c r="P338" s="117"/>
      <c r="Q338" s="117"/>
    </row>
    <row r="339" spans="1:19" x14ac:dyDescent="0.3">
      <c r="A339" s="708" t="s">
        <v>506</v>
      </c>
      <c r="B339" s="709"/>
      <c r="C339" s="214">
        <v>1.7323</v>
      </c>
      <c r="D339" s="213"/>
      <c r="E339" s="215"/>
      <c r="F339" s="113"/>
      <c r="G339" s="311" t="s">
        <v>340</v>
      </c>
      <c r="H339" s="487">
        <f>SUM(H314:H337)</f>
        <v>10560</v>
      </c>
      <c r="J339" s="366"/>
      <c r="M339" s="229"/>
    </row>
    <row r="340" spans="1:19" x14ac:dyDescent="0.3">
      <c r="B340" s="236" t="s">
        <v>341</v>
      </c>
      <c r="C340" s="120">
        <f>'CALCULO DO FATO K'!D10</f>
        <v>2.4264041095890412</v>
      </c>
      <c r="G340" s="311" t="s">
        <v>342</v>
      </c>
      <c r="H340" s="488">
        <f>Q318*8</f>
        <v>1760</v>
      </c>
      <c r="I340" s="2"/>
      <c r="J340" s="228"/>
      <c r="L340" s="324"/>
      <c r="M340" s="325"/>
      <c r="O340" s="229"/>
      <c r="P340" s="229"/>
      <c r="Q340" s="229"/>
      <c r="R340" s="229"/>
      <c r="S340" s="229"/>
    </row>
    <row r="341" spans="1:19" x14ac:dyDescent="0.3">
      <c r="A341" s="707"/>
      <c r="B341" s="707"/>
      <c r="G341" s="311" t="s">
        <v>343</v>
      </c>
      <c r="H341" s="489">
        <f>H339/H340</f>
        <v>6</v>
      </c>
      <c r="I341" s="2"/>
      <c r="J341" s="228"/>
      <c r="L341" s="324"/>
      <c r="M341" s="325"/>
    </row>
    <row r="342" spans="1:19" x14ac:dyDescent="0.3">
      <c r="G342" s="3" t="s">
        <v>344</v>
      </c>
      <c r="H342" s="553" t="s">
        <v>345</v>
      </c>
      <c r="J342" s="228"/>
      <c r="L342" s="322"/>
      <c r="M342" s="311"/>
      <c r="O342" s="228"/>
      <c r="P342" s="229"/>
      <c r="Q342" s="229"/>
      <c r="R342" s="229"/>
      <c r="S342" s="229"/>
    </row>
    <row r="343" spans="1:19" ht="16.5" customHeight="1" x14ac:dyDescent="0.45">
      <c r="B343" s="262"/>
      <c r="H343" s="228"/>
      <c r="L343" s="322"/>
      <c r="M343" s="311"/>
    </row>
    <row r="344" spans="1:19" ht="15.75" customHeight="1" x14ac:dyDescent="0.45">
      <c r="B344" s="262"/>
      <c r="H344" s="229"/>
      <c r="J344" s="228"/>
      <c r="L344" s="322"/>
      <c r="M344" s="326"/>
      <c r="P344" s="229"/>
      <c r="Q344" s="229"/>
      <c r="R344" s="229"/>
      <c r="S344" s="229"/>
    </row>
    <row r="345" spans="1:19" ht="23.4" x14ac:dyDescent="0.45">
      <c r="B345" s="262"/>
      <c r="G345" s="228"/>
      <c r="L345" s="141"/>
      <c r="M345" s="326"/>
    </row>
    <row r="346" spans="1:19" x14ac:dyDescent="0.3">
      <c r="J346" s="229"/>
      <c r="L346" s="327"/>
      <c r="M346" s="326"/>
    </row>
    <row r="347" spans="1:19" x14ac:dyDescent="0.3">
      <c r="H347" s="229"/>
      <c r="L347" s="141"/>
      <c r="M347" s="311"/>
    </row>
    <row r="348" spans="1:19" x14ac:dyDescent="0.3">
      <c r="H348" s="229"/>
      <c r="I348" s="229"/>
      <c r="J348" s="229"/>
      <c r="K348" s="229"/>
      <c r="L348" s="327"/>
      <c r="M348" s="325"/>
    </row>
    <row r="349" spans="1:19" x14ac:dyDescent="0.3">
      <c r="L349" s="141"/>
      <c r="M349" s="6"/>
      <c r="O349" s="229"/>
    </row>
    <row r="351" spans="1:19" x14ac:dyDescent="0.3">
      <c r="H351" s="229"/>
      <c r="L351" s="327"/>
      <c r="M351" s="327"/>
    </row>
    <row r="352" spans="1:19" x14ac:dyDescent="0.3">
      <c r="H352" s="117"/>
    </row>
    <row r="354" spans="8:13" x14ac:dyDescent="0.3">
      <c r="H354" s="229"/>
    </row>
    <row r="355" spans="8:13" x14ac:dyDescent="0.3">
      <c r="M355" s="229"/>
    </row>
    <row r="357" spans="8:13" x14ac:dyDescent="0.3">
      <c r="M357" s="229"/>
    </row>
    <row r="358" spans="8:13" x14ac:dyDescent="0.3">
      <c r="M358" s="229"/>
    </row>
  </sheetData>
  <mergeCells count="7">
    <mergeCell ref="A2:E3"/>
    <mergeCell ref="A8:E8"/>
    <mergeCell ref="F10:R10"/>
    <mergeCell ref="A341:B341"/>
    <mergeCell ref="A339:B339"/>
    <mergeCell ref="F9:R9"/>
    <mergeCell ref="A312:F312"/>
  </mergeCells>
  <pageMargins left="3.937007874015748E-2" right="3.937007874015748E-2" top="0.35433070866141736" bottom="0.35433070866141736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7"/>
  <sheetViews>
    <sheetView view="pageBreakPreview" zoomScale="60" zoomScaleNormal="100" workbookViewId="0">
      <selection activeCell="L65" activeCellId="1" sqref="D41 L65"/>
    </sheetView>
  </sheetViews>
  <sheetFormatPr defaultRowHeight="14.4" x14ac:dyDescent="0.3"/>
  <cols>
    <col min="1" max="1" width="23.44140625" customWidth="1"/>
    <col min="2" max="2" width="48.44140625" customWidth="1"/>
    <col min="3" max="3" width="24.44140625" customWidth="1"/>
    <col min="5" max="5" width="28.5546875" customWidth="1"/>
    <col min="6" max="6" width="25.6640625" customWidth="1"/>
  </cols>
  <sheetData>
    <row r="1" spans="1:10" x14ac:dyDescent="0.3">
      <c r="A1" s="44"/>
      <c r="B1" s="28"/>
      <c r="C1" s="28"/>
      <c r="D1" s="47"/>
      <c r="E1" s="299"/>
      <c r="F1" s="300"/>
    </row>
    <row r="2" spans="1:10" x14ac:dyDescent="0.3">
      <c r="A2" s="635" t="s">
        <v>397</v>
      </c>
      <c r="B2" s="636"/>
      <c r="C2" s="636"/>
      <c r="D2" s="636"/>
      <c r="E2" s="636"/>
      <c r="F2" s="715"/>
    </row>
    <row r="3" spans="1:10" x14ac:dyDescent="0.3">
      <c r="A3" s="635"/>
      <c r="B3" s="636"/>
      <c r="C3" s="636"/>
      <c r="D3" s="636"/>
      <c r="E3" s="636"/>
      <c r="F3" s="715"/>
    </row>
    <row r="4" spans="1:10" x14ac:dyDescent="0.3">
      <c r="A4" s="301"/>
      <c r="B4" s="213"/>
      <c r="C4" s="213"/>
      <c r="D4" s="215"/>
      <c r="E4" s="302"/>
      <c r="F4" s="303"/>
    </row>
    <row r="5" spans="1:10" x14ac:dyDescent="0.3">
      <c r="A5" s="716" t="s">
        <v>398</v>
      </c>
      <c r="B5" s="717"/>
      <c r="C5" s="717"/>
      <c r="D5" s="717"/>
      <c r="E5" s="717"/>
      <c r="F5" s="718"/>
    </row>
    <row r="6" spans="1:10" ht="44.25" customHeight="1" x14ac:dyDescent="0.3">
      <c r="A6" s="623" t="s">
        <v>512</v>
      </c>
      <c r="B6" s="624"/>
      <c r="C6" s="624"/>
      <c r="D6" s="624"/>
      <c r="E6" s="624"/>
      <c r="F6" s="625"/>
    </row>
    <row r="7" spans="1:10" x14ac:dyDescent="0.3">
      <c r="A7" s="719" t="s">
        <v>511</v>
      </c>
      <c r="B7" s="720"/>
      <c r="C7" s="720"/>
      <c r="D7" s="720"/>
      <c r="E7" s="720"/>
      <c r="F7" s="721"/>
    </row>
    <row r="8" spans="1:10" x14ac:dyDescent="0.3">
      <c r="A8" s="648"/>
      <c r="B8" s="646"/>
      <c r="C8" s="646"/>
      <c r="D8" s="646"/>
      <c r="E8" s="646"/>
      <c r="F8" s="647"/>
    </row>
    <row r="9" spans="1:10" x14ac:dyDescent="0.3">
      <c r="A9" s="291" t="s">
        <v>27</v>
      </c>
      <c r="B9" s="286" t="s">
        <v>378</v>
      </c>
      <c r="C9" s="286" t="s">
        <v>399</v>
      </c>
      <c r="D9" s="292" t="s">
        <v>400</v>
      </c>
      <c r="E9" s="293" t="s">
        <v>401</v>
      </c>
      <c r="F9" s="287" t="s">
        <v>402</v>
      </c>
    </row>
    <row r="10" spans="1:10" x14ac:dyDescent="0.3">
      <c r="A10" s="288" t="s">
        <v>36</v>
      </c>
      <c r="B10" s="284" t="s">
        <v>6</v>
      </c>
      <c r="C10" s="285"/>
      <c r="D10" s="292"/>
      <c r="E10" s="294"/>
      <c r="F10" s="289"/>
    </row>
    <row r="11" spans="1:10" x14ac:dyDescent="0.3">
      <c r="A11" s="282" t="s">
        <v>403</v>
      </c>
      <c r="B11" s="92" t="s">
        <v>404</v>
      </c>
      <c r="C11" s="54" t="s">
        <v>305</v>
      </c>
      <c r="D11" s="281">
        <v>4</v>
      </c>
      <c r="E11" s="279">
        <f>'Pesquisa de Mercado'!M3</f>
        <v>3.25</v>
      </c>
      <c r="F11" s="280">
        <f>D11*E11</f>
        <v>13</v>
      </c>
      <c r="J11" s="216"/>
    </row>
    <row r="12" spans="1:10" x14ac:dyDescent="0.3">
      <c r="A12" s="282" t="s">
        <v>403</v>
      </c>
      <c r="B12" s="217" t="s">
        <v>405</v>
      </c>
      <c r="C12" s="54" t="s">
        <v>305</v>
      </c>
      <c r="D12" s="281">
        <f>11*10</f>
        <v>110</v>
      </c>
      <c r="E12" s="279">
        <f>'Pesquisa de Mercado'!M4</f>
        <v>0.08</v>
      </c>
      <c r="F12" s="280">
        <f>D12*E12</f>
        <v>8.8000000000000007</v>
      </c>
    </row>
    <row r="13" spans="1:10" x14ac:dyDescent="0.3">
      <c r="A13" s="282" t="s">
        <v>403</v>
      </c>
      <c r="B13" s="217" t="s">
        <v>406</v>
      </c>
      <c r="C13" s="54" t="s">
        <v>305</v>
      </c>
      <c r="D13" s="281">
        <f>11*5</f>
        <v>55</v>
      </c>
      <c r="E13" s="279">
        <f>'Pesquisa de Mercado'!M5</f>
        <v>4.34</v>
      </c>
      <c r="F13" s="280">
        <f>D13*E13</f>
        <v>238.7</v>
      </c>
    </row>
    <row r="14" spans="1:10" x14ac:dyDescent="0.3">
      <c r="A14" s="295" t="s">
        <v>407</v>
      </c>
      <c r="B14" s="296"/>
      <c r="C14" s="296"/>
      <c r="D14" s="296"/>
      <c r="E14" s="297"/>
      <c r="F14" s="290">
        <f>SUM(F11:F13)</f>
        <v>260.5</v>
      </c>
    </row>
    <row r="15" spans="1:10" x14ac:dyDescent="0.3">
      <c r="A15" s="288" t="s">
        <v>46</v>
      </c>
      <c r="B15" s="283" t="s">
        <v>7</v>
      </c>
      <c r="C15" s="285"/>
      <c r="D15" s="292"/>
      <c r="E15" s="294"/>
      <c r="F15" s="289"/>
    </row>
    <row r="16" spans="1:10" x14ac:dyDescent="0.3">
      <c r="A16" s="282" t="s">
        <v>403</v>
      </c>
      <c r="B16" s="92" t="s">
        <v>404</v>
      </c>
      <c r="C16" s="54" t="s">
        <v>305</v>
      </c>
      <c r="D16" s="281">
        <v>4</v>
      </c>
      <c r="E16" s="279">
        <f>'Pesquisa de Mercado'!M3</f>
        <v>3.25</v>
      </c>
      <c r="F16" s="280">
        <f>D16*E16</f>
        <v>13</v>
      </c>
    </row>
    <row r="17" spans="1:6" x14ac:dyDescent="0.3">
      <c r="A17" s="282" t="s">
        <v>403</v>
      </c>
      <c r="B17" s="217" t="s">
        <v>405</v>
      </c>
      <c r="C17" s="54" t="s">
        <v>305</v>
      </c>
      <c r="D17" s="281">
        <f>11*10</f>
        <v>110</v>
      </c>
      <c r="E17" s="279">
        <f>'Pesquisa de Mercado'!M4</f>
        <v>0.08</v>
      </c>
      <c r="F17" s="280">
        <f>D17*E17</f>
        <v>8.8000000000000007</v>
      </c>
    </row>
    <row r="18" spans="1:6" x14ac:dyDescent="0.3">
      <c r="A18" s="282" t="s">
        <v>403</v>
      </c>
      <c r="B18" s="217" t="s">
        <v>406</v>
      </c>
      <c r="C18" s="54" t="s">
        <v>305</v>
      </c>
      <c r="D18" s="281">
        <f>11*5</f>
        <v>55</v>
      </c>
      <c r="E18" s="279">
        <f>'Pesquisa de Mercado'!M5</f>
        <v>4.34</v>
      </c>
      <c r="F18" s="280">
        <f>D18*E18</f>
        <v>238.7</v>
      </c>
    </row>
    <row r="19" spans="1:6" x14ac:dyDescent="0.3">
      <c r="A19" s="295" t="s">
        <v>407</v>
      </c>
      <c r="B19" s="296"/>
      <c r="C19" s="296"/>
      <c r="D19" s="296"/>
      <c r="E19" s="297"/>
      <c r="F19" s="290">
        <f>SUM(F16:F18)</f>
        <v>260.5</v>
      </c>
    </row>
    <row r="20" spans="1:6" x14ac:dyDescent="0.3">
      <c r="A20" s="288" t="s">
        <v>55</v>
      </c>
      <c r="B20" s="283" t="s">
        <v>8</v>
      </c>
      <c r="C20" s="285"/>
      <c r="D20" s="292"/>
      <c r="E20" s="294"/>
      <c r="F20" s="289"/>
    </row>
    <row r="21" spans="1:6" x14ac:dyDescent="0.3">
      <c r="A21" s="282" t="s">
        <v>403</v>
      </c>
      <c r="B21" s="92" t="s">
        <v>404</v>
      </c>
      <c r="C21" s="54" t="s">
        <v>305</v>
      </c>
      <c r="D21" s="281">
        <v>4</v>
      </c>
      <c r="E21" s="279">
        <f>'Pesquisa de Mercado'!M3</f>
        <v>3.25</v>
      </c>
      <c r="F21" s="280">
        <f>D21*E21</f>
        <v>13</v>
      </c>
    </row>
    <row r="22" spans="1:6" x14ac:dyDescent="0.3">
      <c r="A22" s="282" t="s">
        <v>403</v>
      </c>
      <c r="B22" s="217" t="s">
        <v>405</v>
      </c>
      <c r="C22" s="54" t="s">
        <v>305</v>
      </c>
      <c r="D22" s="281">
        <f>11*10</f>
        <v>110</v>
      </c>
      <c r="E22" s="279">
        <f>'Pesquisa de Mercado'!M4</f>
        <v>0.08</v>
      </c>
      <c r="F22" s="280">
        <f>D22*E22</f>
        <v>8.8000000000000007</v>
      </c>
    </row>
    <row r="23" spans="1:6" x14ac:dyDescent="0.3">
      <c r="A23" s="282" t="s">
        <v>403</v>
      </c>
      <c r="B23" s="217" t="s">
        <v>406</v>
      </c>
      <c r="C23" s="54" t="s">
        <v>305</v>
      </c>
      <c r="D23" s="281">
        <f>11*5</f>
        <v>55</v>
      </c>
      <c r="E23" s="279">
        <f>'Pesquisa de Mercado'!M5</f>
        <v>4.34</v>
      </c>
      <c r="F23" s="280">
        <f>D23*E23</f>
        <v>238.7</v>
      </c>
    </row>
    <row r="24" spans="1:6" x14ac:dyDescent="0.3">
      <c r="A24" s="295" t="s">
        <v>407</v>
      </c>
      <c r="B24" s="296"/>
      <c r="C24" s="296"/>
      <c r="D24" s="296"/>
      <c r="E24" s="297"/>
      <c r="F24" s="290">
        <f>SUM(F21:F23)</f>
        <v>260.5</v>
      </c>
    </row>
    <row r="25" spans="1:6" x14ac:dyDescent="0.3">
      <c r="A25" s="288" t="s">
        <v>64</v>
      </c>
      <c r="B25" s="283" t="s">
        <v>9</v>
      </c>
      <c r="C25" s="285"/>
      <c r="D25" s="292"/>
      <c r="E25" s="294"/>
      <c r="F25" s="289"/>
    </row>
    <row r="26" spans="1:6" x14ac:dyDescent="0.3">
      <c r="A26" s="282" t="s">
        <v>403</v>
      </c>
      <c r="B26" s="92" t="s">
        <v>404</v>
      </c>
      <c r="C26" s="54" t="s">
        <v>305</v>
      </c>
      <c r="D26" s="281">
        <v>4</v>
      </c>
      <c r="E26" s="279">
        <f>'Pesquisa de Mercado'!M3</f>
        <v>3.25</v>
      </c>
      <c r="F26" s="280">
        <f>D26*E26</f>
        <v>13</v>
      </c>
    </row>
    <row r="27" spans="1:6" x14ac:dyDescent="0.3">
      <c r="A27" s="282" t="s">
        <v>403</v>
      </c>
      <c r="B27" s="217" t="s">
        <v>405</v>
      </c>
      <c r="C27" s="54" t="s">
        <v>305</v>
      </c>
      <c r="D27" s="281">
        <f>11*10</f>
        <v>110</v>
      </c>
      <c r="E27" s="279">
        <f>'Pesquisa de Mercado'!M4</f>
        <v>0.08</v>
      </c>
      <c r="F27" s="280">
        <f>D27*E27</f>
        <v>8.8000000000000007</v>
      </c>
    </row>
    <row r="28" spans="1:6" x14ac:dyDescent="0.3">
      <c r="A28" s="282" t="s">
        <v>403</v>
      </c>
      <c r="B28" s="217" t="s">
        <v>406</v>
      </c>
      <c r="C28" s="54" t="s">
        <v>305</v>
      </c>
      <c r="D28" s="281">
        <f>11*5</f>
        <v>55</v>
      </c>
      <c r="E28" s="279">
        <f>'Pesquisa de Mercado'!M5</f>
        <v>4.34</v>
      </c>
      <c r="F28" s="280">
        <f>D28*E28</f>
        <v>238.7</v>
      </c>
    </row>
    <row r="29" spans="1:6" x14ac:dyDescent="0.3">
      <c r="A29" s="295" t="s">
        <v>407</v>
      </c>
      <c r="B29" s="296"/>
      <c r="C29" s="296"/>
      <c r="D29" s="296"/>
      <c r="E29" s="297"/>
      <c r="F29" s="290">
        <f>SUM(F26:F28)</f>
        <v>260.5</v>
      </c>
    </row>
    <row r="30" spans="1:6" x14ac:dyDescent="0.3">
      <c r="A30" s="288" t="s">
        <v>73</v>
      </c>
      <c r="B30" s="283" t="s">
        <v>10</v>
      </c>
      <c r="C30" s="285"/>
      <c r="D30" s="292"/>
      <c r="E30" s="294"/>
      <c r="F30" s="289"/>
    </row>
    <row r="31" spans="1:6" x14ac:dyDescent="0.3">
      <c r="A31" s="282" t="s">
        <v>403</v>
      </c>
      <c r="B31" s="92" t="s">
        <v>404</v>
      </c>
      <c r="C31" s="54" t="s">
        <v>305</v>
      </c>
      <c r="D31" s="281">
        <v>4</v>
      </c>
      <c r="E31" s="279">
        <f>'Pesquisa de Mercado'!M3</f>
        <v>3.25</v>
      </c>
      <c r="F31" s="280">
        <f>D31*E31</f>
        <v>13</v>
      </c>
    </row>
    <row r="32" spans="1:6" x14ac:dyDescent="0.3">
      <c r="A32" s="282" t="s">
        <v>403</v>
      </c>
      <c r="B32" s="217" t="s">
        <v>405</v>
      </c>
      <c r="C32" s="54" t="s">
        <v>305</v>
      </c>
      <c r="D32" s="281">
        <f>11*10</f>
        <v>110</v>
      </c>
      <c r="E32" s="279">
        <f>'Pesquisa de Mercado'!M4</f>
        <v>0.08</v>
      </c>
      <c r="F32" s="280">
        <f>D32*E32</f>
        <v>8.8000000000000007</v>
      </c>
    </row>
    <row r="33" spans="1:7" x14ac:dyDescent="0.3">
      <c r="A33" s="282" t="s">
        <v>403</v>
      </c>
      <c r="B33" s="217" t="s">
        <v>406</v>
      </c>
      <c r="C33" s="54" t="s">
        <v>305</v>
      </c>
      <c r="D33" s="281">
        <f>11*5</f>
        <v>55</v>
      </c>
      <c r="E33" s="279">
        <f>'Pesquisa de Mercado'!M5</f>
        <v>4.34</v>
      </c>
      <c r="F33" s="280">
        <f>D33*E33</f>
        <v>238.7</v>
      </c>
    </row>
    <row r="34" spans="1:7" x14ac:dyDescent="0.3">
      <c r="A34" s="295" t="s">
        <v>407</v>
      </c>
      <c r="B34" s="296"/>
      <c r="C34" s="296"/>
      <c r="D34" s="296"/>
      <c r="E34" s="297"/>
      <c r="F34" s="290">
        <f>SUM(F31:F33)</f>
        <v>260.5</v>
      </c>
    </row>
    <row r="35" spans="1:7" x14ac:dyDescent="0.3">
      <c r="A35" s="288" t="s">
        <v>408</v>
      </c>
      <c r="B35" s="283" t="s">
        <v>11</v>
      </c>
      <c r="C35" s="285"/>
      <c r="D35" s="292"/>
      <c r="E35" s="294"/>
      <c r="F35" s="289"/>
    </row>
    <row r="36" spans="1:7" x14ac:dyDescent="0.3">
      <c r="A36" s="282" t="s">
        <v>403</v>
      </c>
      <c r="B36" s="92" t="s">
        <v>404</v>
      </c>
      <c r="C36" s="54" t="s">
        <v>305</v>
      </c>
      <c r="D36" s="281">
        <v>4</v>
      </c>
      <c r="E36" s="279">
        <f>'Pesquisa de Mercado'!M3</f>
        <v>3.25</v>
      </c>
      <c r="F36" s="280">
        <f>D36*E36</f>
        <v>13</v>
      </c>
    </row>
    <row r="37" spans="1:7" x14ac:dyDescent="0.3">
      <c r="A37" s="282" t="s">
        <v>403</v>
      </c>
      <c r="B37" s="217" t="s">
        <v>405</v>
      </c>
      <c r="C37" s="54" t="s">
        <v>305</v>
      </c>
      <c r="D37" s="281">
        <f>11*10</f>
        <v>110</v>
      </c>
      <c r="E37" s="279">
        <f>'Pesquisa de Mercado'!M4</f>
        <v>0.08</v>
      </c>
      <c r="F37" s="280">
        <f>D37*E37</f>
        <v>8.8000000000000007</v>
      </c>
    </row>
    <row r="38" spans="1:7" x14ac:dyDescent="0.3">
      <c r="A38" s="282" t="s">
        <v>403</v>
      </c>
      <c r="B38" s="217" t="s">
        <v>406</v>
      </c>
      <c r="C38" s="54" t="s">
        <v>305</v>
      </c>
      <c r="D38" s="281">
        <f>11*5</f>
        <v>55</v>
      </c>
      <c r="E38" s="279">
        <f>'Pesquisa de Mercado'!M5</f>
        <v>4.34</v>
      </c>
      <c r="F38" s="280">
        <f>D38*E38</f>
        <v>238.7</v>
      </c>
    </row>
    <row r="39" spans="1:7" x14ac:dyDescent="0.3">
      <c r="A39" s="295" t="s">
        <v>407</v>
      </c>
      <c r="B39" s="296"/>
      <c r="C39" s="296"/>
      <c r="D39" s="296"/>
      <c r="E39" s="297"/>
      <c r="F39" s="290">
        <f>SUM(F36:F38)</f>
        <v>260.5</v>
      </c>
    </row>
    <row r="40" spans="1:7" x14ac:dyDescent="0.3">
      <c r="A40" s="282"/>
      <c r="B40" s="307"/>
      <c r="C40" s="306"/>
      <c r="D40" s="305"/>
      <c r="E40" s="304"/>
      <c r="F40" s="280"/>
    </row>
    <row r="41" spans="1:7" x14ac:dyDescent="0.3">
      <c r="A41" s="295" t="s">
        <v>409</v>
      </c>
      <c r="B41" s="296"/>
      <c r="C41" s="296"/>
      <c r="D41" s="296"/>
      <c r="E41" s="297"/>
      <c r="F41" s="290">
        <f>F14+F19+F24+F29+F34+F39</f>
        <v>1563</v>
      </c>
    </row>
    <row r="42" spans="1:7" ht="15" thickBot="1" x14ac:dyDescent="0.35"/>
    <row r="43" spans="1:7" ht="15" thickBot="1" x14ac:dyDescent="0.35">
      <c r="B43" s="442" t="s">
        <v>410</v>
      </c>
      <c r="G43" s="298"/>
    </row>
    <row r="44" spans="1:7" x14ac:dyDescent="0.3">
      <c r="A44" s="443">
        <f>'ESTIMATIVA DE HORAS TÉCNICAS'!O324</f>
        <v>0</v>
      </c>
      <c r="B44" s="358" t="s">
        <v>411</v>
      </c>
    </row>
    <row r="45" spans="1:7" x14ac:dyDescent="0.3">
      <c r="A45" s="3"/>
      <c r="B45" s="358" t="s">
        <v>412</v>
      </c>
    </row>
    <row r="46" spans="1:7" x14ac:dyDescent="0.3">
      <c r="A46" s="3"/>
      <c r="B46" s="3"/>
    </row>
    <row r="47" spans="1:7" x14ac:dyDescent="0.3">
      <c r="A47" s="3"/>
      <c r="B47" s="3"/>
    </row>
  </sheetData>
  <mergeCells count="5">
    <mergeCell ref="A2:F3"/>
    <mergeCell ref="A8:F8"/>
    <mergeCell ref="A5:F5"/>
    <mergeCell ref="A7:F7"/>
    <mergeCell ref="A6:F6"/>
  </mergeCells>
  <pageMargins left="0.51181102362204722" right="0.51181102362204722" top="0.78740157480314965" bottom="0.78740157480314965" header="0.31496062992125984" footer="0.31496062992125984"/>
  <pageSetup paperSize="9" scale="70" orientation="landscape" r:id="rId1"/>
  <colBreaks count="1" manualBreakCount="1">
    <brk id="6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N28"/>
  <sheetViews>
    <sheetView workbookViewId="0">
      <selection activeCell="O29" sqref="O29"/>
    </sheetView>
  </sheetViews>
  <sheetFormatPr defaultRowHeight="14.4" x14ac:dyDescent="0.3"/>
  <cols>
    <col min="1" max="1" width="19.44140625" bestFit="1" customWidth="1"/>
    <col min="2" max="2" width="12.88671875" bestFit="1" customWidth="1"/>
    <col min="3" max="3" width="13" customWidth="1"/>
    <col min="8" max="10" width="12.109375" customWidth="1"/>
    <col min="11" max="11" width="10.6640625" customWidth="1"/>
    <col min="12" max="12" width="16.88671875" customWidth="1"/>
  </cols>
  <sheetData>
    <row r="1" spans="1:14" ht="15" thickBot="1" x14ac:dyDescent="0.35">
      <c r="A1" t="s">
        <v>421</v>
      </c>
    </row>
    <row r="2" spans="1:14" ht="31.5" customHeight="1" thickBot="1" x14ac:dyDescent="0.35">
      <c r="A2" s="329" t="s">
        <v>422</v>
      </c>
      <c r="B2" s="329" t="s">
        <v>423</v>
      </c>
      <c r="C2" s="331" t="s">
        <v>424</v>
      </c>
      <c r="D2" s="331" t="s">
        <v>425</v>
      </c>
      <c r="E2" s="331" t="s">
        <v>426</v>
      </c>
      <c r="F2" s="331" t="s">
        <v>427</v>
      </c>
      <c r="G2" s="331" t="s">
        <v>428</v>
      </c>
      <c r="H2" s="331" t="s">
        <v>429</v>
      </c>
      <c r="I2" s="331" t="s">
        <v>430</v>
      </c>
      <c r="J2" s="331" t="s">
        <v>431</v>
      </c>
      <c r="K2" s="330" t="s">
        <v>432</v>
      </c>
      <c r="L2" s="445" t="s">
        <v>433</v>
      </c>
      <c r="M2" s="445" t="s">
        <v>434</v>
      </c>
    </row>
    <row r="3" spans="1:14" x14ac:dyDescent="0.3">
      <c r="A3" s="278" t="s">
        <v>404</v>
      </c>
      <c r="B3" s="448">
        <f>'OUTROS CUSTOS DIRETOS'!D11+'OUTROS CUSTOS DIRETOS'!D16+'OUTROS CUSTOS DIRETOS'!D26</f>
        <v>12</v>
      </c>
      <c r="C3" s="451">
        <v>4</v>
      </c>
      <c r="D3" s="451">
        <v>3</v>
      </c>
      <c r="E3" s="451">
        <v>5.1100000000000003</v>
      </c>
      <c r="F3" s="451">
        <v>3</v>
      </c>
      <c r="G3" s="452">
        <f>39/10</f>
        <v>3.9</v>
      </c>
      <c r="H3" s="452">
        <v>4.9000000000000004</v>
      </c>
      <c r="I3" s="452">
        <v>6</v>
      </c>
      <c r="J3" s="452">
        <v>4</v>
      </c>
      <c r="K3" s="277">
        <f>MIN(C3:J3)</f>
        <v>3</v>
      </c>
      <c r="L3" s="531">
        <v>8.48E-2</v>
      </c>
      <c r="M3" s="277">
        <f>ROUND(+K3*(1+L3),2)</f>
        <v>3.25</v>
      </c>
    </row>
    <row r="4" spans="1:14" ht="15" thickBot="1" x14ac:dyDescent="0.35">
      <c r="A4" s="278" t="s">
        <v>405</v>
      </c>
      <c r="B4" s="448">
        <f>'OUTROS CUSTOS DIRETOS'!D12+'OUTROS CUSTOS DIRETOS'!D17+'OUTROS CUSTOS DIRETOS'!D27</f>
        <v>330</v>
      </c>
      <c r="C4" s="451" t="s">
        <v>332</v>
      </c>
      <c r="D4" s="451">
        <v>7.0000000000000007E-2</v>
      </c>
      <c r="E4" s="451">
        <v>0.15</v>
      </c>
      <c r="F4" s="451">
        <f>14.7/210</f>
        <v>6.9999999999999993E-2</v>
      </c>
      <c r="G4" s="452">
        <f>42/210</f>
        <v>0.2</v>
      </c>
      <c r="H4" s="452">
        <v>0.18</v>
      </c>
      <c r="I4" s="452">
        <v>0.5</v>
      </c>
      <c r="J4" s="452">
        <v>0.2</v>
      </c>
      <c r="K4" s="277">
        <f>MIN(C4:J4)</f>
        <v>6.9999999999999993E-2</v>
      </c>
      <c r="L4" s="425"/>
      <c r="M4" s="277">
        <f>ROUND(+K4*(1+L3),2)</f>
        <v>0.08</v>
      </c>
    </row>
    <row r="5" spans="1:14" ht="15" thickBot="1" x14ac:dyDescent="0.35">
      <c r="A5" s="278" t="s">
        <v>406</v>
      </c>
      <c r="B5" s="448">
        <f>'OUTROS CUSTOS DIRETOS'!D13+'OUTROS CUSTOS DIRETOS'!D18+'OUTROS CUSTOS DIRETOS'!D28</f>
        <v>165</v>
      </c>
      <c r="C5" s="451">
        <v>5.3</v>
      </c>
      <c r="D5" s="451">
        <v>4.5</v>
      </c>
      <c r="E5" s="451" t="s">
        <v>332</v>
      </c>
      <c r="F5" s="451" t="s">
        <v>332</v>
      </c>
      <c r="G5" s="452">
        <f>1509.2/308</f>
        <v>4.9000000000000004</v>
      </c>
      <c r="H5" s="452">
        <v>6.4</v>
      </c>
      <c r="I5" s="452">
        <v>6</v>
      </c>
      <c r="J5" s="452">
        <v>4</v>
      </c>
      <c r="K5" s="277">
        <f>MIN(C5:J5)</f>
        <v>4</v>
      </c>
      <c r="L5" s="426"/>
      <c r="M5" s="277">
        <f>ROUND(+K5*(1+L3),2)</f>
        <v>4.34</v>
      </c>
    </row>
    <row r="8" spans="1:14" x14ac:dyDescent="0.3">
      <c r="A8" s="447" t="s">
        <v>435</v>
      </c>
      <c r="B8" s="45" t="s">
        <v>436</v>
      </c>
    </row>
    <row r="9" spans="1:14" x14ac:dyDescent="0.3">
      <c r="A9" s="446">
        <v>44547</v>
      </c>
      <c r="B9" t="s">
        <v>437</v>
      </c>
      <c r="K9" s="40">
        <v>44562</v>
      </c>
      <c r="L9">
        <v>0.71</v>
      </c>
      <c r="N9" s="552" t="s">
        <v>438</v>
      </c>
    </row>
    <row r="10" spans="1:14" x14ac:dyDescent="0.3">
      <c r="A10" s="446">
        <v>44547</v>
      </c>
      <c r="B10" t="s">
        <v>439</v>
      </c>
      <c r="K10" s="40">
        <v>44593</v>
      </c>
      <c r="L10">
        <v>0.38</v>
      </c>
    </row>
    <row r="11" spans="1:14" x14ac:dyDescent="0.3">
      <c r="A11" s="446">
        <v>44547</v>
      </c>
      <c r="B11" t="s">
        <v>440</v>
      </c>
      <c r="K11" s="40">
        <v>44621</v>
      </c>
      <c r="L11">
        <v>0.86</v>
      </c>
    </row>
    <row r="12" spans="1:14" x14ac:dyDescent="0.3">
      <c r="A12" s="446">
        <v>44547</v>
      </c>
      <c r="B12" t="s">
        <v>441</v>
      </c>
      <c r="K12" s="40">
        <v>44652</v>
      </c>
      <c r="L12">
        <v>0.95</v>
      </c>
    </row>
    <row r="13" spans="1:14" x14ac:dyDescent="0.3">
      <c r="A13" s="446">
        <v>44547</v>
      </c>
      <c r="B13" t="s">
        <v>442</v>
      </c>
      <c r="K13" s="40">
        <v>44682</v>
      </c>
      <c r="L13">
        <v>2.2799999999999998</v>
      </c>
    </row>
    <row r="14" spans="1:14" x14ac:dyDescent="0.3">
      <c r="A14" s="446">
        <v>44547</v>
      </c>
      <c r="B14" t="s">
        <v>443</v>
      </c>
      <c r="K14" s="40">
        <v>44713</v>
      </c>
      <c r="L14">
        <v>2.14</v>
      </c>
    </row>
    <row r="15" spans="1:14" x14ac:dyDescent="0.3">
      <c r="K15" s="40">
        <v>44743</v>
      </c>
      <c r="L15">
        <v>0.86</v>
      </c>
    </row>
    <row r="16" spans="1:14" x14ac:dyDescent="0.3">
      <c r="K16" s="40">
        <v>44774</v>
      </c>
      <c r="L16">
        <v>0.09</v>
      </c>
    </row>
    <row r="17" spans="2:13" x14ac:dyDescent="0.3">
      <c r="K17" s="40">
        <v>44805</v>
      </c>
      <c r="L17">
        <v>0.09</v>
      </c>
    </row>
    <row r="18" spans="2:13" x14ac:dyDescent="0.3">
      <c r="K18" s="40">
        <v>44835</v>
      </c>
      <c r="L18">
        <v>0.12</v>
      </c>
    </row>
    <row r="19" spans="2:13" x14ac:dyDescent="0.3">
      <c r="B19" s="45" t="s">
        <v>444</v>
      </c>
      <c r="G19" s="45" t="s">
        <v>445</v>
      </c>
      <c r="H19" s="45"/>
      <c r="I19" s="45"/>
      <c r="J19" s="45"/>
      <c r="M19">
        <f>SUM(L9:L18)</f>
        <v>8.4799999999999986</v>
      </c>
    </row>
    <row r="20" spans="2:13" x14ac:dyDescent="0.3">
      <c r="B20" t="s">
        <v>440</v>
      </c>
      <c r="G20" t="s">
        <v>446</v>
      </c>
    </row>
    <row r="21" spans="2:13" x14ac:dyDescent="0.3">
      <c r="B21" t="s">
        <v>447</v>
      </c>
      <c r="G21" t="s">
        <v>448</v>
      </c>
    </row>
    <row r="22" spans="2:13" x14ac:dyDescent="0.3">
      <c r="B22" t="s">
        <v>449</v>
      </c>
      <c r="G22" t="s">
        <v>450</v>
      </c>
    </row>
    <row r="23" spans="2:13" x14ac:dyDescent="0.3">
      <c r="B23" t="s">
        <v>451</v>
      </c>
      <c r="G23" t="s">
        <v>452</v>
      </c>
    </row>
    <row r="24" spans="2:13" x14ac:dyDescent="0.3">
      <c r="B24" t="s">
        <v>453</v>
      </c>
      <c r="G24" t="s">
        <v>454</v>
      </c>
    </row>
    <row r="25" spans="2:13" x14ac:dyDescent="0.3">
      <c r="B25" t="s">
        <v>455</v>
      </c>
      <c r="G25" t="s">
        <v>456</v>
      </c>
    </row>
    <row r="26" spans="2:13" x14ac:dyDescent="0.3">
      <c r="B26" t="s">
        <v>457</v>
      </c>
      <c r="G26" t="s">
        <v>458</v>
      </c>
    </row>
    <row r="27" spans="2:13" x14ac:dyDescent="0.3">
      <c r="B27" t="s">
        <v>459</v>
      </c>
      <c r="G27" t="s">
        <v>460</v>
      </c>
    </row>
    <row r="28" spans="2:13" x14ac:dyDescent="0.3">
      <c r="B28" t="s">
        <v>461</v>
      </c>
      <c r="G28" t="s">
        <v>462</v>
      </c>
    </row>
  </sheetData>
  <hyperlinks>
    <hyperlink ref="N9" r:id="rId1" xr:uid="{00000000-0004-0000-0800-000000000000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2CE274EA7FC745A492311BB62FB546" ma:contentTypeVersion="2" ma:contentTypeDescription="Crie um novo documento." ma:contentTypeScope="" ma:versionID="7c72f9f9a157d04c0048f8a37e8a57a1">
  <xsd:schema xmlns:xsd="http://www.w3.org/2001/XMLSchema" xmlns:xs="http://www.w3.org/2001/XMLSchema" xmlns:p="http://schemas.microsoft.com/office/2006/metadata/properties" xmlns:ns2="eb210fec-d699-4fda-af03-92d97f3d1300" targetNamespace="http://schemas.microsoft.com/office/2006/metadata/properties" ma:root="true" ma:fieldsID="a14b9f3305359334a8f45c2b678a0a5a" ns2:_="">
    <xsd:import namespace="eb210fec-d699-4fda-af03-92d97f3d13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210fec-d699-4fda-af03-92d97f3d13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AF9EC5-A769-4662-AB6B-02E8FAEE9F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ED1DD8-CD77-4E52-9938-B9794607AC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210fec-d699-4fda-af03-92d97f3d13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8E3260-0A3E-4D00-9C9C-5E8B89D33F8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8</vt:i4>
      </vt:variant>
    </vt:vector>
  </HeadingPairs>
  <TitlesOfParts>
    <vt:vector size="18" baseType="lpstr">
      <vt:lpstr>RESUMO</vt:lpstr>
      <vt:lpstr>ORÇAMENTO POR ESCOPO</vt:lpstr>
      <vt:lpstr>CRONOGRAM FÍSICO-FINANCEIRO</vt:lpstr>
      <vt:lpstr>CALCULO DO FATO K</vt:lpstr>
      <vt:lpstr>ENCARGOS SOCIAIS</vt:lpstr>
      <vt:lpstr>Curva ABC</vt:lpstr>
      <vt:lpstr>ESTIMATIVA DE HORAS TÉCNICAS</vt:lpstr>
      <vt:lpstr>OUTROS CUSTOS DIRETOS</vt:lpstr>
      <vt:lpstr>Pesquisa de Mercado</vt:lpstr>
      <vt:lpstr>IMEC</vt:lpstr>
      <vt:lpstr>'CALCULO DO FATO K'!Area_de_impressao</vt:lpstr>
      <vt:lpstr>'CRONOGRAM FÍSICO-FINANCEIRO'!Area_de_impressao</vt:lpstr>
      <vt:lpstr>'Curva ABC'!Area_de_impressao</vt:lpstr>
      <vt:lpstr>'ESTIMATIVA DE HORAS TÉCNICAS'!Area_de_impressao</vt:lpstr>
      <vt:lpstr>'OUTROS CUSTOS DIRETOS'!Area_de_impressao</vt:lpstr>
      <vt:lpstr>RESUMO!Area_de_impressao</vt:lpstr>
      <vt:lpstr>'ESTIMATIVA DE HORAS TÉCNICAS'!Titulos_de_impressao</vt:lpstr>
      <vt:lpstr>'ORÇAMENTO POR ESCOPO'!Titulos_de_impressao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tr300593</dc:creator>
  <cp:lastModifiedBy>marcela.carmo87@gmail.com</cp:lastModifiedBy>
  <cp:revision/>
  <cp:lastPrinted>2022-12-05T13:18:56Z</cp:lastPrinted>
  <dcterms:created xsi:type="dcterms:W3CDTF">2018-10-26T14:21:00Z</dcterms:created>
  <dcterms:modified xsi:type="dcterms:W3CDTF">2023-09-06T20:19:42Z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0x0101001C2CE274EA7FC745A492311BB62FB546</vt:lpwstr>
  </property>
</Properties>
</file>