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9.xml.rels" ContentType="application/vnd.openxmlformats-package.relationships+xml"/>
  <Override PartName="/xl/worksheets/_rels/sheet10.xml.rels" ContentType="application/vnd.openxmlformats-package.relationships+xml"/>
  <Override PartName="/xl/worksheets/_rels/sheet11.xml.rels" ContentType="application/vnd.openxmlformats-package.relationships+xml"/>
  <Override PartName="/xl/worksheets/_rels/sheet12.xml.rels" ContentType="application/vnd.openxmlformats-package.relationships+xml"/>
  <Override PartName="/xl/worksheets/_rels/sheet13.xml.rels" ContentType="application/vnd.openxmlformats-package.relationships+xml"/>
  <Override PartName="/xl/worksheets/_rels/sheet14.xml.rels" ContentType="application/vnd.openxmlformats-package.relationships+xml"/>
  <Override PartName="/xl/worksheets/_rels/sheet15.xml.rels" ContentType="application/vnd.openxmlformats-package.relationships+xml"/>
  <Override PartName="/xl/worksheets/_rels/sheet16.xml.rels" ContentType="application/vnd.openxmlformats-package.relationships+xml"/>
  <Override PartName="/xl/worksheets/_rels/sheet17.xml.rels" ContentType="application/vnd.openxmlformats-package.relationships+xml"/>
  <Override PartName="/xl/worksheets/_rels/sheet18.xml.rels" ContentType="application/vnd.openxmlformats-package.relationships+xml"/>
  <Override PartName="/xl/worksheets/_rels/sheet19.xml.rels" ContentType="application/vnd.openxmlformats-package.relationships+xml"/>
  <Override PartName="/xl/worksheets/_rels/sheet20.xml.rels" ContentType="application/vnd.openxmlformats-package.relationships+xml"/>
  <Override PartName="/xl/worksheets/_rels/sheet2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_rels/drawing9.xml.rels" ContentType="application/vnd.openxmlformats-package.relationships+xml"/>
  <Override PartName="/xl/drawings/_rels/drawing10.xml.rels" ContentType="application/vnd.openxmlformats-package.relationships+xml"/>
  <Override PartName="/xl/drawings/_rels/drawing11.xml.rels" ContentType="application/vnd.openxmlformats-package.relationships+xml"/>
  <Override PartName="/xl/drawings/_rels/drawing12.xml.rels" ContentType="application/vnd.openxmlformats-package.relationships+xml"/>
  <Override PartName="/xl/drawings/_rels/drawing13.xml.rels" ContentType="application/vnd.openxmlformats-package.relationships+xml"/>
  <Override PartName="/xl/drawings/_rels/drawing14.xml.rels" ContentType="application/vnd.openxmlformats-package.relationships+xml"/>
  <Override PartName="/xl/drawings/_rels/drawing15.xml.rels" ContentType="application/vnd.openxmlformats-package.relationships+xml"/>
  <Override PartName="/xl/drawings/_rels/drawing16.xml.rels" ContentType="application/vnd.openxmlformats-package.relationships+xml"/>
  <Override PartName="/xl/drawings/_rels/drawing17.xml.rels" ContentType="application/vnd.openxmlformats-package.relationships+xml"/>
  <Override PartName="/xl/drawings/_rels/drawing18.xml.rels" ContentType="application/vnd.openxmlformats-package.relationships+xml"/>
  <Override PartName="/xl/drawings/_rels/drawing19.xml.rels" ContentType="application/vnd.openxmlformats-package.relationships+xml"/>
  <Override PartName="/xl/drawings/_rels/drawing20.xml.rels" ContentType="application/vnd.openxmlformats-package.relationships+xml"/>
  <Override PartName="/xl/drawings/_rels/drawing2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8"/>
  </bookViews>
  <sheets>
    <sheet name="Ocorrências Mensais - FAT" sheetId="1" state="hidden" r:id="rId2"/>
    <sheet name="INSTRUÇÕES" sheetId="2" state="visible" r:id="rId3"/>
    <sheet name="Dados" sheetId="3" state="visible" r:id="rId4"/>
    <sheet name="Encargos" sheetId="4" state="visible" r:id="rId5"/>
    <sheet name="Mat" sheetId="5" state="visible" r:id="rId6"/>
    <sheet name="Equip" sheetId="6" state="visible" r:id="rId7"/>
    <sheet name="Unif" sheetId="7" state="visible" r:id="rId8"/>
    <sheet name="Custo Substituto" sheetId="8" state="visible" r:id="rId9"/>
    <sheet name="Resumo" sheetId="9" state="visible" r:id="rId10"/>
    <sheet name="Garçom 220" sheetId="10" state="visible" r:id="rId11"/>
    <sheet name="Zelador ac. lavador carro" sheetId="11" state="visible" r:id="rId12"/>
    <sheet name="Encarregado Geral" sheetId="12" state="visible" r:id="rId13"/>
    <sheet name="Aux. Administrativo 150" sheetId="13" state="visible" r:id="rId14"/>
    <sheet name="Recepcionista 150" sheetId="14" state="visible" r:id="rId15"/>
    <sheet name="Recepcionista 220" sheetId="15" state="visible" r:id="rId16"/>
    <sheet name="Aux. Op. Carga" sheetId="16" state="visible" r:id="rId17"/>
    <sheet name="Jardineiro" sheetId="17" state="visible" r:id="rId18"/>
    <sheet name="Limpador de Vidro" sheetId="18" state="visible" r:id="rId19"/>
    <sheet name="Serv Ins 150" sheetId="19" state="visible" r:id="rId20"/>
    <sheet name="Servente 220" sheetId="20" state="visible" r:id="rId21"/>
    <sheet name="IPCA" sheetId="21" state="hidden" r:id="rId22"/>
  </sheets>
  <definedNames>
    <definedName function="false" hidden="false" localSheetId="12" name="_xlnm.Print_Area" vbProcedure="false">'Aux. Administrativo 150'!$A$1:$J$46</definedName>
    <definedName function="false" hidden="false" localSheetId="15" name="_xlnm.Print_Area" vbProcedure="false">'Aux. Op. Carga'!$A$1:$J$46</definedName>
    <definedName function="false" hidden="false" localSheetId="2" name="_xlnm.Print_Area" vbProcedure="false">Dados!$A$1:$U$64</definedName>
    <definedName function="false" hidden="false" localSheetId="3" name="_xlnm.Print_Area" vbProcedure="false">Encargos!$A$1:$C$59</definedName>
    <definedName function="false" hidden="false" localSheetId="11" name="_xlnm.Print_Area" vbProcedure="false">'Encarregado Geral'!$A$1:$J$46</definedName>
    <definedName function="false" hidden="false" localSheetId="9" name="_xlnm.Print_Area" vbProcedure="false">'Garçom 220'!$A$1:$J$46</definedName>
    <definedName function="false" hidden="false" localSheetId="16" name="_xlnm.Print_Area" vbProcedure="false">Jardineiro!$A$1:$J$46</definedName>
    <definedName function="false" hidden="false" localSheetId="17" name="_xlnm.Print_Area" vbProcedure="false">'Limpador de Vidro'!$A$1:$J$46</definedName>
    <definedName function="false" hidden="false" localSheetId="4" name="_xlnm.Print_Area" vbProcedure="false">Mat!$A$1:$L$74</definedName>
    <definedName function="false" hidden="false" localSheetId="13" name="_xlnm.Print_Area" vbProcedure="false">'Recepcionista 150'!$A$1:$J$46</definedName>
    <definedName function="false" hidden="false" localSheetId="14" name="_xlnm.Print_Area" vbProcedure="false">'Recepcionista 220'!$A$1:$J$46</definedName>
    <definedName function="false" hidden="false" localSheetId="8" name="_xlnm.Print_Area" vbProcedure="false">Resumo!$A$1:$W$28</definedName>
    <definedName function="false" hidden="false" localSheetId="18" name="_xlnm.Print_Area" vbProcedure="false">'Serv Ins 150'!$A$1:$J$46</definedName>
    <definedName function="false" hidden="false" localSheetId="19" name="_xlnm.Print_Area" vbProcedure="false">'Servente 220'!$A$1:$J$46</definedName>
    <definedName function="false" hidden="false" localSheetId="6" name="_xlnm.Print_Area" vbProcedure="false">Unif!$A$1:$H$33</definedName>
    <definedName function="false" hidden="false" localSheetId="10" name="_xlnm.Print_Area" vbProcedure="false">'Zelador ac. lavador carro'!$A$1:$J$46</definedName>
    <definedName function="false" hidden="false" name="BS" vbProcedure="false">NA()</definedName>
    <definedName function="false" hidden="false" name="BT" vbProcedure="false">NA()</definedName>
    <definedName function="false" hidden="false" name="CIDADE" vbProcedure="false">NA()</definedName>
    <definedName function="false" hidden="false" name="CIDADES" vbProcedure="false">NA()</definedName>
    <definedName function="false" hidden="false" name="CPMF" vbProcedure="false">NA()</definedName>
    <definedName function="false" hidden="false" name="d" vbProcedure="false">NA()</definedName>
    <definedName function="false" hidden="false" name="ENCARGOS" vbProcedure="false">NA()</definedName>
    <definedName function="false" hidden="false" name="Excel_BuiltIn_Print_Area_1_1" vbProcedure="false">"$#REF!.$A$2:$C$99"</definedName>
    <definedName function="false" hidden="false" name="Excel_BuiltIn_Print_Area_6_1" vbProcedure="false">NA()</definedName>
    <definedName function="false" hidden="false" name="Excel_BuiltIn_Print_Area_7_1" vbProcedure="false">NA()</definedName>
    <definedName function="false" hidden="false" name="Excel_BuiltIn_Print_Area_8_1" vbProcedure="false">NA()</definedName>
    <definedName function="false" hidden="false" name="Excel_BuiltIn_Print_Area_9_1" vbProcedure="false">NA()</definedName>
    <definedName function="false" hidden="false" name="ISS" vbProcedure="false">NA()</definedName>
    <definedName function="false" hidden="false" name="Jornada" vbProcedure="false">NA()</definedName>
    <definedName function="false" hidden="false" name="TERRIT" vbProcedure="false">NA()</definedName>
    <definedName function="false" hidden="false" name="Tipo_de_Joranda_de_Trabalho" vbProcedure="false">NA()</definedName>
    <definedName function="false" hidden="false" name="TP_SERV" vbProcedure="false">NA()</definedName>
    <definedName function="false" hidden="false" name="TP_SERVPERC" vbProcedure="false">NA()</definedName>
    <definedName function="false" hidden="false" name="VRSELEC" vbProcedure="false">NA()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<sst xmlns="http://schemas.openxmlformats.org/spreadsheetml/2006/main" count="2120" uniqueCount="757">
  <si>
    <t xml:space="preserve">OCORRÊNCIAS MENSAIS DO FATURAMENTO </t>
  </si>
  <si>
    <t xml:space="preserve">UTILIZAÇÃO DO GESTOR CONTRATUAL PARA REALIZAÇÃO DO FATURAMENTO MENSAL</t>
  </si>
  <si>
    <t xml:space="preserve">DEFINIR VERSÃO DE APRESENTAÇÃO:</t>
  </si>
  <si>
    <t xml:space="preserve">PLANILHA PARA LICITAÇÃO (PRECIFICAÇÃO)</t>
  </si>
  <si>
    <t xml:space="preserve">DEFINIR BASE DE DESCONTOS/GLOSAS:</t>
  </si>
  <si>
    <t xml:space="preserve">MÊS CONTÁBIL</t>
  </si>
  <si>
    <r>
      <rPr>
        <b val="true"/>
        <sz val="10"/>
        <rFont val="Calibri"/>
        <family val="2"/>
        <charset val="1"/>
      </rPr>
      <t xml:space="preserve">INSTRUÇÕES DE PREENCHIMENTO
UTILIZAÇÃO EXCLUSIVA FISCAL/GESTOR
PARA AUXILIAR NO VALOR DE FATURAMENTO
Preencher as células destacadas na cor </t>
    </r>
    <r>
      <rPr>
        <b val="true"/>
        <sz val="10"/>
        <color rgb="FFFF0000"/>
        <rFont val="Calibri"/>
        <family val="2"/>
        <charset val="1"/>
      </rPr>
      <t xml:space="preserve">vermelha</t>
    </r>
    <r>
      <rPr>
        <b val="true"/>
        <sz val="10"/>
        <rFont val="Calibri"/>
        <family val="2"/>
        <charset val="1"/>
      </rPr>
      <t xml:space="preserve"> para realização dos cálculos das demais abas.
Não é necessário preenchimento de outras abas.</t>
    </r>
  </si>
  <si>
    <t xml:space="preserve">Informar número de Postos que não utilizam V.T.
(Coluna "D")</t>
  </si>
  <si>
    <t xml:space="preserve">Informar se titular do posto é optante pelo recebimento de V.T.
(Coluna "E")</t>
  </si>
  <si>
    <t xml:space="preserve">Desconto automático de V.T.
(Coluna "F")</t>
  </si>
  <si>
    <t xml:space="preserve">Preencher o número de dias (corridos) que o terceirizado que não recebe vt ficou afastado por férias ou faltas
(Coluna "G")</t>
  </si>
  <si>
    <t xml:space="preserve">Preencher nº de dias úteis em que o optante de V.T realizou trabalho em Home Office OU dias de Recesso Forense / Ponto facultativo
(Coluna "H")</t>
  </si>
  <si>
    <t xml:space="preserve">Conversão das horas de ausência em dias de ausência
(Coluna "I")</t>
  </si>
  <si>
    <t xml:space="preserve">Conversão das horas de ausência em dias de ausência
(Coluna "J")</t>
  </si>
  <si>
    <t xml:space="preserve">Nº dias de faltas comuns sem substituição.
(Coluna "K")</t>
  </si>
  <si>
    <t xml:space="preserve">Informar número de dias por férias no mês (dias)
(Coluna "L")</t>
  </si>
  <si>
    <t xml:space="preserve">Desconto de V.A. por dias de recesso forense e/ou ponto facultativo.
(Coluna "M")</t>
  </si>
  <si>
    <t xml:space="preserve">Nº de dias corridos de férias sem substituição quando o adicional de insalubridade é passado para outra servente do quadro.
(Coluna "N")</t>
  </si>
  <si>
    <t xml:space="preserve">Somatório de glosas.
(Coluna "O")</t>
  </si>
  <si>
    <t xml:space="preserve">Somatório de acrésimo por substituição do posto insalubre por outro profissional do quadro.
(Coluna "P")</t>
  </si>
  <si>
    <t xml:space="preserve">Informativo sobre valor faturado por tipo de função.
(Coluna "Q")</t>
  </si>
  <si>
    <t xml:space="preserve">Valores correspondentes ao fornecimento de materiais e epis.
(incluindo impostos)
(Coluna "R")</t>
  </si>
  <si>
    <t xml:space="preserve">Informar código de elemento de despesa
(Coluna "S")</t>
  </si>
  <si>
    <t xml:space="preserve">INFORMATIVO PARA GESTÃO CONTRATUAL</t>
  </si>
  <si>
    <t xml:space="preserve">Quant</t>
  </si>
  <si>
    <t xml:space="preserve">Descrição das Categorias</t>
  </si>
  <si>
    <t xml:space="preserve">Carga Horária (horas)</t>
  </si>
  <si>
    <t xml:space="preserve">Nº Postos não optantes pelo recebimento de V.T.</t>
  </si>
  <si>
    <t xml:space="preserve">Realizar glosa por não fornecimento de V.T.?</t>
  </si>
  <si>
    <t xml:space="preserve">Dias de
Glosa V.T.
Para Não Optantes</t>
  </si>
  <si>
    <t xml:space="preserve">Ajuste de V.T para fornecimento para
postos Não Optantes</t>
  </si>
  <si>
    <t xml:space="preserve">Dias de Home Office OU Recesso para os postos Optantes de V.T.</t>
  </si>
  <si>
    <t xml:space="preserve">Dias de faltas após conversão das horas
(planilha auxiliar)</t>
  </si>
  <si>
    <t xml:space="preserve">Quant. Atrasos e Faltas</t>
  </si>
  <si>
    <t xml:space="preserve">Dias de Férias</t>
  </si>
  <si>
    <t xml:space="preserve">Dias de Glosas de V.A no Mês</t>
  </si>
  <si>
    <t xml:space="preserve">*1 Dias de Deslocamento de Insalubridade</t>
  </si>
  <si>
    <t xml:space="preserve">VALOR TOTAL GLOSADO</t>
  </si>
  <si>
    <t xml:space="preserve">VALOR TOTAL ACRESCIDO</t>
  </si>
  <si>
    <t xml:space="preserve">Valor Mensal 
Faturado com aplicação de descontos</t>
  </si>
  <si>
    <t xml:space="preserve">VALOR TOTAL INSUMOS FORNECIDOS NO MÊS.</t>
  </si>
  <si>
    <t xml:space="preserve">Elemento de Despesa </t>
  </si>
  <si>
    <t xml:space="preserve">VALOR DE RETENÇÃO CONTA VINCULADA</t>
  </si>
  <si>
    <t xml:space="preserve">CÓDIGOS ELEMENTO DE DESPESA</t>
  </si>
  <si>
    <t xml:space="preserve">FATURAMENTO MENSAL</t>
  </si>
  <si>
    <t xml:space="preserve">RETENÇÃO 
GLOSA CONTA VINCULADA
(VERIFICAR NECESSIDADE)</t>
  </si>
  <si>
    <t xml:space="preserve">SIM</t>
  </si>
  <si>
    <t xml:space="preserve">ELEMENTO 1</t>
  </si>
  <si>
    <t xml:space="preserve">ELEMENTO 4</t>
  </si>
  <si>
    <t xml:space="preserve">ELEMENTO 2</t>
  </si>
  <si>
    <t xml:space="preserve">ELEMENTO 5</t>
  </si>
  <si>
    <t xml:space="preserve">VALOR TOTAL GLOSADOS</t>
  </si>
  <si>
    <t xml:space="preserve">OBSERVAÇÕES:</t>
  </si>
  <si>
    <t xml:space="preserve">1. Para apoio ao lançamento de ausências de horas, sugere-se a utilização da planilha complementar abaixo. O preenchimento das horas convertidas deve ocorrer na Coluna "I".</t>
  </si>
  <si>
    <t xml:space="preserve">Planilha auxiliar para conversão de horas de ausências em dias de faltas. (preenchimento coluna "I")</t>
  </si>
  <si>
    <t xml:space="preserve">Jornada</t>
  </si>
  <si>
    <t xml:space="preserve">Total de Horas</t>
  </si>
  <si>
    <t xml:space="preserve">Total de Minutos</t>
  </si>
  <si>
    <t xml:space="preserve">Conversão em Dias</t>
  </si>
  <si>
    <t xml:space="preserve">Obs: Informar a jornada de trabalho do posto analisado. Em sequência, informar as horas completas faltantes e posteriormente os minutos. Ex: 10:25h faltantes - Lançar 10 na célula "D26" e lançar 25 na célula "E26".
Lançar o resultado convertido na coluna "H".</t>
  </si>
  <si>
    <t xml:space="preserve">2. Na célula “N18” deverá ser informado a quantidade de dias em que o trabalho insalubre foi realizado por outra servente do quadro, durante as férias da Servente de Limpeza 40% insalubre - titular.</t>
  </si>
  <si>
    <t xml:space="preserve">ITEM</t>
  </si>
  <si>
    <t xml:space="preserve">DESCRIÇÃO DO MATERIAL DE IMPEZA
SERVENTES DE LIMPEZA</t>
  </si>
  <si>
    <t xml:space="preserve">GASTO MENSAL</t>
  </si>
  <si>
    <r>
      <rPr>
        <b val="true"/>
        <u val="single"/>
        <sz val="10"/>
        <rFont val="Calibri"/>
        <family val="2"/>
        <charset val="1"/>
      </rPr>
      <t xml:space="preserve">ANÁLISE CRÍTICA </t>
    </r>
    <r>
      <rPr>
        <b val="true"/>
        <sz val="10"/>
        <rFont val="Calibri"/>
        <family val="2"/>
        <charset val="1"/>
      </rPr>
      <t xml:space="preserve">SOBRE O FORNECIMENTO DOS MATERIAIS
ESTIMATIVA MENSAL x FORNECIMENTO EFETIVO
(INFORMAÇÃO COMO PARÂMETRO DE INDICATIVO)</t>
    </r>
  </si>
  <si>
    <t xml:space="preserve">REFERÊNCIA MENSAL PARA FORNECIMENTO</t>
  </si>
  <si>
    <t xml:space="preserve">VALORES UNITÁRIOS DO CONTRATO, CORRIGIDOS PELO REAJUSTE DE IPCA.
(SUBSTITUIR/IGUALAR MANUALMENTE OS PREÇOS UNITÁRIOS DA COLUNA "R" NA PLANILHA DE MATERIAIS - QUANDO HOUVER PLANIHA INICIAL DO CONTRATO)</t>
  </si>
  <si>
    <t xml:space="preserve">Material</t>
  </si>
  <si>
    <t xml:space="preserve">Unid.</t>
  </si>
  <si>
    <t xml:space="preserve">Marcas de Referência</t>
  </si>
  <si>
    <t xml:space="preserve">QNTDE "REAL" FORNECIDA
NO MÊS</t>
  </si>
  <si>
    <t xml:space="preserve">Custo Mensal</t>
  </si>
  <si>
    <t xml:space="preserve">Quantidade Mensal</t>
  </si>
  <si>
    <t xml:space="preserve">Quantidade Total</t>
  </si>
  <si>
    <t xml:space="preserve">Periodicidade</t>
  </si>
  <si>
    <t xml:space="preserve">Divisor</t>
  </si>
  <si>
    <t xml:space="preserve">VALOR INICIAL DO CONTRATO
(Informar após o término da licitação)</t>
  </si>
  <si>
    <t xml:space="preserve">1º REAJUSTE POR IPCA</t>
  </si>
  <si>
    <t xml:space="preserve">2º REAJUSTE POR IPCA</t>
  </si>
  <si>
    <t xml:space="preserve">3º REAJUSTE POR IPCA</t>
  </si>
  <si>
    <t xml:space="preserve">4º REAJUSTE POR IPCA</t>
  </si>
  <si>
    <t xml:space="preserve">5º REAJUSTE POR IPCA</t>
  </si>
  <si>
    <t xml:space="preserve">Fórmula SE, para inclusão após o término do processo licitatório. (INSERIR NA CÉLULA "G9" em diante)</t>
  </si>
  <si>
    <t xml:space="preserve">Álcool em gel 70% 5L</t>
  </si>
  <si>
    <t xml:space="preserve">galão</t>
  </si>
  <si>
    <t xml:space="preserve">Álcool líquido 70% 1L</t>
  </si>
  <si>
    <t xml:space="preserve">unid.</t>
  </si>
  <si>
    <t xml:space="preserve">Balde com escorredor, limpeza de vidros, 25L</t>
  </si>
  <si>
    <t xml:space="preserve">Brialimpia ou similar</t>
  </si>
  <si>
    <t xml:space="preserve">Balde de 08 litros</t>
  </si>
  <si>
    <t xml:space="preserve">Balde de 20 litros</t>
  </si>
  <si>
    <t xml:space="preserve">Cera bravo incolor ou similar, 5L</t>
  </si>
  <si>
    <t xml:space="preserve">Desentupidor de pia</t>
  </si>
  <si>
    <t xml:space="preserve">Desentupidor de vaso sanitário</t>
  </si>
  <si>
    <t xml:space="preserve">Desinfetante floral concentrado, tipo Desimax ou similar, 5L</t>
  </si>
  <si>
    <t xml:space="preserve">Detergente líquido neutro 500 ml </t>
  </si>
  <si>
    <t xml:space="preserve">Limpol ou Ypê</t>
  </si>
  <si>
    <t xml:space="preserve">Escort verde Shuller, ou similar 300</t>
  </si>
  <si>
    <t xml:space="preserve">Escort verde Shuller, ou similar 350 (disco verde)</t>
  </si>
  <si>
    <t xml:space="preserve">Escova de nylon p/ lavar roupa</t>
  </si>
  <si>
    <t xml:space="preserve">Escova p/Shuller, ou similar, 300</t>
  </si>
  <si>
    <t xml:space="preserve">Escova p/Shuller, ou similar, 350</t>
  </si>
  <si>
    <t xml:space="preserve">Esponja dupla face </t>
  </si>
  <si>
    <t xml:space="preserve">Estaloque de madeira p/Shuller, ou similar 300 (suporte de madeira)</t>
  </si>
  <si>
    <t xml:space="preserve">Estaloque de madeira p/Shuller, ou similar 350 (suporte de madeira)</t>
  </si>
  <si>
    <t xml:space="preserve">Filtro pano para aspirador</t>
  </si>
  <si>
    <t xml:space="preserve">Flanela branca 38 x 58cm</t>
  </si>
  <si>
    <t xml:space="preserve">Lã de aço - pacote com 8 unidades</t>
  </si>
  <si>
    <t xml:space="preserve">pacote</t>
  </si>
  <si>
    <t xml:space="preserve">Bombril</t>
  </si>
  <si>
    <t xml:space="preserve">Limpador clorado concentrado ou similar, 5L</t>
  </si>
  <si>
    <t xml:space="preserve">Limpa metal tipo Brasso ou similar, frasco 200ml</t>
  </si>
  <si>
    <t xml:space="preserve">Limpador multiuso concentrado limpeza pesada, 500ml</t>
  </si>
  <si>
    <t xml:space="preserve">Lustra móveis 200 ml </t>
  </si>
  <si>
    <t xml:space="preserve">Poliflor</t>
  </si>
  <si>
    <t xml:space="preserve">Luva de látex forrada de boa qualidade (tamanho G)</t>
  </si>
  <si>
    <t xml:space="preserve">par</t>
  </si>
  <si>
    <t xml:space="preserve">Luva de látex forrada de boa qualidade (tamanho M)</t>
  </si>
  <si>
    <t xml:space="preserve">Multiuso 500 ml </t>
  </si>
  <si>
    <t xml:space="preserve">Veja</t>
  </si>
  <si>
    <t xml:space="preserve">Pá para lixo cabo de 70cm (metal)</t>
  </si>
  <si>
    <t xml:space="preserve">Papel higiênico branco, folha dupla neutro, 30m, fardo com 64 rolos</t>
  </si>
  <si>
    <t xml:space="preserve">fardo</t>
  </si>
  <si>
    <t xml:space="preserve">Personal ou Neve</t>
  </si>
  <si>
    <t xml:space="preserve">Papel higiênico branco 300m</t>
  </si>
  <si>
    <t xml:space="preserve">rolo</t>
  </si>
  <si>
    <t xml:space="preserve">Papel toalha branco 20 x 20,7 fardo c/ 1.000 fls de 1º qualidade </t>
  </si>
  <si>
    <t xml:space="preserve">Economy ou similar</t>
  </si>
  <si>
    <t xml:space="preserve">Pasta rosa multiuso 500g</t>
  </si>
  <si>
    <t xml:space="preserve">Cristal</t>
  </si>
  <si>
    <t xml:space="preserve">Pulverizador borrifador de pressão acumulada 1,5l western pv 20</t>
  </si>
  <si>
    <t xml:space="preserve">Refil de encaixe de rosca para mop</t>
  </si>
  <si>
    <t xml:space="preserve">Refil para mop pó 60cm</t>
  </si>
  <si>
    <t xml:space="preserve">Removedor diluído 1x20</t>
  </si>
  <si>
    <t xml:space="preserve">litro</t>
  </si>
  <si>
    <t xml:space="preserve">Brutus ou similar</t>
  </si>
  <si>
    <t xml:space="preserve">Rodo de borracha 40 cm, dupla borracha, com cabo longo</t>
  </si>
  <si>
    <t xml:space="preserve">Rodo de borracha 60cm, dupla borracha, com cabo longo metal</t>
  </si>
  <si>
    <t xml:space="preserve">Sabão em barra 200 gr. </t>
  </si>
  <si>
    <t xml:space="preserve">Ypê ou Minuano</t>
  </si>
  <si>
    <t xml:space="preserve">Sabão em pó 5 Kg </t>
  </si>
  <si>
    <t xml:space="preserve">OMO ou POP</t>
  </si>
  <si>
    <t xml:space="preserve">Sabonete Líquido erva doce galão 5L</t>
  </si>
  <si>
    <t xml:space="preserve">Sabonete Líquido erva doce 800ml</t>
  </si>
  <si>
    <t xml:space="preserve">Saco de algodão alvejado 80 x 60, 24 batidas, pano de chão </t>
  </si>
  <si>
    <t xml:space="preserve">Saco de lixo 100L, cores sortidas no padrão previsto para coletas seletivas</t>
  </si>
  <si>
    <t xml:space="preserve">cento</t>
  </si>
  <si>
    <t xml:space="preserve">Saco de lixo 20L, cores sortidas no padrão previsto para coletas seletivas</t>
  </si>
  <si>
    <t xml:space="preserve">Saco de lixo 40L, cores sortidas no padrão previsto para coletas seletivas</t>
  </si>
  <si>
    <t xml:space="preserve">Saco de lixo 60L, cores sortidas no padrão previsto para coletas seletivas</t>
  </si>
  <si>
    <t xml:space="preserve">Vaselina líquida - 1L</t>
  </si>
  <si>
    <t xml:space="preserve">Vassoura de pelo 40 cm</t>
  </si>
  <si>
    <t xml:space="preserve">Vassoura gari Vonder VD600 c/cabo plastificado</t>
  </si>
  <si>
    <t xml:space="preserve">Vassoura limpa teto</t>
  </si>
  <si>
    <t xml:space="preserve">Vassoura piaçava</t>
  </si>
  <si>
    <t xml:space="preserve">Vassoura redonda p/ vaso sanitário c/suporte</t>
  </si>
  <si>
    <t xml:space="preserve">DESPESA MENSAL</t>
  </si>
  <si>
    <t xml:space="preserve">TAXA ADMINISTRATIVA</t>
  </si>
  <si>
    <t xml:space="preserve">LUCRO</t>
  </si>
  <si>
    <t xml:space="preserve">TRIBUTOS</t>
  </si>
  <si>
    <t xml:space="preserve">VALOR TOTAL COM MATERIAIS DE LIMPEZA</t>
  </si>
  <si>
    <t xml:space="preserve">MATERIAIS DE LIMPEZA DE VIDRO</t>
  </si>
  <si>
    <t xml:space="preserve">Luva 35cm do Kit limpador de vidro</t>
  </si>
  <si>
    <t xml:space="preserve">unid</t>
  </si>
  <si>
    <t xml:space="preserve">Kit limpador de vidro c/ extensão telescópia 1 a 3 mestros</t>
  </si>
  <si>
    <t xml:space="preserve">Braslimpa</t>
  </si>
  <si>
    <t xml:space="preserve">Limpa vidros concentrado - 5L</t>
  </si>
  <si>
    <t xml:space="preserve">Vidrolux ou similar</t>
  </si>
  <si>
    <t xml:space="preserve">VALOR TOTAL COM MATERIAIS DE LIMPEZA DE VIDRO</t>
  </si>
  <si>
    <t xml:space="preserve">MATERIAIS DE LIMPEZA DE COPA</t>
  </si>
  <si>
    <t xml:space="preserve">Brilho alumínio - frasco 500ml</t>
  </si>
  <si>
    <t xml:space="preserve">Coador de pano para café, diâmetro 50cm - (cafeteira elétrica de 50 litros)</t>
  </si>
  <si>
    <t xml:space="preserve">Guardanapo papel fl. Simples branco, grande, 33x30 ou similar</t>
  </si>
  <si>
    <t xml:space="preserve">Luva latex (pode ser higienizada)</t>
  </si>
  <si>
    <t xml:space="preserve">Pano de prato branco liso</t>
  </si>
  <si>
    <t xml:space="preserve">Touca descartável (100 unid.)</t>
  </si>
  <si>
    <t xml:space="preserve">VALOR TOTAL COM MATERIAIS DE COPA</t>
  </si>
  <si>
    <t xml:space="preserve">MATERIAIS DE JARDINEIRO</t>
  </si>
  <si>
    <t xml:space="preserve">Adubo marca Heringer ou similar - 52kg - 10/10</t>
  </si>
  <si>
    <t xml:space="preserve">Calcário Dolomítico - saco 50kg</t>
  </si>
  <si>
    <t xml:space="preserve">Capa de chuva em PVC, com capuz, manga comprida e fechamento frontal</t>
  </si>
  <si>
    <t xml:space="preserve">Combustível para abastecimento da roçadeira - gasolina</t>
  </si>
  <si>
    <t xml:space="preserve">Formidrin 400, ou similiar, granulado 500grs</t>
  </si>
  <si>
    <t xml:space="preserve">Formidin 400P, ou similar, pó</t>
  </si>
  <si>
    <t xml:space="preserve">kg</t>
  </si>
  <si>
    <t xml:space="preserve">Glifosato P.U., Roundup ou similar, 1L</t>
  </si>
  <si>
    <t xml:space="preserve">Luva em latéx natural e Neoprene, flocada, palma antiderrapante</t>
  </si>
  <si>
    <t xml:space="preserve">Óleo lubrificante para roçadeira, 500ml</t>
  </si>
  <si>
    <t xml:space="preserve">Óleo mineral Assist., ou similar, 1L</t>
  </si>
  <si>
    <t xml:space="preserve">Terra preparada - saco 25% (condicionador de solo)</t>
  </si>
  <si>
    <t xml:space="preserve">VALOR TOTAL COM MATERIAIS DE JARDINEIRO</t>
  </si>
  <si>
    <t xml:space="preserve">MATERIAIS DE LIMPEZA DE VEÍCULO</t>
  </si>
  <si>
    <t xml:space="preserve">Cera automotivo 200gr</t>
  </si>
  <si>
    <t xml:space="preserve">Estopa - pacote 500gr</t>
  </si>
  <si>
    <t xml:space="preserve">Shampoo para lavar veículo - 1L</t>
  </si>
  <si>
    <t xml:space="preserve">Silicone líquido 100ml</t>
  </si>
  <si>
    <t xml:space="preserve">VALOR TOTAL COM MATERIAIS DE LIMPEZA DE VEÍCULO</t>
  </si>
  <si>
    <t xml:space="preserve">LISTA PARA OPÇÕES DE GLOSAS</t>
  </si>
  <si>
    <t xml:space="preserve">DIAS ÚTEIS (CONTRATO)</t>
  </si>
  <si>
    <t xml:space="preserve">Obs: Desconto por dias definidos em contrato.</t>
  </si>
  <si>
    <t xml:space="preserve">Obs: Desconto atualmente aplicado (30 dias corridos).</t>
  </si>
  <si>
    <t xml:space="preserve">DIAS DO MÊS VIGENTE</t>
  </si>
  <si>
    <t xml:space="preserve">Informar</t>
  </si>
  <si>
    <t xml:space="preserve">Obs: Desconto por dias úteis mensais, ocorrência variável, devendo ser informado mensalmente.</t>
  </si>
  <si>
    <t xml:space="preserve">JORNADA DE TRABALHO</t>
  </si>
  <si>
    <t xml:space="preserve">DIVISOR DE HORAS</t>
  </si>
  <si>
    <t xml:space="preserve">LISTA PARA TOTAL DE POSTOS</t>
  </si>
  <si>
    <t xml:space="preserve">Tribunal Regional Federal da 6ª Região</t>
  </si>
  <si>
    <t xml:space="preserve">Seção Judiciária de Minas Gerais</t>
  </si>
  <si>
    <t xml:space="preserve">Subseção Judiciária de Juiz de Fora</t>
  </si>
  <si>
    <t xml:space="preserve">INSTRUÇÕES DE PREENCHIMENTO - ANEXO II - PLANILHAS DE COMPOSIÇÃO DE CUSTOS</t>
  </si>
  <si>
    <t xml:space="preserve">1.</t>
  </si>
  <si>
    <t xml:space="preserve">SOMENTE SERÃO ACEITAS MODIFICAÇÕES NAS CÉLULAS DESTACADAS NA COR AMARELA COMO NO EXEMPLO ABAIXO:</t>
  </si>
  <si>
    <t xml:space="preserve">Células de livre edição.</t>
  </si>
  <si>
    <t xml:space="preserve">2.</t>
  </si>
  <si>
    <r>
      <rPr>
        <sz val="10"/>
        <rFont val="Calibri"/>
        <family val="2"/>
        <charset val="1"/>
      </rPr>
      <t xml:space="preserve">As demais células estarão </t>
    </r>
    <r>
      <rPr>
        <b val="true"/>
        <sz val="10"/>
        <rFont val="Calibri"/>
        <family val="2"/>
        <charset val="1"/>
      </rPr>
      <t xml:space="preserve">bloqueadas</t>
    </r>
    <r>
      <rPr>
        <sz val="10"/>
        <rFont val="Calibri"/>
        <family val="2"/>
        <charset val="1"/>
      </rPr>
      <t xml:space="preserve"> para edição das licitantes.</t>
    </r>
  </si>
  <si>
    <t xml:space="preserve">3.</t>
  </si>
  <si>
    <t xml:space="preserve">As Abas necessárias para o preenchimento estão organizadas em uma sequência lógica, sendo Dados; Encargos; Materiais (limpeza, copa, etc.); Equipamentos; Uniforme.</t>
  </si>
  <si>
    <t xml:space="preserve">Os nomes das abas estarão abreviados para otimização da planilha.</t>
  </si>
  <si>
    <r>
      <rPr>
        <b val="true"/>
        <sz val="10"/>
        <rFont val="Calibri"/>
        <family val="2"/>
        <charset val="1"/>
      </rPr>
      <t xml:space="preserve">Sugere-se o preenchimento das seguintes abas em sequência: </t>
    </r>
    <r>
      <rPr>
        <sz val="10"/>
        <rFont val="Calibri"/>
        <family val="2"/>
        <charset val="1"/>
      </rPr>
      <t xml:space="preserve">Dados, Encargos, Materiais, EPI, Equipamentos e Uniforme, para a realização de cálculos completa da planilha de composição de custos.</t>
    </r>
  </si>
  <si>
    <t xml:space="preserve">3.1</t>
  </si>
  <si>
    <t xml:space="preserve">Estas Abas estarão destacadas na Cor Amarela.</t>
  </si>
  <si>
    <t xml:space="preserve">3.2</t>
  </si>
  <si>
    <t xml:space="preserve">PREENCHIMENTO ABA "DADOS"</t>
  </si>
  <si>
    <t xml:space="preserve"> - Informar piso salarial de cada categoria, correspondente à jornada de 220h. (Células "E7":"E17").</t>
  </si>
  <si>
    <t xml:space="preserve"> - Informar o percentual de acúmulo de função a ser aplicado. (Célula "I15").</t>
  </si>
  <si>
    <t xml:space="preserve"> - Informar o percentual correspondente ao tempo de execução da atividade acumulada. (Célula "J15").</t>
  </si>
  <si>
    <t xml:space="preserve"> - Informar o salário base para cálculo da atividade acumulada. (Célula "K15").</t>
  </si>
  <si>
    <t xml:space="preserve"> - Informar os Dados da Apresentação da Proposta e relacionados à Convenção Coletiva de Trabalho. Tais informações não interferem na execução de cálculos, servem apenas para instruir o processo da análise da proposta. (Células "E21:E24").</t>
  </si>
  <si>
    <t xml:space="preserve"> - Informar o percentual correspondente ao RAT, conforme atividade principal da licitante. (Célula "G30").</t>
  </si>
  <si>
    <t xml:space="preserve"> - Informar o fator correspondente ao FAP, conforme extraído do relatório FapWeb. (Célula "G31").</t>
  </si>
  <si>
    <t xml:space="preserve"> - Informar o valor do salário mínimo nacional vigente (base de cálculo para a cotação de insalubridade). (Célula "G34").</t>
  </si>
  <si>
    <t xml:space="preserve"> - Informar o valor unitário do Seguro de Vida, nos casos exigidos, conforme legislação vigente. (Célula "G37").</t>
  </si>
  <si>
    <t xml:space="preserve"> - Informar o valor unitário do Programa de Assistência Familiar - PAF, nos casos exigidos, conforme legislação vigente. (Célula "G38").</t>
  </si>
  <si>
    <t xml:space="preserve"> - Informar o valor unitário da tarifa de transporte público vigente à data de apresentação da proposta, conforme legislação vigente. (Célula "G39").</t>
  </si>
  <si>
    <t xml:space="preserve"> - Informar o quantitativo unitário diário de tarifas de transporte público (ex.: 1 tarifa para ida e 1 tarifa para volta = Total de 2 tarifas). (Célula "G40").</t>
  </si>
  <si>
    <t xml:space="preserve"> - Informar o percentual de desconto à título de participação do trabalhador em relação ao fornecimento de vale transporte, nos casos exigidos, conforme legislação vigente. (Célula "G42").</t>
  </si>
  <si>
    <t xml:space="preserve"> - Informar o valor unitário do ticket de Vale Alimentação, nos casos exigidos, conforme legislação vigente. (Célula "G43 e G44").</t>
  </si>
  <si>
    <t xml:space="preserve"> - Informar o percentual de desconto à título de participação do trabalhador em relação ao fornecimento de Vale Alimentação, nos casos exigidos, conforme legislação vigente. (Célula "G46").</t>
  </si>
  <si>
    <t xml:space="preserve"> - Incluir outros custos não previstos previamente, bem como descrevê-los, em caso de previsão legal, devendo ser apresentadas justificativas para a inserção. (Células "B47" e "G47").</t>
  </si>
  <si>
    <t xml:space="preserve"> - Incluir outros custos não previstos previamente, bem como descrevê-los, em caso de previsão legal, devendo ser apresentadas justificativas para a inserção. (Células "B48" e "G48").</t>
  </si>
  <si>
    <t xml:space="preserve"> - Informar o percentual relativo às Despesas Administrativas da licitante. (Células "G51").</t>
  </si>
  <si>
    <t xml:space="preserve"> - Informar o percentual relativo ao Lucro da licitante. (Células "G52").</t>
  </si>
  <si>
    <t xml:space="preserve"> - Informar a opção tributária da licitante (Células "F58") conforme legislação vigente, OBSERVANDO as instruções contantes na Célula "B55".</t>
  </si>
  <si>
    <t xml:space="preserve"> - Informar o percentual da alíquota COFINS (Células "G59") conforme legislação vigente, OBSERVANDO as instruções contantes na Célula "B55".</t>
  </si>
  <si>
    <t xml:space="preserve"> - Informar o percentual da alíquota PIS/PASEP (Células "G60") conforme legislação vigente, OBSERVANDO as instruções contantes na Célula "B55".</t>
  </si>
  <si>
    <t xml:space="preserve"> - Informar o percentual da alíquota ISSQN (Células "G61") conforme legislação vigente, OBSERVANDO as instruções contantes na Célula "B55".</t>
  </si>
  <si>
    <t xml:space="preserve"> - Informar o percentual da alíquota ISSQN (Células "G62") conforme legislação vigente, OBSERVANDO as instruções contantes na Célula "B55".</t>
  </si>
  <si>
    <t xml:space="preserve"> - Incluir outros impostos não inseridos previamente, bem como descrevê-los, em caso de previsão legal, devendo ser apresentadas justificativas para a inserção. (Células "B63" e "G62").</t>
  </si>
  <si>
    <t xml:space="preserve"> - Alterar SOMENTE aqueles destacados na COR AMARELA.</t>
  </si>
  <si>
    <t xml:space="preserve">3.3</t>
  </si>
  <si>
    <t xml:space="preserve">PREENCHIMENTO ABA "ENCARGOS"</t>
  </si>
  <si>
    <t xml:space="preserve"> - Informar os percentuais de encargos nas células destacadas em amarelo dispostas na "Coluna C", de acordo com sua descrição "Coluna B".</t>
  </si>
  <si>
    <t xml:space="preserve"> - Atentar-se às observações continuadas ao final do quadro de encargos (Célula "B59"), com as demais instruções cabíveis aos percentuais dispostos nesta Aba.</t>
  </si>
  <si>
    <t xml:space="preserve">3.4</t>
  </si>
  <si>
    <t xml:space="preserve">PREENCHIMENTO ABA "MATERIAIS"</t>
  </si>
  <si>
    <t xml:space="preserve"> - Informar os valores unitários de cada item nas células destacadas em amarelo dispostas na "Coluna F", de acordo com sua descrição "Colunas B:E".</t>
  </si>
  <si>
    <t xml:space="preserve"> - Atentar-se para o preenchimento de todos os quadros dispostos nesta Aba, sendo:</t>
  </si>
  <si>
    <t xml:space="preserve"> - Materiais de Limpeza (Células "F9:F63")</t>
  </si>
  <si>
    <t xml:space="preserve"> - Materiais de Limpador de Vidro (Células "F70:F72")</t>
  </si>
  <si>
    <t xml:space="preserve">- Materiais de Copa (Células "F79:F84")</t>
  </si>
  <si>
    <t xml:space="preserve">- Materiais de Jardineiro (Células "F91:F101")</t>
  </si>
  <si>
    <t xml:space="preserve">- Mateirias de Limpeza de Veículo (Células "F108:F111")</t>
  </si>
  <si>
    <t xml:space="preserve"> - O preenchimento das células da Coluna "H" está permitida somente para inserção de Observações, caso necessário.</t>
  </si>
  <si>
    <t xml:space="preserve">3.6</t>
  </si>
  <si>
    <t xml:space="preserve">PREENCHIMENTO ABA "EQUIPAMENTOS"</t>
  </si>
  <si>
    <t xml:space="preserve"> - Informar os valores unitários de cada item nas células destacadas em amarelo dispostas na "Coluna D", de acordo com sua descrição "Colunas B:C".</t>
  </si>
  <si>
    <t xml:space="preserve">3.7</t>
  </si>
  <si>
    <t xml:space="preserve">PREENCHIMENTO ABA "UNIFORMES"</t>
  </si>
  <si>
    <t xml:space="preserve"> - Informar os valores unitários de cada peça de uniforme nas células destacadas em amarelo dispostas na "Coluna G", de acordo com sua descrição "Colunas B:F".</t>
  </si>
  <si>
    <t xml:space="preserve"> - Atentar-se às descrições complementares dispostas na ABA "Especificações" que visam melhor entendimento dos itens de uniforme solicitados.</t>
  </si>
  <si>
    <t xml:space="preserve"> - Atentar-se às observações adicionais dispostas na ABA "Especificações", ao final do quadro com o detalhamento dos uniformes. (OBSERVAÇÕES)</t>
  </si>
  <si>
    <t xml:space="preserve">4.</t>
  </si>
  <si>
    <r>
      <rPr>
        <sz val="10"/>
        <rFont val="Calibri"/>
        <family val="2"/>
        <charset val="1"/>
      </rPr>
      <t xml:space="preserve">Destaca-se que após o preenchimento destas Abas (de acordo com as instruções contidas no item 3), os preços individuais das </t>
    </r>
    <r>
      <rPr>
        <b val="true"/>
        <sz val="10"/>
        <rFont val="Calibri"/>
        <family val="2"/>
        <charset val="1"/>
      </rPr>
      <t xml:space="preserve">categorias</t>
    </r>
    <r>
      <rPr>
        <sz val="10"/>
        <rFont val="Calibri"/>
        <family val="2"/>
        <charset val="1"/>
      </rPr>
      <t xml:space="preserve"> profissionais serão refletidos automaticamente para as suas abas correspondentes (Serv Ins, Serv, Copeira, Zel ac. e Aux).</t>
    </r>
  </si>
  <si>
    <t xml:space="preserve">4.1</t>
  </si>
  <si>
    <r>
      <rPr>
        <b val="true"/>
        <sz val="10"/>
        <rFont val="Calibri"/>
        <family val="2"/>
        <charset val="1"/>
      </rPr>
      <t xml:space="preserve">Não será necessário realizar nenhuma alteração nas abas contendo o detalhamento de custos de cada categoria profissional.</t>
    </r>
    <r>
      <rPr>
        <sz val="10"/>
        <rFont val="Calibri"/>
        <family val="2"/>
        <charset val="1"/>
      </rPr>
      <t xml:space="preserve"> Estas abas conterão apenas o reflexo dos dados preenchidos nas abas anteriores (conforme explicação nº 3).</t>
    </r>
  </si>
  <si>
    <t xml:space="preserve">4.2</t>
  </si>
  <si>
    <t xml:space="preserve">Estas abas estão destacadas na Cor Cinza.</t>
  </si>
  <si>
    <t xml:space="preserve">5.</t>
  </si>
  <si>
    <r>
      <rPr>
        <sz val="10"/>
        <rFont val="Calibri"/>
        <family val="2"/>
        <charset val="1"/>
      </rPr>
      <t xml:space="preserve">A Aba "</t>
    </r>
    <r>
      <rPr>
        <b val="true"/>
        <sz val="10"/>
        <rFont val="Calibri"/>
        <family val="2"/>
        <charset val="1"/>
      </rPr>
      <t xml:space="preserve">Resumo</t>
    </r>
    <r>
      <rPr>
        <sz val="10"/>
        <rFont val="Calibri"/>
        <family val="2"/>
        <charset val="1"/>
      </rPr>
      <t xml:space="preserve">" contém o detalhamento dos custos unitários por categoria profissional, além de conter o preço final da proposta.</t>
    </r>
  </si>
  <si>
    <t xml:space="preserve">5.1</t>
  </si>
  <si>
    <r>
      <rPr>
        <sz val="10"/>
        <rFont val="Calibri"/>
        <family val="2"/>
        <charset val="1"/>
      </rPr>
      <t xml:space="preserve">Para efeitos de lance/oferta, as licitantes devem considerar o valor da célula "W24", da Aba "Resumo", correspondente ao </t>
    </r>
    <r>
      <rPr>
        <b val="true"/>
        <sz val="10"/>
        <rFont val="Calibri"/>
        <family val="2"/>
        <charset val="1"/>
      </rPr>
      <t xml:space="preserve">VALOR MENSAL.</t>
    </r>
  </si>
  <si>
    <t xml:space="preserve">5.2</t>
  </si>
  <si>
    <t xml:space="preserve">Esta aba está destacada na Cor Azul.</t>
  </si>
  <si>
    <t xml:space="preserve">6.</t>
  </si>
  <si>
    <r>
      <rPr>
        <sz val="10"/>
        <rFont val="Calibri"/>
        <family val="2"/>
        <charset val="1"/>
      </rPr>
      <t xml:space="preserve">A Aba "</t>
    </r>
    <r>
      <rPr>
        <b val="true"/>
        <sz val="10"/>
        <rFont val="Calibri"/>
        <family val="2"/>
        <charset val="1"/>
      </rPr>
      <t xml:space="preserve">Custo Estimado Substituto</t>
    </r>
    <r>
      <rPr>
        <sz val="10"/>
        <rFont val="Calibri"/>
        <family val="2"/>
        <charset val="1"/>
      </rPr>
      <t xml:space="preserve">" contém valores estimados com os profissionais substitutos do titular em férias.</t>
    </r>
  </si>
  <si>
    <t xml:space="preserve">6.1</t>
  </si>
  <si>
    <t xml:space="preserve">Não será necessário realizar nenhuma alteração nesta aba, pois conterá apenas o reflexo dos dados preenchidos nas abas anteriores (conforme explicação nº 3).</t>
  </si>
  <si>
    <t xml:space="preserve">6.2</t>
  </si>
  <si>
    <t xml:space="preserve">ANEXO II - PLANILHA DE CUSTO E FORMAÇÃO DE PREÇO MENSAL ESTIMATIVO - PLANILHA DE DADOS</t>
  </si>
  <si>
    <t xml:space="preserve">Elemento de Despesa</t>
  </si>
  <si>
    <t xml:space="preserve">Quantidade de Postos</t>
  </si>
  <si>
    <t xml:space="preserve">Carga Horária
(Horas)</t>
  </si>
  <si>
    <t xml:space="preserve">*OBS 1 -
Salário Base I (Piso Para 220h/m)
(R$)</t>
  </si>
  <si>
    <t xml:space="preserve">Salário Base II
(Conforme Jornada Contratada)
(R$)</t>
  </si>
  <si>
    <t xml:space="preserve">
Insalubridade/Periculosidade
Grau de Risco
(%)</t>
  </si>
  <si>
    <t xml:space="preserve">Valor Insalubridade/Periculosidade
(R$)</t>
  </si>
  <si>
    <t xml:space="preserve">*OBS 2 -
Acúmulo de Função / Acréscimo Salarial
(%)</t>
  </si>
  <si>
    <t xml:space="preserve">*OBS 3 -
Tempo de Execução de Atividades em Acúmulo
(%)</t>
  </si>
  <si>
    <t xml:space="preserve">*OBS 4 -
Base Para Cálculo de Acúmulo de Função
(R$)</t>
  </si>
  <si>
    <t xml:space="preserve">Valor Acúmulo de Função
(R$)</t>
  </si>
  <si>
    <t xml:space="preserve">Remuneração Total
(Grupo A)
(R$)</t>
  </si>
  <si>
    <t xml:space="preserve">Uniforme
(R$)</t>
  </si>
  <si>
    <t xml:space="preserve">Material de Limpeza Rateado
(R$)</t>
  </si>
  <si>
    <t xml:space="preserve">Material Limpador de Vidro Rateado (R$)</t>
  </si>
  <si>
    <t xml:space="preserve">Material de Copa Rateado
(R$)</t>
  </si>
  <si>
    <t xml:space="preserve">Material Jardineiro Rateado (R$)</t>
  </si>
  <si>
    <t xml:space="preserve">Material Limpeza de Veículo Rateado (R$)</t>
  </si>
  <si>
    <t xml:space="preserve">Depreciação Rateada
(R$)</t>
  </si>
  <si>
    <t xml:space="preserve">CÓDIGO DE ELEMENTO DE DESPESA
(CONTROLE DA CONTRATANTE)</t>
  </si>
  <si>
    <t xml:space="preserve">RATEIO
INSUMOS</t>
  </si>
  <si>
    <t xml:space="preserve">Auxiliar Administrativo</t>
  </si>
  <si>
    <t xml:space="preserve">Recepcionista</t>
  </si>
  <si>
    <t xml:space="preserve">Auxiliar de Operador de Carga</t>
  </si>
  <si>
    <t xml:space="preserve">Jardineiro</t>
  </si>
  <si>
    <t xml:space="preserve">Limpador de Vidro</t>
  </si>
  <si>
    <t xml:space="preserve">Servente de Limpeza</t>
  </si>
  <si>
    <t xml:space="preserve">Servente de Limpeza (40%)</t>
  </si>
  <si>
    <t xml:space="preserve">Zelador ac. Lavador de Carro</t>
  </si>
  <si>
    <t xml:space="preserve">Encarregado Geral</t>
  </si>
  <si>
    <t xml:space="preserve">Garçom</t>
  </si>
  <si>
    <t xml:space="preserve">OBS 1: Inserir piso salarial correspondente à jornada de 220h mensais.      OBS 2: Informar % de acúmulo de função.</t>
  </si>
  <si>
    <t xml:space="preserve">OBS 3: Informar % do tempo de acúmulo de função.   OBS 4: Informar salário base.</t>
  </si>
  <si>
    <t xml:space="preserve">TOTAL</t>
  </si>
  <si>
    <t xml:space="preserve">DADOS DA PROPOSTA</t>
  </si>
  <si>
    <t xml:space="preserve">Data de apresentação da proposta</t>
  </si>
  <si>
    <t xml:space="preserve">ABERTURA DA PROPOSTA</t>
  </si>
  <si>
    <t xml:space="preserve">Informar data de abertura do certame / data final para cadastro da proposta comercial.</t>
  </si>
  <si>
    <t xml:space="preserve">Sindicato utilizado</t>
  </si>
  <si>
    <t xml:space="preserve">SINTEAC/JF</t>
  </si>
  <si>
    <t xml:space="preserve">Informar o sindicato utilizado pela Licitante.</t>
  </si>
  <si>
    <t xml:space="preserve">Número de registro da CCT - Código MTE</t>
  </si>
  <si>
    <t xml:space="preserve">MG001725/2023</t>
  </si>
  <si>
    <t xml:space="preserve">Informar o número de registro da Convenção Coletiva de Tralbalho utilizada no processo licitatório, junto ao Ministério do Trabalho e Emprego.</t>
  </si>
  <si>
    <t xml:space="preserve">Vigência da CCT utilizada</t>
  </si>
  <si>
    <t xml:space="preserve">01/01/2023 à 31/12/2023</t>
  </si>
  <si>
    <t xml:space="preserve">Informar a vigência da Convenção Coletiva de Trabalho utilizada no processo licitatório.</t>
  </si>
  <si>
    <t xml:space="preserve">Data base da categoria</t>
  </si>
  <si>
    <t xml:space="preserve">01º Janeiro</t>
  </si>
  <si>
    <t xml:space="preserve">Informar a data base da Convenção Coletiva de Trabalho utilizada no processo licitatório.</t>
  </si>
  <si>
    <t xml:space="preserve">ENCARGOS SOCIAIS E TRABALHISTAS</t>
  </si>
  <si>
    <t xml:space="preserve">-</t>
  </si>
  <si>
    <t xml:space="preserve">Percentual de Encargos (TOTAL)</t>
  </si>
  <si>
    <t xml:space="preserve">SAT - Seguro Acidentes Trabalho</t>
  </si>
  <si>
    <t xml:space="preserve">RAT (Atividade Principal)</t>
  </si>
  <si>
    <t xml:space="preserve">Informar percentual correspondente à atividade preponderante da Licitante.</t>
  </si>
  <si>
    <t xml:space="preserve">FAP (Conforme FapWeb)</t>
  </si>
  <si>
    <t xml:space="preserve">Informar Fator extraído do documento FapWeb da Licitante.</t>
  </si>
  <si>
    <t xml:space="preserve">SALÁRIO BASE PARE CÁLCULO DE INSALUBRIDADE</t>
  </si>
  <si>
    <t xml:space="preserve">SALÁRIO MINÍMO NACIONAL – 2023</t>
  </si>
  <si>
    <t xml:space="preserve">Informar base salarial para fins de cálculo de Insalubridade.</t>
  </si>
  <si>
    <t xml:space="preserve">BENEFÍCIOS</t>
  </si>
  <si>
    <t xml:space="preserve">Seguro de Vida em Grupo</t>
  </si>
  <si>
    <t xml:space="preserve">Inserir valor unitário mensal.</t>
  </si>
  <si>
    <t xml:space="preserve">Programa de Assistência a Saúde</t>
  </si>
  <si>
    <t xml:space="preserve">Vale Transporte</t>
  </si>
  <si>
    <t xml:space="preserve">Valor da tarifa</t>
  </si>
  <si>
    <t xml:space="preserve">Inserir o valor unitário da tarifa.</t>
  </si>
  <si>
    <t xml:space="preserve">Número de Tarifas por dia</t>
  </si>
  <si>
    <t xml:space="preserve">Inserir a quantidade de tarifas diárias.</t>
  </si>
  <si>
    <t xml:space="preserve">Número de dias para fornecimento</t>
  </si>
  <si>
    <t xml:space="preserve">Número de dias utilizados para a precificação. Número determinado em edital. Não será permitido alteração.</t>
  </si>
  <si>
    <t xml:space="preserve">Custeio do trabalhador (participação legal)</t>
  </si>
  <si>
    <t xml:space="preserve">Inserir percentual de participação do trabalhador.</t>
  </si>
  <si>
    <t xml:space="preserve">Vale Alimentação</t>
  </si>
  <si>
    <t xml:space="preserve">Valor Unitário do Ticket (jornada de 08h ou mais)</t>
  </si>
  <si>
    <t xml:space="preserve">Inserir valor unitário do Ticket.</t>
  </si>
  <si>
    <t xml:space="preserve">Valor Unitário do Ticket (jornada de 06 a 07h59min)</t>
  </si>
  <si>
    <t xml:space="preserve">Outros (inserir somente com a justificativa legal)</t>
  </si>
  <si>
    <t xml:space="preserve">Inserir valor unitário mensal, quando preenchido, e apresentar as justificativas legais para inclusão.</t>
  </si>
  <si>
    <t xml:space="preserve">MONTANTE C</t>
  </si>
  <si>
    <t xml:space="preserve">Despesas Administrativas</t>
  </si>
  <si>
    <t xml:space="preserve">Informar percentual da Licitante.</t>
  </si>
  <si>
    <t xml:space="preserve">Lucro</t>
  </si>
  <si>
    <t xml:space="preserve">MONTANTE D</t>
  </si>
  <si>
    <t xml:space="preserve">OBS:</t>
  </si>
  <si>
    <t xml:space="preserve">Opção Tributária</t>
  </si>
  <si>
    <t xml:space="preserve">LUCRO REAL</t>
  </si>
  <si>
    <t xml:space="preserve">Informar opção tributária da Licitante. Atentar-se às observações do "Montante D".</t>
  </si>
  <si>
    <t xml:space="preserve">COFINS</t>
  </si>
  <si>
    <t xml:space="preserve">Informar percentual da Licitante. Atentar-se às observações do "Montante D".</t>
  </si>
  <si>
    <t xml:space="preserve">PIS/PASEP</t>
  </si>
  <si>
    <t xml:space="preserve">ISSQN - Limpeza e Manutenção</t>
  </si>
  <si>
    <t xml:space="preserve">Informar percentual do código tributário municipal, local da execução das atividades.</t>
  </si>
  <si>
    <t xml:space="preserve">ISSQN - Serviços Administrativos</t>
  </si>
  <si>
    <t xml:space="preserve">Informar o tipo de tributo e apresentar as justificativas legais para inclusão. Informar percentual da Licitante. Atentar-se às observações do "Montante D".</t>
  </si>
  <si>
    <t xml:space="preserve">Soma dos tributos</t>
  </si>
  <si>
    <t xml:space="preserve">PREVISÃO DE REAJUSTE IPCA - 12 (DOZE) MESES DE CONTRATO - INFORMATIVO PARA SER UTILIZADO DURANTE A GESTÃO CONTRATUAL</t>
  </si>
  <si>
    <t xml:space="preserve">UNIFORME</t>
  </si>
  <si>
    <t xml:space="preserve">MATERIAIS
DIVERSOS</t>
  </si>
  <si>
    <t xml:space="preserve">SEG VIDA</t>
  </si>
  <si>
    <t xml:space="preserve">FATOR DE APLICAÇÃO
(2 CASAS DECIMAIS)</t>
  </si>
  <si>
    <t xml:space="preserve">DATA DE APROVAÇÃO IPCA</t>
  </si>
  <si>
    <t xml:space="preserve">DOCUMENTO RELACIONADO ID</t>
  </si>
  <si>
    <t xml:space="preserve">1º REAJUSTE IPCA</t>
  </si>
  <si>
    <t xml:space="preserve">Percentual (%) aprovado</t>
  </si>
  <si>
    <t xml:space="preserve">Aplicar reajuste após solicitação da contratada?</t>
  </si>
  <si>
    <t xml:space="preserve">NÃO</t>
  </si>
  <si>
    <t xml:space="preserve">2º REAJUSTE IPCA</t>
  </si>
  <si>
    <t xml:space="preserve">3º REAJUSTE IPCA</t>
  </si>
  <si>
    <t xml:space="preserve">4º REAJUSTE IPCA</t>
  </si>
  <si>
    <t xml:space="preserve">5º REAJUSTE IPCA</t>
  </si>
  <si>
    <t xml:space="preserve">CONTROLE DE REAJUSTE IPCA - UNIFORME</t>
  </si>
  <si>
    <t xml:space="preserve">APLICAR
VALOR</t>
  </si>
  <si>
    <t xml:space="preserve">INICIAL</t>
  </si>
  <si>
    <t xml:space="preserve">CONTROLE DE REAJUSTE IPCA - MATERIAIS DIVERSOS</t>
  </si>
  <si>
    <t xml:space="preserve">CONTROLE DE REAJUSTE IPCA - EPI COVID</t>
  </si>
  <si>
    <t xml:space="preserve">CONTROLE DE REAJUSTE IPCA - SEGURO DE VIDA</t>
  </si>
  <si>
    <t xml:space="preserve">VALOR INICIAL DO CONTRATO</t>
  </si>
  <si>
    <t xml:space="preserve">Fórmula SE, para inclusão após o término do processo licitatório. (INSERIR NA CÉLULA "G31")</t>
  </si>
  <si>
    <t xml:space="preserve">HISTÓRICO - CONTROLE DE CONTRATO - VERSÃO DE PLANILHA DE CUSTOS</t>
  </si>
  <si>
    <t xml:space="preserve">Planilha / Proposta comercial - Início do contrato (Licitação)</t>
  </si>
  <si>
    <t xml:space="preserve">PLANILHA - ID</t>
  </si>
  <si>
    <t xml:space="preserve">Obs: Planiha apresentada e aceita durante a fase de lances.</t>
  </si>
  <si>
    <t xml:space="preserve">1º Termo Aditivo</t>
  </si>
  <si>
    <t xml:space="preserve">Obs: Planilha ajustada com o acréscimo de 1 posto "X" - 200h.</t>
  </si>
  <si>
    <t xml:space="preserve">1º Termo de Apostilamento</t>
  </si>
  <si>
    <t xml:space="preserve">Obs: Repactuação CCT 2024 / Alteração do salário mínimo nacional.</t>
  </si>
  <si>
    <t xml:space="preserve">INFORMAR TERMO ADITIVO / APOSTILAMENTO / ALTERAÇÃO CONTRATUAL</t>
  </si>
  <si>
    <t xml:space="preserve">Obs: Descrever alerações. EX: Como é realizado no Extrato.</t>
  </si>
  <si>
    <t xml:space="preserve">Planilha de Encargos Sociais e Trabalhistas</t>
  </si>
  <si>
    <t xml:space="preserve">ANEXO II</t>
  </si>
  <si>
    <t xml:space="preserve">INSTRUÇÕES DE PREENCHIMENTO - Informar/Alterar somente as células destacadas na Cor Amarela, de acordo com o percentual da Licitante.</t>
  </si>
  <si>
    <t xml:space="preserve">QUADRO RESUMO</t>
  </si>
  <si>
    <t xml:space="preserve">DESCRIÇÃO</t>
  </si>
  <si>
    <t xml:space="preserve">PERCENTUAL</t>
  </si>
  <si>
    <t xml:space="preserve">Grupo A</t>
  </si>
  <si>
    <t xml:space="preserve">Encargos Previdenciários, FGTS e Outras Contribuições</t>
  </si>
  <si>
    <t xml:space="preserve">PREVIDÊNCIA SOCIAL - INSS</t>
  </si>
  <si>
    <t xml:space="preserve">SESI ou SESC</t>
  </si>
  <si>
    <t xml:space="preserve">SENAI ou SENAC</t>
  </si>
  <si>
    <t xml:space="preserve">INCRA</t>
  </si>
  <si>
    <t xml:space="preserve">Salário Educação</t>
  </si>
  <si>
    <t xml:space="preserve">FGTS</t>
  </si>
  <si>
    <t xml:space="preserve">SAT - Seguro Acidentes Trabalho - (RAT x FAP)</t>
  </si>
  <si>
    <t xml:space="preserve">  Alterar FAP e RAT na aba "DADOS"</t>
  </si>
  <si>
    <t xml:space="preserve">SEBRAE</t>
  </si>
  <si>
    <t xml:space="preserve">Total Grupo A - Encargos previdenciários, FGTS e Outras Contribuições</t>
  </si>
  <si>
    <t xml:space="preserve">Grupo B</t>
  </si>
  <si>
    <t xml:space="preserve">Grupo B.1</t>
  </si>
  <si>
    <t xml:space="preserve">13º Salário</t>
  </si>
  <si>
    <t xml:space="preserve">Adicional de Férias</t>
  </si>
  <si>
    <t xml:space="preserve">Subtotal</t>
  </si>
  <si>
    <t xml:space="preserve">Incidência do Grupo A sobre 13º salário e adicional de férias</t>
  </si>
  <si>
    <t xml:space="preserve">Total Grupo B.1 - 13º salário e adicional de férias</t>
  </si>
  <si>
    <t xml:space="preserve">Grupo B.2</t>
  </si>
  <si>
    <t xml:space="preserve">Afastamento Maternidade</t>
  </si>
  <si>
    <t xml:space="preserve">Licença Maternidade</t>
  </si>
  <si>
    <t xml:space="preserve">Incidência do Grupo A sobre o afastamento maternidade</t>
  </si>
  <si>
    <t xml:space="preserve">Total Grupo B.2 - Afastamento maternidade</t>
  </si>
  <si>
    <t xml:space="preserve">Grupo B.3</t>
  </si>
  <si>
    <t xml:space="preserve">Provisão para Rescisão</t>
  </si>
  <si>
    <t xml:space="preserve">Aviso Prévio Indenizado</t>
  </si>
  <si>
    <t xml:space="preserve">Incidência do FGTS sobre o Aviso Prévio Indenizado</t>
  </si>
  <si>
    <t xml:space="preserve">Multa do FGTS do Aviso Prévio Indenizado</t>
  </si>
  <si>
    <t xml:space="preserve">Aviso Prévio Trabalhado</t>
  </si>
  <si>
    <t xml:space="preserve">Incidência do Grupo A sobre o Aviso Prévio Trabalhado </t>
  </si>
  <si>
    <t xml:space="preserve">Multa do FGTS do Aviso Prévio Trabalhado </t>
  </si>
  <si>
    <t xml:space="preserve">Total Grupo B.3 - Provisão para rescisão</t>
  </si>
  <si>
    <t xml:space="preserve">Grupo B.4</t>
  </si>
  <si>
    <t xml:space="preserve">Composição do Custo de Reposição do Profissional Ausente</t>
  </si>
  <si>
    <t xml:space="preserve">Remuneração do profissional substituto</t>
  </si>
  <si>
    <t xml:space="preserve">Ausência por doença</t>
  </si>
  <si>
    <t xml:space="preserve">Licença Paternidade</t>
  </si>
  <si>
    <t xml:space="preserve">Ausências Legais</t>
  </si>
  <si>
    <t xml:space="preserve">Ausência por acidente de trabalho</t>
  </si>
  <si>
    <t xml:space="preserve">PERCENTUAIS PARA CONTINGENCIAMENTO DE ENCARGOS TRABALHISTAS A SEREM APLICADOS SOBRE A NOTA FISCAL (UTILIZAÇÃO DURANTE A VIGÊNCIA CONTRATUAL)</t>
  </si>
  <si>
    <t xml:space="preserve">Incidência do submódulo 4.1 sobre custo de reposição</t>
  </si>
  <si>
    <t xml:space="preserve">Total Grupo B.4 - Custo de reposição do profissional ausente</t>
  </si>
  <si>
    <t xml:space="preserve">Título</t>
  </si>
  <si>
    <t xml:space="preserve">VARIAÇÃO RAT AJUSTADO 0,50% A 6%</t>
  </si>
  <si>
    <t xml:space="preserve">Grupo C</t>
  </si>
  <si>
    <t xml:space="preserve">Outros (especificar)</t>
  </si>
  <si>
    <t xml:space="preserve">EMPRESAS</t>
  </si>
  <si>
    <t xml:space="preserve">Indenização Adicional</t>
  </si>
  <si>
    <t xml:space="preserve">Grupo </t>
  </si>
  <si>
    <t xml:space="preserve">Mínimo</t>
  </si>
  <si>
    <t xml:space="preserve">Máximo</t>
  </si>
  <si>
    <t xml:space="preserve">LICITANTE</t>
  </si>
  <si>
    <t xml:space="preserve">Total Grupo C - Indenização Adicional</t>
  </si>
  <si>
    <t xml:space="preserve">SUBMÓDULO E.1 - da IN 02/2008 MPOG:</t>
  </si>
  <si>
    <t xml:space="preserve">Quadro Resumo - Encargos Sociais e Trabalhistas</t>
  </si>
  <si>
    <t xml:space="preserve">SAT (RATxFAP):</t>
  </si>
  <si>
    <t xml:space="preserve">13º salário</t>
  </si>
  <si>
    <t xml:space="preserve">13º Salário + Adicional de Férias</t>
  </si>
  <si>
    <t xml:space="preserve">Férias</t>
  </si>
  <si>
    <t xml:space="preserve">1/3 constitucional</t>
  </si>
  <si>
    <t xml:space="preserve">Custo de Rescisão</t>
  </si>
  <si>
    <t xml:space="preserve">Custo de Reposição do profissional Ausente</t>
  </si>
  <si>
    <t xml:space="preserve">Incidência do Grupo A (*)</t>
  </si>
  <si>
    <t xml:space="preserve">Multa do FGTS</t>
  </si>
  <si>
    <t xml:space="preserve">Total dos Encargos Sociais Trabalhistas</t>
  </si>
  <si>
    <t xml:space="preserve">Encargos a contingenciar</t>
  </si>
  <si>
    <t xml:space="preserve">Taxa da conta-corrente vinculada (inciso II art. 2º IN 001/2013</t>
  </si>
  <si>
    <t xml:space="preserve">1. Não deverá haver alteração nos itens 9(9,09%), 10(3,03%), 13(3,49%) e 16(9,09%) dos percentuais acima, considerando que a Justiça Federal segue as diretrizes da IN 1/2016, de 20 de janeiro de 2016, do CJF, bem como o disposto no Art. 12 da Lei 13.932/2019, com vigência a partir de 01/01/2020.</t>
  </si>
  <si>
    <t xml:space="preserve">Total a contingenciar</t>
  </si>
  <si>
    <t xml:space="preserve">ANEXO II - CUSTO ESTIMATIVO DE MATERIAIS DE LIMPEZA</t>
  </si>
  <si>
    <t xml:space="preserve">INSTRUÇÕES DE PREENCHIMENTO - Informar/Alterar somente as células destacadas na Cor Amarela, de acordo com o valor unitário da Licitante.</t>
  </si>
  <si>
    <t xml:space="preserve">DESCRIÇÃO DO MATERIAL</t>
  </si>
  <si>
    <t xml:space="preserve">OBSERVAÇÕES</t>
  </si>
  <si>
    <t xml:space="preserve">REFERÊNCIA</t>
  </si>
  <si>
    <t xml:space="preserve">Preço Unitário</t>
  </si>
  <si>
    <t xml:space="preserve">Quantidade</t>
  </si>
  <si>
    <t xml:space="preserve">DIVISOR</t>
  </si>
  <si>
    <t xml:space="preserve">Mensal</t>
  </si>
  <si>
    <t xml:space="preserve">Semestral</t>
  </si>
  <si>
    <t xml:space="preserve">Trimestral</t>
  </si>
  <si>
    <t xml:space="preserve">Quadrimestral</t>
  </si>
  <si>
    <t xml:space="preserve">Bimestral</t>
  </si>
  <si>
    <t xml:space="preserve">Anual</t>
  </si>
  <si>
    <t xml:space="preserve">ANEXO II - CUSTO ESTIMATIVO DE MATERIAIS DE LIMPADOR DE VIDRO</t>
  </si>
  <si>
    <t xml:space="preserve">Marca de Referência</t>
  </si>
  <si>
    <t xml:space="preserve">PREÇO UNITÁRIO</t>
  </si>
  <si>
    <t xml:space="preserve">TOTAL DO CONSUMO MENSAL</t>
  </si>
  <si>
    <t xml:space="preserve">ANEXO II - CUSTO ESTIMATIVO DE MATERIAIS DE COPA</t>
  </si>
  <si>
    <t xml:space="preserve">ANEXO II - CUSTO ESTIMATIVO DE MATERIAIS JARDINEIRO</t>
  </si>
  <si>
    <t xml:space="preserve">ANEXO II - CUSTO ESTIMATIVO DE MATERIAIS LIMPEZA VEÍCULO</t>
  </si>
  <si>
    <t xml:space="preserve">ANEXO II - CUSTO ESTIMATIVO DE PREÇOS DE EQUIPAMENTOS</t>
  </si>
  <si>
    <t xml:space="preserve">Valores em R$</t>
  </si>
  <si>
    <t xml:space="preserve">Item</t>
  </si>
  <si>
    <t xml:space="preserve">Especificação</t>
  </si>
  <si>
    <t xml:space="preserve">Quant.</t>
  </si>
  <si>
    <t xml:space="preserve">Valor Unitário</t>
  </si>
  <si>
    <t xml:space="preserve">Valor Total</t>
  </si>
  <si>
    <t xml:space="preserve">Depreciação 20% ao Ano</t>
  </si>
  <si>
    <t xml:space="preserve">Repasse Mensal</t>
  </si>
  <si>
    <t xml:space="preserve">RELAÇÃO DE MÁQUINAS E EQUIPAMENTOS SERVENTE </t>
  </si>
  <si>
    <t xml:space="preserve">Enceradeira cleaner, ou similar, 300</t>
  </si>
  <si>
    <t xml:space="preserve">Enceradeira cleaner S, ou similar, 350</t>
  </si>
  <si>
    <t xml:space="preserve">Aspirador de pó GT 3000 - 20LTS</t>
  </si>
  <si>
    <t xml:space="preserve">Escada de alumínio cavalete 5 degraus</t>
  </si>
  <si>
    <t xml:space="preserve">Escada de alumínio cavalete 3 degraus</t>
  </si>
  <si>
    <t xml:space="preserve">Extensão elétrica cabo PP 2x2,5 de 25m a 30m</t>
  </si>
  <si>
    <t xml:space="preserve">Carrinho para enrrolar mangueira de 100m</t>
  </si>
  <si>
    <t xml:space="preserve">Lavadora de pressão karcher K4450, ou similar, 1885  libras</t>
  </si>
  <si>
    <t xml:space="preserve">Mangueira BOA QUALIDADE, ou similar 1/2" 300 libras - 100m</t>
  </si>
  <si>
    <t xml:space="preserve">Mangueira Balflex, ou similar 1/2" 300 libras - 50m</t>
  </si>
  <si>
    <t xml:space="preserve">Carro funcional Bralimpia - kit completo**</t>
  </si>
  <si>
    <t xml:space="preserve">Total da Depreciação de Máquinas e Equipamentos de Servente </t>
  </si>
  <si>
    <t xml:space="preserve">OBSERVAÇÃO:</t>
  </si>
  <si>
    <t xml:space="preserve">**Kit composto pelos seguintes itens:</t>
  </si>
  <si>
    <t xml:space="preserve">1 carro funcional América Balde Doblô 30 litros 2 águas</t>
  </si>
  <si>
    <t xml:space="preserve">2 cabo telescópio 1,40m</t>
  </si>
  <si>
    <t xml:space="preserve">3 Haste Americans-refil loop com cinta 320gr</t>
  </si>
  <si>
    <t xml:space="preserve">4 Placa sinalizada piso molhado</t>
  </si>
  <si>
    <t xml:space="preserve">5 Pá pop</t>
  </si>
  <si>
    <t xml:space="preserve">6 Conjunto mop pó 60cm</t>
  </si>
  <si>
    <t xml:space="preserve">RELAÇÃO DE MÁQUINAS E EQUIPAMENTOS JARDINEIRO</t>
  </si>
  <si>
    <t xml:space="preserve">Roçadeira á gasolina e óleo, 2t (25/1), tanque 0,85l cons. 11/h, ignição</t>
  </si>
  <si>
    <t xml:space="preserve">Podadeira a gasolina, ignição eletrônica modelo HSTS Stihl ou similar</t>
  </si>
  <si>
    <t xml:space="preserve">Pulverizador costal com alavanca - 10litros</t>
  </si>
  <si>
    <t xml:space="preserve">Vassoura plástica p/folhas - ABS resistente</t>
  </si>
  <si>
    <t xml:space="preserve">Tesoura para grama</t>
  </si>
  <si>
    <t xml:space="preserve">Carrinho de mão</t>
  </si>
  <si>
    <t xml:space="preserve">Enxadão</t>
  </si>
  <si>
    <t xml:space="preserve">Enxada</t>
  </si>
  <si>
    <t xml:space="preserve">Total da Depreciação de Máquinas e Equipamentos Jardineiro</t>
  </si>
  <si>
    <t xml:space="preserve">ANEXO II - CUSTO ESTIMATIVO DE PREÇOS DOS UNIFORMES</t>
  </si>
  <si>
    <t xml:space="preserve">Serviços de Limpeza e Conservação</t>
  </si>
  <si>
    <t xml:space="preserve">CATEGORIA</t>
  </si>
  <si>
    <t xml:space="preserve">QUANT.</t>
  </si>
  <si>
    <t xml:space="preserve">DESCRIÇÃO DE UNIFORME</t>
  </si>
  <si>
    <t xml:space="preserve">CORES</t>
  </si>
  <si>
    <t xml:space="preserve">TOTAL DO QUANTITATIVO</t>
  </si>
  <si>
    <t xml:space="preserve">Servente / Limpador de Vidro</t>
  </si>
  <si>
    <t xml:space="preserve">Calça</t>
  </si>
  <si>
    <t xml:space="preserve">Brim Santista, Santansense ou similar, leve, com bolso faca na frente, um bolso atrás, com elástico na cintura</t>
  </si>
  <si>
    <t xml:space="preserve">Azul marinho</t>
  </si>
  <si>
    <t xml:space="preserve">Camisa</t>
  </si>
  <si>
    <t xml:space="preserve">Malha PV (poliéster viscose), sem punho, manga CL</t>
  </si>
  <si>
    <t xml:space="preserve">Azul</t>
  </si>
  <si>
    <t xml:space="preserve">Calçado</t>
  </si>
  <si>
    <t xml:space="preserve">Atendendo as exigências das normas de segurança do trabalho, MARLUVAS ou similar</t>
  </si>
  <si>
    <t xml:space="preserve">preto</t>
  </si>
  <si>
    <t xml:space="preserve">Blusa de frio</t>
  </si>
  <si>
    <t xml:space="preserve">Moletom flanelado</t>
  </si>
  <si>
    <t xml:space="preserve">Azul </t>
  </si>
  <si>
    <t xml:space="preserve">TOTAL DE POSTOS</t>
  </si>
  <si>
    <t xml:space="preserve">Óculos</t>
  </si>
  <si>
    <t xml:space="preserve">Óculos de segurança incolor, atendendo as normas de segurança</t>
  </si>
  <si>
    <t xml:space="preserve">Bota</t>
  </si>
  <si>
    <t xml:space="preserve">Bota em PVC, atendendo as Normas de Segurança do Trabalho vigentes, cano médio sete léguas Alpargatas ou similar</t>
  </si>
  <si>
    <t xml:space="preserve">Soma</t>
  </si>
  <si>
    <t xml:space="preserve">CÁLCULO VALOR DO REPASSE MENSAL SERVENTE DE LIMPEZA E LIMPADOR DE VIDRO</t>
  </si>
  <si>
    <t xml:space="preserve">Aux. Administrativo</t>
  </si>
  <si>
    <t xml:space="preserve">Jeans Santista, ou similar, lavado, modelo tradicional</t>
  </si>
  <si>
    <t xml:space="preserve">Malha Piquet ou similar, polo azul, logotipo bordado</t>
  </si>
  <si>
    <t xml:space="preserve">Tênis Maleável, Olympikus, Glass ou similar</t>
  </si>
  <si>
    <t xml:space="preserve">Preto</t>
  </si>
  <si>
    <t xml:space="preserve">CÁLCULO VALOR DO REPASSE MENSAL AUX. ADMINISTRATIVO</t>
  </si>
  <si>
    <t xml:space="preserve">Aux. Operador Carga / Zelador ac. Lavador Carro</t>
  </si>
  <si>
    <t xml:space="preserve">Jeans Santista ou similar, lavado, modelo tradicional</t>
  </si>
  <si>
    <t xml:space="preserve">Malha Piquet ou similar, logotipo bordado</t>
  </si>
  <si>
    <t xml:space="preserve">Jaleco</t>
  </si>
  <si>
    <t xml:space="preserve">Brim Tape Santista, ou similar, logotipo bordado, três bolsos</t>
  </si>
  <si>
    <t xml:space="preserve">Botina de segurança com biqueira de aço, em couro, 50B19 ACOL-MARLUVAS ou similar</t>
  </si>
  <si>
    <t xml:space="preserve">CÁLCULO VALOR DO REPASSE MENSAL AUX. OPERADOR CARGA / ZELADOR AC. LAVADOR CARRO</t>
  </si>
  <si>
    <t xml:space="preserve">Social preta, Panamá Cherne ou similar</t>
  </si>
  <si>
    <t xml:space="preserve">Social com peitilho, cor branca, tergal</t>
  </si>
  <si>
    <t xml:space="preserve">Branco</t>
  </si>
  <si>
    <t xml:space="preserve">Blazer</t>
  </si>
  <si>
    <t xml:space="preserve">Oxford, ou similar, branco, logotipo bordado</t>
  </si>
  <si>
    <t xml:space="preserve">sapato preto, modelo social, confortável/flexível, MARLUVAS ou similar</t>
  </si>
  <si>
    <t xml:space="preserve">Gravata</t>
  </si>
  <si>
    <t xml:space="preserve">gravata borboleta preta</t>
  </si>
  <si>
    <t xml:space="preserve">CÁLCULO VALOR DO REPASSE MENSAL GARÇOM</t>
  </si>
  <si>
    <t xml:space="preserve">Brim Santista, Santanense ou similar, leve, com bolso faca na frente, um bolso atrás, com elástico na cintura</t>
  </si>
  <si>
    <t xml:space="preserve">Malha PV (poliéster e viscose), gola careca sem punho, manga CL</t>
  </si>
  <si>
    <t xml:space="preserve">Bota de PVC cano médio Sete léguas Alpargatas ou similar</t>
  </si>
  <si>
    <t xml:space="preserve">CÁLCULO VALOR DO REPASSE MENSAL JARDINEIRO</t>
  </si>
  <si>
    <t xml:space="preserve">Recepcionistas</t>
  </si>
  <si>
    <t xml:space="preserve">Oxford azul marinho ou similar</t>
  </si>
  <si>
    <t xml:space="preserve">Oxford azul marinho ou similar, logotipo bordado</t>
  </si>
  <si>
    <t xml:space="preserve">Blusa</t>
  </si>
  <si>
    <t xml:space="preserve">Crepe ou similar</t>
  </si>
  <si>
    <t xml:space="preserve">Branca</t>
  </si>
  <si>
    <t xml:space="preserve">Sapato modelo social, salto quadrado de 2 a 3cm, confortável, Beira Rio ou similar</t>
  </si>
  <si>
    <t xml:space="preserve">CÁLCULO VALOR DO REPASSE MENSAL RECEPCIONISTAS</t>
  </si>
  <si>
    <t xml:space="preserve">Sapato modelo social, confortável, Marluvas ou similar</t>
  </si>
  <si>
    <t xml:space="preserve">CÁLCULO VALOR DO REPASSE MENSAL ENCARREGADO GERAL</t>
  </si>
  <si>
    <t xml:space="preserve">ANEXO II - PLANILHA DE CUSTO E FORMAÇÃO DE PREÇO MENSAL ESTIMATIVO DO PROFISSIONAL SUBSTITUTO DO TITULAR EM FÉRIAS </t>
  </si>
  <si>
    <t xml:space="preserve">DESCRIÇÃO </t>
  </si>
  <si>
    <t xml:space="preserve">Percentual</t>
  </si>
  <si>
    <t xml:space="preserve">4.5</t>
  </si>
  <si>
    <t xml:space="preserve">Valor em R$</t>
  </si>
  <si>
    <t xml:space="preserve">Módulo 1 - Total da Remuneração</t>
  </si>
  <si>
    <t xml:space="preserve">A</t>
  </si>
  <si>
    <t xml:space="preserve">G</t>
  </si>
  <si>
    <t xml:space="preserve">Total do Custo MENSAL de Reposição do Profissional Ausente em Férias</t>
  </si>
  <si>
    <t xml:space="preserve">Total do Custo ANUAL de Reposição do Profissional Ausente em Férias</t>
  </si>
  <si>
    <t xml:space="preserve">Módulo 2 - Benefícios Mensais e Diários</t>
  </si>
  <si>
    <t xml:space="preserve">Vale-Alimentação</t>
  </si>
  <si>
    <t xml:space="preserve">B</t>
  </si>
  <si>
    <t xml:space="preserve">Vale-Transporte</t>
  </si>
  <si>
    <t xml:space="preserve">C</t>
  </si>
  <si>
    <t xml:space="preserve">Outros (sem concessão do intervalo intrajornada)</t>
  </si>
  <si>
    <t xml:space="preserve">Total de Benefícios Mensais e Diários</t>
  </si>
  <si>
    <t xml:space="preserve">Módulo 5 - Custos Indiretos, Lucros e Tributos</t>
  </si>
  <si>
    <t xml:space="preserve">Custos Indiretos (Despesas Operacionais e Administrativas)</t>
  </si>
  <si>
    <t xml:space="preserve">Tributos</t>
  </si>
  <si>
    <t xml:space="preserve">C.1</t>
  </si>
  <si>
    <t xml:space="preserve">Tributos Federais (PIS E COFINS)</t>
  </si>
  <si>
    <t xml:space="preserve">C.2</t>
  </si>
  <si>
    <t xml:space="preserve">Tributos Estaduais (especificar)</t>
  </si>
  <si>
    <t xml:space="preserve">C.3</t>
  </si>
  <si>
    <t xml:space="preserve">Tributos Municipais (ISS) - Serviços Administrativos</t>
  </si>
  <si>
    <t xml:space="preserve">Tributos Municipais (ISS) - Limpeza e Manutenção</t>
  </si>
  <si>
    <t xml:space="preserve">C.4</t>
  </si>
  <si>
    <t xml:space="preserve">Total dos Custos Indiretos e Tributos</t>
  </si>
  <si>
    <t xml:space="preserve">CUSTO TOTAL DO PROFISSIONAL SUBSTITUTO</t>
  </si>
  <si>
    <t xml:space="preserve">Resumo do Custo Por Empregado Substituto do Titular em Férias</t>
  </si>
  <si>
    <t xml:space="preserve">Mão de Obra Vinculada à Execução Contratual  (Valor Por Empregado)</t>
  </si>
  <si>
    <t xml:space="preserve">Módulo 1 - Composição Remuneração * 12 (Anual)</t>
  </si>
  <si>
    <t xml:space="preserve">Subtotal (A+B)</t>
  </si>
  <si>
    <t xml:space="preserve">E</t>
  </si>
  <si>
    <t xml:space="preserve">Módulo 5 - Custos Indiretos, Tributos e Lucro</t>
  </si>
  <si>
    <t xml:space="preserve">Valor Total Mensal Por Empregado Substituto do Titular em Férias </t>
  </si>
  <si>
    <t xml:space="preserve">ANEXO II - PLANILHA DE CUSTO E FORMAÇÃO DE PREÇO MENSAL ESTIMATIVO INTEGRAL - RESUMO</t>
  </si>
  <si>
    <t xml:space="preserve">MÊS: </t>
  </si>
  <si>
    <t xml:space="preserve">VALORES EM R$</t>
  </si>
  <si>
    <t xml:space="preserve">ELEMENTO DE DESPESA</t>
  </si>
  <si>
    <t xml:space="preserve">CATEGORIA PROFISSIONAL</t>
  </si>
  <si>
    <t xml:space="preserve">TOTAL DO FATURAMENTO MENSAL</t>
  </si>
  <si>
    <t xml:space="preserve">CUSTO MENSAL</t>
  </si>
  <si>
    <t xml:space="preserve">GLOSA VALE TRANSPORTE</t>
  </si>
  <si>
    <t xml:space="preserve">GLOSA DE ATRASOS, FALTAS E DESCONTO DO TITULAR EM FÉRIAS (sem material)</t>
  </si>
  <si>
    <t xml:space="preserve">GLOSA VALE ALIMENTAÇÃO</t>
  </si>
  <si>
    <t xml:space="preserve">TOTAL GLOSAS</t>
  </si>
  <si>
    <t xml:space="preserve">ACRÉSCIMO DE INSALUBRIDADE</t>
  </si>
  <si>
    <t xml:space="preserve">Homem-Mês</t>
  </si>
  <si>
    <t xml:space="preserve">Custo Mensal  do vale-transporte da categoria com Encargos</t>
  </si>
  <si>
    <t xml:space="preserve">GLOSA </t>
  </si>
  <si>
    <t xml:space="preserve">Glosa de Atrasos e Faltas</t>
  </si>
  <si>
    <t xml:space="preserve">Desconto Mensal do Titular em Férias sem substituição</t>
  </si>
  <si>
    <t xml:space="preserve">Desconto de Vale Alimentação em recesso forense ou ponto facultativo.</t>
  </si>
  <si>
    <t xml:space="preserve">Total da Glosa de Atrasos, Faltas, Desconto do Titular em Férias sem substituição e Desconto de V.A para recessos.</t>
  </si>
  <si>
    <t xml:space="preserve">PAGAMENTO INSALUBRIDADE EM SUBSTITUIÇÃO</t>
  </si>
  <si>
    <t xml:space="preserve">Custo Unitário da categoria</t>
  </si>
  <si>
    <t xml:space="preserve">Custo Mensal da categoria</t>
  </si>
  <si>
    <t xml:space="preserve">Dias de afastamento</t>
  </si>
  <si>
    <t xml:space="preserve">Valor da Glosa do vale transporte da categoria</t>
  </si>
  <si>
    <t xml:space="preserve">Custo Homem-Mês               (sem material)</t>
  </si>
  <si>
    <t xml:space="preserve">Valor da Glosa de Atrasos e Faltas</t>
  </si>
  <si>
    <t xml:space="preserve">Custo Unitário da categoria Planilha de Férias</t>
  </si>
  <si>
    <t xml:space="preserve">Valor do Desconto Mensal </t>
  </si>
  <si>
    <t xml:space="preserve">Custo Mensal  do vale alimentação da categoria com Encargos</t>
  </si>
  <si>
    <t xml:space="preserve">Dias de Recesso e/ou ponto facultativo</t>
  </si>
  <si>
    <t xml:space="preserve">Valor da Glosa do vale alimentação da categoria</t>
  </si>
  <si>
    <t xml:space="preserve">Valor Insalubridade por dia</t>
  </si>
  <si>
    <t xml:space="preserve">Quantidade de Dias</t>
  </si>
  <si>
    <t xml:space="preserve">Valor Devido</t>
  </si>
  <si>
    <t xml:space="preserve">TOTAL DO FATURAMENTO MENSAL </t>
  </si>
  <si>
    <t xml:space="preserve">Valor para Lance - Registro de oferta</t>
  </si>
  <si>
    <t xml:space="preserve">VALOR DO MATERIAL</t>
  </si>
  <si>
    <t xml:space="preserve">TOTAL DO FATURAMENTO ANUAL</t>
  </si>
  <si>
    <t xml:space="preserve">Planilha de Custo e Formação de Preço Mensal Por Categoria Profissional</t>
  </si>
  <si>
    <t xml:space="preserve">COM MATERIAL</t>
  </si>
  <si>
    <t xml:space="preserve">SEM MATERIAL</t>
  </si>
  <si>
    <t xml:space="preserve">CUSTO DE VALE ALIMENTAÇÃO</t>
  </si>
  <si>
    <t xml:space="preserve">CUSTO DE VALE-TRANSPORTE</t>
  </si>
  <si>
    <t xml:space="preserve">CUSTO INSALUBRIDADE</t>
  </si>
  <si>
    <t xml:space="preserve">33390.37.02 - Limpeza e Conservação</t>
  </si>
  <si>
    <t xml:space="preserve">MONTANTE "A" - Mão de Obra</t>
  </si>
  <si>
    <t xml:space="preserve">Função</t>
  </si>
  <si>
    <t xml:space="preserve">Carga Horária Mensal</t>
  </si>
  <si>
    <t xml:space="preserve"> Salário Base</t>
  </si>
  <si>
    <t xml:space="preserve">Adicional de Insalubridade</t>
  </si>
  <si>
    <t xml:space="preserve">Adicional Acúmulo de Função</t>
  </si>
  <si>
    <t xml:space="preserve">TOTAL DA REMUNERAÇÃO</t>
  </si>
  <si>
    <t xml:space="preserve">Encargos sociais e trabalhistas                         </t>
  </si>
  <si>
    <t xml:space="preserve">Total do Montante "A" ( Mão de Obra)</t>
  </si>
  <si>
    <t xml:space="preserve">MONTANTE "B" - INSUMOS</t>
  </si>
  <si>
    <t xml:space="preserve">Itens</t>
  </si>
  <si>
    <t xml:space="preserve">Valores Unitarios</t>
  </si>
  <si>
    <t xml:space="preserve">Uniforme</t>
  </si>
  <si>
    <t xml:space="preserve">Seguro de vida  </t>
  </si>
  <si>
    <t xml:space="preserve">Material de Limpeza</t>
  </si>
  <si>
    <t xml:space="preserve">Material de Copa</t>
  </si>
  <si>
    <t xml:space="preserve">Depreciação de Equipamentos</t>
  </si>
  <si>
    <t xml:space="preserve">Total do Montante "B" (Insumos)</t>
  </si>
  <si>
    <t xml:space="preserve">Montante "A" + Montante "B"</t>
  </si>
  <si>
    <t xml:space="preserve">MONTANTE "C" - DEMAIS COMPONENTES</t>
  </si>
  <si>
    <t xml:space="preserve">ITENS</t>
  </si>
  <si>
    <t xml:space="preserve">Despesas administrativas/operacionais</t>
  </si>
  <si>
    <t xml:space="preserve">Base de cálculo do lucro</t>
  </si>
  <si>
    <t xml:space="preserve">Total do Montante "C" (Demais componentes)</t>
  </si>
  <si>
    <t xml:space="preserve">Montante "A" + Montante "B" + Montante "C"</t>
  </si>
  <si>
    <t xml:space="preserve">MONTANTE "D" - TRIBUTOS</t>
  </si>
  <si>
    <t xml:space="preserve">Total do Montante "D" (Tributos)</t>
  </si>
  <si>
    <t xml:space="preserve">FATOR K</t>
  </si>
  <si>
    <t xml:space="preserve">Deslocamento Insalubridade</t>
  </si>
  <si>
    <t xml:space="preserve">Material de Jardinagem</t>
  </si>
  <si>
    <t xml:space="preserve">CUSTO PERICULOSIDADE</t>
  </si>
  <si>
    <t xml:space="preserve">Adicional de Periculosidade</t>
  </si>
  <si>
    <t xml:space="preserve">Período:</t>
  </si>
  <si>
    <t xml:space="preserve">ÍNDICE </t>
  </si>
  <si>
    <t xml:space="preserve">IPCA/ IBGE</t>
  </si>
  <si>
    <t xml:space="preserve">DIAS</t>
  </si>
  <si>
    <t xml:space="preserve">Pró-rata</t>
  </si>
  <si>
    <t xml:space="preserve">VALOR ATUAL</t>
  </si>
  <si>
    <t xml:space="preserve">ANO</t>
  </si>
  <si>
    <t xml:space="preserve">MÊS</t>
  </si>
  <si>
    <t xml:space="preserve">ÍNDICE %</t>
  </si>
  <si>
    <t xml:space="preserve">%</t>
  </si>
  <si>
    <t xml:space="preserve">AGO</t>
  </si>
  <si>
    <t xml:space="preserve">SET</t>
  </si>
  <si>
    <t xml:space="preserve">OUT</t>
  </si>
  <si>
    <t xml:space="preserve">NOV</t>
  </si>
  <si>
    <t xml:space="preserve">DEZ</t>
  </si>
  <si>
    <t xml:space="preserve">JAN</t>
  </si>
  <si>
    <t xml:space="preserve">FEV</t>
  </si>
  <si>
    <t xml:space="preserve">MAR</t>
  </si>
  <si>
    <t xml:space="preserve">ABR</t>
  </si>
  <si>
    <t xml:space="preserve">MAI</t>
  </si>
  <si>
    <t xml:space="preserve">JUN</t>
  </si>
  <si>
    <t xml:space="preserve">JUL</t>
  </si>
  <si>
    <t xml:space="preserve">INDICE ACUMULADO</t>
  </si>
</sst>
</file>

<file path=xl/styles.xml><?xml version="1.0" encoding="utf-8"?>
<styleSheet xmlns="http://schemas.openxmlformats.org/spreadsheetml/2006/main">
  <numFmts count="17">
    <numFmt numFmtId="164" formatCode="General"/>
    <numFmt numFmtId="165" formatCode="_-&quot;R$ &quot;* #,##0.00_-;&quot;-R$ &quot;* #,##0.00_-;_-&quot;R$ &quot;* \-??_-;_-@_-"/>
    <numFmt numFmtId="166" formatCode="0%"/>
    <numFmt numFmtId="167" formatCode="_(* #,##0.00_);_(* \(#,##0.00\);_(* \-??_);_(@_)"/>
    <numFmt numFmtId="168" formatCode="_-* #,##0.00_-;\-* #,##0.00_-;_-* \-??_-;_-@_-"/>
    <numFmt numFmtId="169" formatCode="General"/>
    <numFmt numFmtId="170" formatCode="0"/>
    <numFmt numFmtId="171" formatCode="0.00"/>
    <numFmt numFmtId="172" formatCode="#,##0_ ;\-#,##0\ "/>
    <numFmt numFmtId="173" formatCode="0.00%"/>
    <numFmt numFmtId="174" formatCode="#,##0"/>
    <numFmt numFmtId="175" formatCode="@"/>
    <numFmt numFmtId="176" formatCode="d/m/yyyy"/>
    <numFmt numFmtId="177" formatCode="0.0000"/>
    <numFmt numFmtId="178" formatCode="#,##0.00"/>
    <numFmt numFmtId="179" formatCode="_(* #,##0_);_(* \(#,##0\);_(* \-??_);_(@_)"/>
    <numFmt numFmtId="180" formatCode="* #,##0.00\ ;* \(#,##0.00\);* \-#\ ;@\ "/>
  </numFmts>
  <fonts count="5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name val="Times New Roman"/>
      <family val="1"/>
      <charset val="1"/>
    </font>
    <font>
      <sz val="11"/>
      <color rgb="FF333333"/>
      <name val="Calibri"/>
      <family val="2"/>
      <charset val="1"/>
    </font>
    <font>
      <sz val="11"/>
      <name val="Calibri"/>
      <family val="2"/>
      <charset val="1"/>
    </font>
    <font>
      <sz val="10"/>
      <color rgb="FF333333"/>
      <name val="Calibri"/>
      <family val="2"/>
      <charset val="1"/>
    </font>
    <font>
      <b val="true"/>
      <sz val="18"/>
      <name val="Calibri"/>
      <family val="2"/>
      <charset val="1"/>
    </font>
    <font>
      <b val="true"/>
      <sz val="16"/>
      <name val="Calibri"/>
      <family val="2"/>
      <charset val="1"/>
    </font>
    <font>
      <b val="true"/>
      <sz val="11"/>
      <name val="Calibri"/>
      <family val="2"/>
      <charset val="1"/>
    </font>
    <font>
      <sz val="12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color rgb="FFFF0000"/>
      <name val="Calibri"/>
      <family val="2"/>
      <charset val="1"/>
    </font>
    <font>
      <sz val="10"/>
      <name val="Calibri"/>
      <family val="2"/>
      <charset val="1"/>
    </font>
    <font>
      <sz val="9"/>
      <name val="Calibri"/>
      <family val="2"/>
      <charset val="1"/>
    </font>
    <font>
      <sz val="10"/>
      <color rgb="FFFF0000"/>
      <name val="Calibri"/>
      <family val="2"/>
      <charset val="1"/>
    </font>
    <font>
      <sz val="11"/>
      <color rgb="FF808080"/>
      <name val="Calibri"/>
      <family val="2"/>
      <charset val="1"/>
    </font>
    <font>
      <b val="true"/>
      <i val="true"/>
      <u val="singl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u val="single"/>
      <sz val="10"/>
      <name val="Calibri"/>
      <family val="2"/>
      <charset val="1"/>
    </font>
    <font>
      <i val="true"/>
      <sz val="11"/>
      <color rgb="FF339966"/>
      <name val="Calibri"/>
      <family val="2"/>
      <charset val="1"/>
    </font>
    <font>
      <sz val="8"/>
      <name val="Calibri"/>
      <family val="2"/>
      <charset val="1"/>
    </font>
    <font>
      <b val="true"/>
      <sz val="12"/>
      <name val="Calibri"/>
      <family val="2"/>
      <charset val="1"/>
    </font>
    <font>
      <sz val="10"/>
      <color rgb="FFFFFFFF"/>
      <name val="Calibri"/>
      <family val="2"/>
      <charset val="1"/>
    </font>
    <font>
      <b val="true"/>
      <sz val="14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2"/>
      <color rgb="FF333333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9"/>
      <color rgb="FF333333"/>
      <name val="Calibri"/>
      <family val="2"/>
      <charset val="1"/>
    </font>
    <font>
      <b val="true"/>
      <sz val="9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8"/>
      <name val="Calibri"/>
      <family val="2"/>
      <charset val="1"/>
    </font>
    <font>
      <b val="true"/>
      <sz val="9"/>
      <color rgb="FFFF0000"/>
      <name val="Calibri"/>
      <family val="2"/>
      <charset val="1"/>
    </font>
    <font>
      <b val="true"/>
      <sz val="6"/>
      <name val="Calibri"/>
      <family val="2"/>
      <charset val="1"/>
    </font>
    <font>
      <sz val="11"/>
      <name val="Times New Roman"/>
      <family val="1"/>
      <charset val="1"/>
    </font>
    <font>
      <sz val="10"/>
      <color rgb="FFFF0000"/>
      <name val="Arial"/>
      <family val="2"/>
      <charset val="1"/>
    </font>
    <font>
      <b val="true"/>
      <sz val="12"/>
      <color rgb="FFBFBFBF"/>
      <name val="Calibri"/>
      <family val="2"/>
      <charset val="1"/>
    </font>
    <font>
      <b val="true"/>
      <sz val="10"/>
      <color rgb="FFC00000"/>
      <name val="Calibri"/>
      <family val="2"/>
      <charset val="1"/>
    </font>
    <font>
      <b val="true"/>
      <sz val="7"/>
      <name val="Calibri"/>
      <family val="2"/>
      <charset val="1"/>
    </font>
    <font>
      <sz val="10"/>
      <color rgb="FFC00000"/>
      <name val="Calibri"/>
      <family val="2"/>
      <charset val="1"/>
    </font>
    <font>
      <b val="true"/>
      <sz val="12"/>
      <name val="Times New Roman"/>
      <family val="1"/>
      <charset val="1"/>
    </font>
    <font>
      <b val="true"/>
      <sz val="28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sz val="14"/>
      <name val="Calibri"/>
      <family val="2"/>
      <charset val="1"/>
    </font>
    <font>
      <b val="true"/>
      <sz val="12.5"/>
      <name val="Calibri"/>
      <family val="2"/>
      <charset val="1"/>
    </font>
    <font>
      <b val="true"/>
      <sz val="8"/>
      <color rgb="FFFF0000"/>
      <name val="Calibri"/>
      <family val="2"/>
      <charset val="1"/>
    </font>
  </fonts>
  <fills count="20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F8CBAD"/>
        <bgColor rgb="FFFFC7CE"/>
      </patternFill>
    </fill>
    <fill>
      <patternFill patternType="solid">
        <fgColor rgb="FFFFFFCC"/>
        <bgColor rgb="FFFFFFFF"/>
      </patternFill>
    </fill>
    <fill>
      <patternFill patternType="solid">
        <fgColor rgb="FFDCE6F2"/>
        <bgColor rgb="FFDEEBF7"/>
      </patternFill>
    </fill>
    <fill>
      <patternFill patternType="solid">
        <fgColor rgb="FFF2DCDB"/>
        <bgColor rgb="FFD9D9D9"/>
      </patternFill>
    </fill>
    <fill>
      <patternFill patternType="solid">
        <fgColor rgb="FF606060"/>
        <bgColor rgb="FF595959"/>
      </patternFill>
    </fill>
    <fill>
      <patternFill patternType="solid">
        <fgColor rgb="FF595959"/>
        <bgColor rgb="FF606060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DEEBF7"/>
      </patternFill>
    </fill>
    <fill>
      <patternFill patternType="solid">
        <fgColor rgb="FF3366CC"/>
        <bgColor rgb="FF0066CC"/>
      </patternFill>
    </fill>
    <fill>
      <patternFill patternType="solid">
        <fgColor rgb="FFD9D9D9"/>
        <bgColor rgb="FFDCE6F2"/>
      </patternFill>
    </fill>
    <fill>
      <patternFill patternType="solid">
        <fgColor rgb="FFDEEBF7"/>
        <bgColor rgb="FFDCE6F2"/>
      </patternFill>
    </fill>
    <fill>
      <patternFill patternType="solid">
        <fgColor rgb="FF10243E"/>
        <bgColor rgb="FF333333"/>
      </patternFill>
    </fill>
    <fill>
      <patternFill patternType="solid">
        <fgColor rgb="FFBDD7EE"/>
        <bgColor rgb="FFD9D9D9"/>
      </patternFill>
    </fill>
    <fill>
      <patternFill patternType="solid">
        <fgColor rgb="FFC0C0C0"/>
        <bgColor rgb="FFBFBFBF"/>
      </patternFill>
    </fill>
    <fill>
      <patternFill patternType="solid">
        <fgColor rgb="FF808080"/>
        <bgColor rgb="FF969696"/>
      </patternFill>
    </fill>
    <fill>
      <patternFill patternType="solid">
        <fgColor rgb="FFADB9CA"/>
        <bgColor rgb="FFBFBFBF"/>
      </patternFill>
    </fill>
    <fill>
      <patternFill patternType="solid">
        <fgColor rgb="FF00B0F0"/>
        <bgColor rgb="FF33CCCC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/>
      <bottom/>
      <diagonal/>
    </border>
  </borders>
  <cellStyleXfs count="4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4" fillId="0" borderId="0" applyFont="true" applyBorder="false" applyAlignment="true" applyProtection="false">
      <alignment horizontal="general" vertical="bottom" textRotation="0" wrapText="false" indent="0" shrinkToFit="false"/>
    </xf>
    <xf numFmtId="166" fontId="4" fillId="0" borderId="0" applyFont="true" applyBorder="false" applyAlignment="true" applyProtection="false">
      <alignment horizontal="general" vertical="bottom" textRotation="0" wrapText="false" indent="0" shrinkToFit="false"/>
    </xf>
    <xf numFmtId="166" fontId="5" fillId="0" borderId="0" applyFont="true" applyBorder="false" applyAlignment="true" applyProtection="false">
      <alignment horizontal="general" vertical="bottom" textRotation="0" wrapText="false" indent="0" shrinkToFit="false"/>
    </xf>
    <xf numFmtId="167" fontId="4" fillId="0" borderId="0" applyFont="true" applyBorder="false" applyAlignment="true" applyProtection="false">
      <alignment horizontal="general" vertical="bottom" textRotation="0" wrapText="false" indent="0" shrinkToFit="false"/>
    </xf>
    <xf numFmtId="167" fontId="4" fillId="0" borderId="0" applyFont="true" applyBorder="false" applyAlignment="true" applyProtection="false">
      <alignment horizontal="general" vertical="bottom" textRotation="0" wrapText="false" indent="0" shrinkToFit="false"/>
    </xf>
    <xf numFmtId="167" fontId="4" fillId="0" borderId="0" applyFont="true" applyBorder="false" applyAlignment="true" applyProtection="false">
      <alignment horizontal="general" vertical="bottom" textRotation="0" wrapText="false" indent="0" shrinkToFit="false"/>
    </xf>
    <xf numFmtId="167" fontId="4" fillId="0" borderId="0" applyFont="true" applyBorder="false" applyAlignment="true" applyProtection="false">
      <alignment horizontal="general" vertical="bottom" textRotation="0" wrapText="false" indent="0" shrinkToFit="false"/>
    </xf>
    <xf numFmtId="168" fontId="5" fillId="0" borderId="0" applyFont="true" applyBorder="false" applyAlignment="true" applyProtection="false">
      <alignment horizontal="general" vertical="bottom" textRotation="0" wrapText="false" indent="0" shrinkToFit="false"/>
    </xf>
    <xf numFmtId="167" fontId="4" fillId="0" borderId="0" applyFont="true" applyBorder="false" applyAlignment="true" applyProtection="false">
      <alignment horizontal="general" vertical="bottom" textRotation="0" wrapText="false" indent="0" shrinkToFit="false"/>
    </xf>
    <xf numFmtId="168" fontId="6" fillId="0" borderId="0" applyFont="true" applyBorder="false" applyAlignment="true" applyProtection="false">
      <alignment horizontal="general" vertical="bottom" textRotation="0" wrapText="false" indent="0" shrinkToFit="false"/>
    </xf>
    <xf numFmtId="167" fontId="5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80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22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22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22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3" xfId="22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9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22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0" xfId="22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0" xfId="22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7" fillId="0" borderId="0" xfId="22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9" fontId="8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10" fillId="2" borderId="4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4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22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22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22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22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xfId="22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7" fillId="0" borderId="4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3" borderId="5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3" borderId="6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3" borderId="5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3" borderId="7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3" borderId="8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3" borderId="9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3" borderId="9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3" borderId="10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8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5" borderId="11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5" borderId="12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5" borderId="13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5" borderId="14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5" borderId="15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5" borderId="16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5" fillId="0" borderId="17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0" borderId="4" xfId="2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0" fontId="15" fillId="0" borderId="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6" borderId="18" xfId="4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6" borderId="4" xfId="4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17" fillId="6" borderId="17" xfId="4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15" fillId="0" borderId="19" xfId="4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6" borderId="20" xfId="4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8" fillId="7" borderId="20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8" fillId="7" borderId="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0" borderId="1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0" borderId="4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0" borderId="19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8" borderId="20" xfId="4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5" fillId="8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22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5" borderId="2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5" borderId="2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5" borderId="2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5" borderId="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5" borderId="26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5" borderId="2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5" borderId="28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5" borderId="2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5" borderId="22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0" xfId="22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22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22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0" xfId="22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0" fillId="0" borderId="0" xfId="22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3" fillId="5" borderId="4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0" xfId="22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4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15" fillId="0" borderId="4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30" xfId="2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0" xfId="31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0" xfId="3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5" borderId="31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5" borderId="32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5" borderId="33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4" borderId="34" xfId="3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5" borderId="34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5" borderId="19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5" borderId="17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5" borderId="17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8" fillId="0" borderId="17" xfId="2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9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9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7" fillId="6" borderId="12" xfId="4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5" fillId="0" borderId="14" xfId="3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13" fillId="0" borderId="20" xfId="3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5" fillId="0" borderId="12" xfId="3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0" borderId="18" xfId="3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0" borderId="19" xfId="3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0" borderId="4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15" fillId="0" borderId="1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5" fillId="9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0" fontId="8" fillId="9" borderId="17" xfId="2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9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9" borderId="4" xfId="4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9" borderId="4" xfId="4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9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3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0" fillId="0" borderId="36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8" fillId="0" borderId="37" xfId="2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4" xfId="4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5" fillId="0" borderId="18" xfId="3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5" borderId="14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0" xfId="31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5" borderId="38" xfId="41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3" fontId="13" fillId="5" borderId="21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5" borderId="19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5" borderId="22" xfId="41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3" fillId="5" borderId="29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0" xfId="31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39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5" borderId="40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5" borderId="41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5" borderId="42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5" fillId="0" borderId="17" xfId="4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4" xfId="4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4" xfId="4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6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5" fillId="0" borderId="4" xfId="3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0" borderId="4" xfId="4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28" xfId="4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9" borderId="4" xfId="4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3" fillId="5" borderId="3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9" borderId="4" xfId="4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9" borderId="28" xfId="4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4" xfId="4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4" xfId="4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28" xfId="4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4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4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7" fillId="0" borderId="18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8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4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3" fillId="0" borderId="1" xfId="2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3" xfId="2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25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0" xfId="25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5" fillId="2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5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1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5" fillId="11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1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5" fillId="9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6" fillId="0" borderId="0" xfId="22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1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22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6" fontId="11" fillId="0" borderId="0" xfId="22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22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5" fillId="12" borderId="4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12" borderId="4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7" fontId="12" fillId="0" borderId="0" xfId="22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7" fillId="0" borderId="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4" xfId="22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7" fillId="0" borderId="4" xfId="2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8" fontId="7" fillId="2" borderId="4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8" fontId="7" fillId="0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7" fillId="8" borderId="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7" fillId="8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1" fillId="0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8" fillId="7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7" fillId="8" borderId="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8" borderId="4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7" fillId="9" borderId="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9" borderId="1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7" fillId="0" borderId="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7" fillId="2" borderId="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4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22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1" fillId="0" borderId="1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12" borderId="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4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2" borderId="4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43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11" fillId="0" borderId="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7" fillId="2" borderId="4" xfId="1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7" fillId="2" borderId="4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8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44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7" fillId="0" borderId="2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4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43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8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1" fontId="7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78" fontId="27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3" fontId="7" fillId="2" borderId="4" xfId="3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22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4" xfId="22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1" fillId="12" borderId="4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7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12" borderId="18" xfId="2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12" borderId="0" xfId="22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22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3" fontId="20" fillId="0" borderId="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7" fillId="10" borderId="18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6" fontId="7" fillId="0" borderId="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7" fillId="0" borderId="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7" fillId="0" borderId="0" xfId="22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6" fontId="7" fillId="0" borderId="0" xfId="22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22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12" borderId="4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12" borderId="4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12" borderId="28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32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45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3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8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46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12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43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47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4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4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12" borderId="5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13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3" fillId="12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0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1" fillId="1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12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16" fillId="2" borderId="19" xfId="23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3" fontId="16" fillId="0" borderId="19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1" fillId="1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3" fontId="31" fillId="12" borderId="19" xfId="3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12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25" fillId="14" borderId="1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3" fontId="32" fillId="0" borderId="19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3" fontId="16" fillId="2" borderId="19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33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3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2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5" fillId="15" borderId="3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17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1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3" fontId="32" fillId="0" borderId="19" xfId="3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17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5" borderId="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15" borderId="1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15" fillId="15" borderId="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17" fillId="15" borderId="1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12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7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16" fillId="0" borderId="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16" fillId="0" borderId="1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15" borderId="17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32" fillId="15" borderId="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32" fillId="15" borderId="1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12" borderId="3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2" fillId="0" borderId="17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32" fillId="0" borderId="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36" fillId="0" borderId="1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14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1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5" fillId="14" borderId="4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14" borderId="51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32" fillId="15" borderId="2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32" fillId="15" borderId="28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36" fillId="15" borderId="2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1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" xfId="3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" xfId="3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48" xfId="3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49" xfId="3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12" borderId="50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25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1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3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31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7" fillId="12" borderId="17" xfId="3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2" borderId="4" xfId="3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2" borderId="4" xfId="3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12" borderId="19" xfId="3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6" borderId="4" xfId="3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12" borderId="4" xfId="3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6" borderId="12" xfId="3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6" borderId="13" xfId="3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8" fillId="9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9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0" borderId="4" xfId="3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5" fillId="2" borderId="4" xfId="2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8" fontId="15" fillId="0" borderId="4" xfId="3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2" borderId="19" xfId="3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15" fillId="0" borderId="4" xfId="3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9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5" fillId="2" borderId="19" xfId="3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38" fillId="9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9" borderId="4" xfId="4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9" borderId="4" xfId="4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9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8" fillId="9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1" fontId="15" fillId="2" borderId="36" xfId="2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2" borderId="52" xfId="3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38" fillId="9" borderId="4" xfId="4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9" borderId="4" xfId="4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12" borderId="22" xfId="3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3" fillId="12" borderId="28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3" fillId="12" borderId="29" xfId="3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0" borderId="0" xfId="31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3" xfId="3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3" xfId="3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31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49" xfId="3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16" borderId="12" xfId="3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16" borderId="12" xfId="3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2" borderId="19" xfId="3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8" fillId="9" borderId="4" xfId="4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8" fillId="9" borderId="4" xfId="4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2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8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25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25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9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50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1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3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25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40" fillId="0" borderId="49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12" borderId="17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2" borderId="4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8" fontId="13" fillId="12" borderId="4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8" fontId="13" fillId="12" borderId="19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20" xfId="3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9" fontId="4" fillId="0" borderId="4" xfId="4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9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9" fontId="4" fillId="9" borderId="4" xfId="4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5" fillId="2" borderId="4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8" fontId="15" fillId="0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5" fillId="0" borderId="19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9" fontId="4" fillId="0" borderId="46" xfId="4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9" borderId="4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9" fontId="4" fillId="9" borderId="46" xfId="4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5" fillId="2" borderId="46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5" fontId="11" fillId="12" borderId="4" xfId="3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8" fontId="34" fillId="12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9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9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9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9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4" xfId="3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9" borderId="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5" fillId="2" borderId="12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8" fontId="15" fillId="0" borderId="1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5" fillId="0" borderId="1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9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8" fontId="15" fillId="2" borderId="4" xfId="1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5" fontId="11" fillId="12" borderId="22" xfId="3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8" fontId="34" fillId="12" borderId="29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25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25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0" fontId="7" fillId="0" borderId="0" xfId="25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25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7" fillId="0" borderId="0" xfId="25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8" fontId="7" fillId="0" borderId="0" xfId="25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54" xfId="2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23" fillId="0" borderId="30" xfId="2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3" fillId="0" borderId="30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30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30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7" fillId="0" borderId="30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7" fillId="0" borderId="30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8" fontId="7" fillId="0" borderId="55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13" borderId="4" xfId="3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3" xfId="2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23" fillId="0" borderId="0" xfId="25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70" fontId="23" fillId="0" borderId="0" xfId="25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0" xfId="25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8" fontId="7" fillId="0" borderId="49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3" fillId="0" borderId="0" xfId="25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70" fontId="23" fillId="0" borderId="0" xfId="25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0" xfId="25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25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0" fontId="7" fillId="0" borderId="0" xfId="25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1" fontId="7" fillId="0" borderId="0" xfId="25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8" fontId="7" fillId="0" borderId="49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12" borderId="9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1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5" borderId="4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0" xfId="2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38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5" xfId="2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7" fillId="0" borderId="35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7" fillId="0" borderId="35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7" fillId="0" borderId="56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7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4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7" fillId="0" borderId="4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4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2" fillId="0" borderId="4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3" fillId="0" borderId="4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8" fontId="13" fillId="0" borderId="19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17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9" borderId="4" xfId="4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9" fontId="5" fillId="9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9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70" fontId="15" fillId="0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5" fillId="2" borderId="4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3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9" borderId="4" xfId="4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9" borderId="4" xfId="4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9" fillId="0" borderId="11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9" fontId="5" fillId="9" borderId="4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8" fontId="13" fillId="0" borderId="17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3" fillId="0" borderId="19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12" borderId="57" xfId="2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1" fontId="24" fillId="12" borderId="58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44" fillId="12" borderId="2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3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0" xfId="25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70" fontId="15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25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71" fontId="15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5" fillId="0" borderId="49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5" borderId="46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5" borderId="46" xfId="4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9" borderId="4" xfId="4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0" fontId="13" fillId="0" borderId="4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5" fillId="0" borderId="11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9" fillId="0" borderId="11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5" fillId="2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8" fontId="13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3" fillId="0" borderId="29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25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70" fontId="24" fillId="0" borderId="0" xfId="25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1" fontId="24" fillId="0" borderId="0" xfId="25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8" fontId="24" fillId="0" borderId="49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9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45" fillId="0" borderId="17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3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3" fillId="0" borderId="2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9" borderId="4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9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9" borderId="4" xfId="2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0" xfId="29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25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6" fillId="12" borderId="4" xfId="2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29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2" fillId="9" borderId="4" xfId="2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34" fillId="9" borderId="4" xfId="2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5" fontId="47" fillId="9" borderId="4" xfId="2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5" fontId="32" fillId="0" borderId="4" xfId="2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32" fillId="0" borderId="4" xfId="2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0" borderId="0" xfId="29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4" fillId="9" borderId="4" xfId="2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9" borderId="4" xfId="2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7" fillId="9" borderId="4" xfId="2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0" xfId="29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8" fillId="17" borderId="4" xfId="2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17" borderId="4" xfId="29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8" fontId="48" fillId="17" borderId="4" xfId="2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4" xfId="2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4" xfId="29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3" fontId="15" fillId="0" borderId="4" xfId="2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5" fillId="9" borderId="4" xfId="4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33" fillId="0" borderId="4" xfId="2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0" borderId="4" xfId="2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3" fontId="34" fillId="0" borderId="4" xfId="2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3" fillId="9" borderId="4" xfId="46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4" fillId="12" borderId="4" xfId="2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4" fillId="12" borderId="4" xfId="29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5" fillId="0" borderId="4" xfId="2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4" xfId="29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5" fillId="0" borderId="4" xfId="29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8" fontId="15" fillId="0" borderId="4" xfId="29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8" fontId="15" fillId="0" borderId="4" xfId="2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4" xfId="29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8" fontId="34" fillId="0" borderId="4" xfId="29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34" fillId="12" borderId="4" xfId="29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3" fontId="34" fillId="12" borderId="4" xfId="2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12" borderId="18" xfId="29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34" fillId="12" borderId="35" xfId="29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5" fillId="0" borderId="4" xfId="29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3" fontId="15" fillId="0" borderId="4" xfId="29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8" fontId="15" fillId="9" borderId="4" xfId="29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4" fillId="0" borderId="4" xfId="2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4" xfId="29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3" fontId="34" fillId="0" borderId="4" xfId="29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8" fontId="34" fillId="9" borderId="4" xfId="29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5" fillId="9" borderId="4" xfId="2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4" fillId="0" borderId="4" xfId="29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5" fillId="0" borderId="4" xfId="29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8" fontId="34" fillId="0" borderId="4" xfId="29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34" fillId="12" borderId="4" xfId="2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12" borderId="4" xfId="2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4" xfId="2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8" fontId="33" fillId="9" borderId="4" xfId="2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8" fontId="33" fillId="9" borderId="4" xfId="2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0" borderId="4" xfId="29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4" fillId="0" borderId="4" xfId="2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8" fontId="34" fillId="9" borderId="4" xfId="2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8" fontId="34" fillId="12" borderId="4" xfId="2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48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3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49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18" borderId="20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9" fillId="0" borderId="0" xfId="22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9" fontId="11" fillId="0" borderId="20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9" borderId="59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12" borderId="60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0" fillId="12" borderId="61" xfId="2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6" fillId="12" borderId="61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12" borderId="61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12" borderId="61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12" borderId="62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2" borderId="51" xfId="22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11" fillId="12" borderId="50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12" borderId="57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12" borderId="51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12" borderId="41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12" borderId="9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12" borderId="63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12" borderId="2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2" borderId="63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2" borderId="38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12" borderId="64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2" borderId="33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2" borderId="44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2" borderId="41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2" borderId="34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2" borderId="60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2" borderId="22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12" borderId="29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2" borderId="2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28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2" borderId="65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2" borderId="29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2" borderId="27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12" borderId="65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9" xfId="22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9" fontId="7" fillId="0" borderId="16" xfId="2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0" fontId="7" fillId="0" borderId="1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7" fillId="0" borderId="11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7" fillId="0" borderId="1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7" fillId="0" borderId="13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7" fillId="0" borderId="41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0" borderId="1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0" borderId="33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7" fillId="0" borderId="16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0" borderId="13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1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1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0" borderId="66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12" borderId="1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12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12" borderId="19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67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8" fontId="7" fillId="0" borderId="38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0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0" borderId="19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7" fillId="0" borderId="21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2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12" borderId="17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12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12" borderId="19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7" fillId="0" borderId="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7" fillId="0" borderId="19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7" fillId="0" borderId="35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0" borderId="1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0" borderId="2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12" borderId="2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7" fillId="0" borderId="1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0" borderId="1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9" borderId="2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9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9" borderId="19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0" borderId="24" xfId="2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0" fontId="7" fillId="0" borderId="68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7" fillId="0" borderId="2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7" fillId="0" borderId="28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7" fillId="0" borderId="25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7" fillId="0" borderId="27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0" borderId="68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0" borderId="2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27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68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0" borderId="23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0" borderId="5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12" borderId="27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12" borderId="28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12" borderId="29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69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4" fillId="12" borderId="9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4" fillId="12" borderId="2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24" fillId="12" borderId="68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24" fillId="12" borderId="23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24" fillId="12" borderId="2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24" fillId="12" borderId="25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4" fillId="12" borderId="7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24" fillId="12" borderId="70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4" fillId="12" borderId="5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4" fillId="19" borderId="69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3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22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4" fillId="12" borderId="9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2" fillId="12" borderId="5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4" fillId="12" borderId="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50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5" fillId="0" borderId="50" xfId="2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51" xfId="22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5" fillId="0" borderId="0" xfId="22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3" xfId="2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8" fontId="15" fillId="0" borderId="0" xfId="25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2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8" fontId="15" fillId="0" borderId="2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5" fillId="0" borderId="2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8" fontId="15" fillId="0" borderId="48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3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0" xfId="25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8" fontId="15" fillId="0" borderId="0" xfId="25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8" fontId="15" fillId="0" borderId="49" xfId="2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3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12" borderId="9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12" borderId="50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51" xfId="2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13" fillId="0" borderId="34" xfId="2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8" fontId="32" fillId="12" borderId="9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2" borderId="71" xfId="2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12" borderId="58" xfId="2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12" borderId="34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7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4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4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72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6" fillId="0" borderId="19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37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0" borderId="4" xfId="25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15" fillId="0" borderId="4" xfId="2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8" fontId="15" fillId="12" borderId="4" xfId="3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5" fillId="0" borderId="4" xfId="3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5" fillId="0" borderId="19" xfId="3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0" borderId="4" xfId="2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46" xfId="25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3" fontId="15" fillId="0" borderId="46" xfId="2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8" fontId="15" fillId="12" borderId="46" xfId="3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5" fillId="0" borderId="46" xfId="3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5" fillId="0" borderId="52" xfId="3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12" borderId="4" xfId="2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8" fontId="13" fillId="12" borderId="4" xfId="3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3" fillId="12" borderId="19" xfId="3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53" xfId="2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3" fontId="15" fillId="0" borderId="12" xfId="2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3" fillId="12" borderId="60" xfId="3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8" fontId="13" fillId="12" borderId="7" xfId="3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3" fillId="12" borderId="8" xfId="3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12" borderId="15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17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4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5" fillId="0" borderId="19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17" xfId="2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1" fontId="15" fillId="0" borderId="4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17" xfId="2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1" fontId="15" fillId="0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5" fillId="0" borderId="4" xfId="3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15" fillId="0" borderId="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5" fillId="0" borderId="4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5" fillId="0" borderId="0" xfId="38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4" xfId="2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37" xfId="2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1" fontId="15" fillId="0" borderId="46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5" fillId="0" borderId="46" xfId="3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12" borderId="5" xfId="2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18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8" fontId="15" fillId="0" borderId="56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38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35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15" fillId="0" borderId="4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5" fillId="0" borderId="35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17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54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30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15" fillId="0" borderId="46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5" fillId="0" borderId="30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12" borderId="60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12" borderId="61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13" fillId="12" borderId="7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3" fillId="12" borderId="7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12" borderId="57" xfId="2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8" fontId="13" fillId="12" borderId="68" xfId="3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3" fillId="12" borderId="25" xfId="3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12" borderId="63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5" fillId="0" borderId="4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12" borderId="37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13" fillId="12" borderId="46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3" fillId="12" borderId="46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3" fillId="12" borderId="53" xfId="3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3" fillId="12" borderId="73" xfId="3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3" fillId="12" borderId="17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8" fontId="24" fillId="12" borderId="4" xfId="3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24" fillId="12" borderId="19" xfId="3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3" fillId="12" borderId="17" xfId="2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15" fillId="0" borderId="0" xfId="25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12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24" fillId="12" borderId="28" xfId="3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13" fillId="13" borderId="28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13" borderId="29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15" fillId="0" borderId="4" xfId="2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4" fillId="1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0" borderId="1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2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1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5" fillId="1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1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3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7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3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51" fillId="9" borderId="4" xfId="32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3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oeda 8" xfId="20"/>
    <cellStyle name="Normal 12" xfId="21"/>
    <cellStyle name="Normal 2" xfId="22"/>
    <cellStyle name="Normal 2 2" xfId="23"/>
    <cellStyle name="Normal 2 2 2" xfId="24"/>
    <cellStyle name="Normal 3" xfId="25"/>
    <cellStyle name="Normal 3 3" xfId="26"/>
    <cellStyle name="Normal 4" xfId="27"/>
    <cellStyle name="Normal 7 2" xfId="28"/>
    <cellStyle name="Normal 8" xfId="29"/>
    <cellStyle name="Normal 9" xfId="30"/>
    <cellStyle name="Normal_Plan1" xfId="31"/>
    <cellStyle name="Porcentagem 12" xfId="32"/>
    <cellStyle name="Porcentagem 2" xfId="33"/>
    <cellStyle name="Porcentagem 4" xfId="34"/>
    <cellStyle name="Porcentagem 4 3" xfId="35"/>
    <cellStyle name="Separador de milhares 2 2" xfId="36"/>
    <cellStyle name="Separador de milhares 2 2 2" xfId="37"/>
    <cellStyle name="Separador de milhares 3" xfId="38"/>
    <cellStyle name="Separador de milhares 3 3" xfId="39"/>
    <cellStyle name="Separador de milhares 4 3" xfId="40"/>
    <cellStyle name="Texto Explicativo 4" xfId="41"/>
    <cellStyle name="Vírgula 2" xfId="42"/>
    <cellStyle name="Vírgula 4" xfId="43"/>
    <cellStyle name="Vírgula 5" xfId="44"/>
    <cellStyle name="Excel Built-in Explanatory Text" xfId="45"/>
    <cellStyle name="Excel Built-in Explanatory Text 2" xfId="46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2F2F2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D9D9D9"/>
      <rgbColor rgb="FF993366"/>
      <rgbColor rgb="FFFFFF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C00000"/>
      <rgbColor rgb="FF008080"/>
      <rgbColor rgb="FF0000FF"/>
      <rgbColor rgb="FF00B0F0"/>
      <rgbColor rgb="FFDCE6F2"/>
      <rgbColor rgb="FFC6EFCE"/>
      <rgbColor rgb="FFFFFF99"/>
      <rgbColor rgb="FFADB9CA"/>
      <rgbColor rgb="FFFFC7CE"/>
      <rgbColor rgb="FFBFBFBF"/>
      <rgbColor rgb="FFF8CBAD"/>
      <rgbColor rgb="FF3366CC"/>
      <rgbColor rgb="FF33CCCC"/>
      <rgbColor rgb="FF99CC00"/>
      <rgbColor rgb="FFF2DCDB"/>
      <rgbColor rgb="FFFF9900"/>
      <rgbColor rgb="FFFF6600"/>
      <rgbColor rgb="FF606060"/>
      <rgbColor rgb="FF969696"/>
      <rgbColor rgb="FF10243E"/>
      <rgbColor rgb="FF339966"/>
      <rgbColor rgb="FF003300"/>
      <rgbColor rgb="FF333300"/>
      <rgbColor rgb="FF993300"/>
      <rgbColor rgb="FF993366"/>
      <rgbColor rgb="FF59595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0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3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4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5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6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7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8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9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0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38160</xdr:colOff>
      <xdr:row>0</xdr:row>
      <xdr:rowOff>76320</xdr:rowOff>
    </xdr:from>
    <xdr:to>
      <xdr:col>1</xdr:col>
      <xdr:colOff>1440</xdr:colOff>
      <xdr:row>2</xdr:row>
      <xdr:rowOff>83160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38160" y="76320"/>
          <a:ext cx="406440" cy="473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171360</xdr:colOff>
      <xdr:row>0</xdr:row>
      <xdr:rowOff>38160</xdr:rowOff>
    </xdr:from>
    <xdr:to>
      <xdr:col>0</xdr:col>
      <xdr:colOff>578520</xdr:colOff>
      <xdr:row>2</xdr:row>
      <xdr:rowOff>131040</xdr:rowOff>
    </xdr:to>
    <xdr:pic>
      <xdr:nvPicPr>
        <xdr:cNvPr id="9" name="Picture 1" descr=""/>
        <xdr:cNvPicPr/>
      </xdr:nvPicPr>
      <xdr:blipFill>
        <a:blip r:embed="rId1"/>
        <a:stretch/>
      </xdr:blipFill>
      <xdr:spPr>
        <a:xfrm>
          <a:off x="171360" y="38160"/>
          <a:ext cx="407160" cy="47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171360</xdr:colOff>
      <xdr:row>0</xdr:row>
      <xdr:rowOff>38160</xdr:rowOff>
    </xdr:from>
    <xdr:to>
      <xdr:col>0</xdr:col>
      <xdr:colOff>578520</xdr:colOff>
      <xdr:row>2</xdr:row>
      <xdr:rowOff>131040</xdr:rowOff>
    </xdr:to>
    <xdr:pic>
      <xdr:nvPicPr>
        <xdr:cNvPr id="10" name="Picture 1" descr=""/>
        <xdr:cNvPicPr/>
      </xdr:nvPicPr>
      <xdr:blipFill>
        <a:blip r:embed="rId1"/>
        <a:stretch/>
      </xdr:blipFill>
      <xdr:spPr>
        <a:xfrm>
          <a:off x="171360" y="38160"/>
          <a:ext cx="407160" cy="47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171360</xdr:colOff>
      <xdr:row>0</xdr:row>
      <xdr:rowOff>38160</xdr:rowOff>
    </xdr:from>
    <xdr:to>
      <xdr:col>0</xdr:col>
      <xdr:colOff>578520</xdr:colOff>
      <xdr:row>2</xdr:row>
      <xdr:rowOff>131040</xdr:rowOff>
    </xdr:to>
    <xdr:pic>
      <xdr:nvPicPr>
        <xdr:cNvPr id="11" name="Picture 1" descr=""/>
        <xdr:cNvPicPr/>
      </xdr:nvPicPr>
      <xdr:blipFill>
        <a:blip r:embed="rId1"/>
        <a:stretch/>
      </xdr:blipFill>
      <xdr:spPr>
        <a:xfrm>
          <a:off x="171360" y="38160"/>
          <a:ext cx="407160" cy="47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171360</xdr:colOff>
      <xdr:row>0</xdr:row>
      <xdr:rowOff>38160</xdr:rowOff>
    </xdr:from>
    <xdr:to>
      <xdr:col>0</xdr:col>
      <xdr:colOff>578520</xdr:colOff>
      <xdr:row>2</xdr:row>
      <xdr:rowOff>131040</xdr:rowOff>
    </xdr:to>
    <xdr:pic>
      <xdr:nvPicPr>
        <xdr:cNvPr id="12" name="Picture 1" descr=""/>
        <xdr:cNvPicPr/>
      </xdr:nvPicPr>
      <xdr:blipFill>
        <a:blip r:embed="rId1"/>
        <a:stretch/>
      </xdr:blipFill>
      <xdr:spPr>
        <a:xfrm>
          <a:off x="171360" y="38160"/>
          <a:ext cx="407160" cy="47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171360</xdr:colOff>
      <xdr:row>0</xdr:row>
      <xdr:rowOff>38160</xdr:rowOff>
    </xdr:from>
    <xdr:to>
      <xdr:col>0</xdr:col>
      <xdr:colOff>578520</xdr:colOff>
      <xdr:row>2</xdr:row>
      <xdr:rowOff>131040</xdr:rowOff>
    </xdr:to>
    <xdr:pic>
      <xdr:nvPicPr>
        <xdr:cNvPr id="13" name="Picture 1" descr=""/>
        <xdr:cNvPicPr/>
      </xdr:nvPicPr>
      <xdr:blipFill>
        <a:blip r:embed="rId1"/>
        <a:stretch/>
      </xdr:blipFill>
      <xdr:spPr>
        <a:xfrm>
          <a:off x="171360" y="38160"/>
          <a:ext cx="407160" cy="47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171360</xdr:colOff>
      <xdr:row>0</xdr:row>
      <xdr:rowOff>38160</xdr:rowOff>
    </xdr:from>
    <xdr:to>
      <xdr:col>0</xdr:col>
      <xdr:colOff>578520</xdr:colOff>
      <xdr:row>2</xdr:row>
      <xdr:rowOff>131040</xdr:rowOff>
    </xdr:to>
    <xdr:pic>
      <xdr:nvPicPr>
        <xdr:cNvPr id="14" name="Picture 1" descr=""/>
        <xdr:cNvPicPr/>
      </xdr:nvPicPr>
      <xdr:blipFill>
        <a:blip r:embed="rId1"/>
        <a:stretch/>
      </xdr:blipFill>
      <xdr:spPr>
        <a:xfrm>
          <a:off x="171360" y="38160"/>
          <a:ext cx="407160" cy="47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171360</xdr:colOff>
      <xdr:row>0</xdr:row>
      <xdr:rowOff>38160</xdr:rowOff>
    </xdr:from>
    <xdr:to>
      <xdr:col>0</xdr:col>
      <xdr:colOff>578520</xdr:colOff>
      <xdr:row>2</xdr:row>
      <xdr:rowOff>131040</xdr:rowOff>
    </xdr:to>
    <xdr:pic>
      <xdr:nvPicPr>
        <xdr:cNvPr id="15" name="Picture 1" descr=""/>
        <xdr:cNvPicPr/>
      </xdr:nvPicPr>
      <xdr:blipFill>
        <a:blip r:embed="rId1"/>
        <a:stretch/>
      </xdr:blipFill>
      <xdr:spPr>
        <a:xfrm>
          <a:off x="171360" y="38160"/>
          <a:ext cx="407160" cy="47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171360</xdr:colOff>
      <xdr:row>0</xdr:row>
      <xdr:rowOff>38160</xdr:rowOff>
    </xdr:from>
    <xdr:to>
      <xdr:col>0</xdr:col>
      <xdr:colOff>578520</xdr:colOff>
      <xdr:row>2</xdr:row>
      <xdr:rowOff>131040</xdr:rowOff>
    </xdr:to>
    <xdr:pic>
      <xdr:nvPicPr>
        <xdr:cNvPr id="16" name="Picture 1" descr=""/>
        <xdr:cNvPicPr/>
      </xdr:nvPicPr>
      <xdr:blipFill>
        <a:blip r:embed="rId1"/>
        <a:stretch/>
      </xdr:blipFill>
      <xdr:spPr>
        <a:xfrm>
          <a:off x="171360" y="38160"/>
          <a:ext cx="407160" cy="47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171360</xdr:colOff>
      <xdr:row>0</xdr:row>
      <xdr:rowOff>38160</xdr:rowOff>
    </xdr:from>
    <xdr:to>
      <xdr:col>0</xdr:col>
      <xdr:colOff>578520</xdr:colOff>
      <xdr:row>2</xdr:row>
      <xdr:rowOff>131040</xdr:rowOff>
    </xdr:to>
    <xdr:pic>
      <xdr:nvPicPr>
        <xdr:cNvPr id="17" name="Picture 1" descr=""/>
        <xdr:cNvPicPr/>
      </xdr:nvPicPr>
      <xdr:blipFill>
        <a:blip r:embed="rId1"/>
        <a:stretch/>
      </xdr:blipFill>
      <xdr:spPr>
        <a:xfrm>
          <a:off x="171360" y="38160"/>
          <a:ext cx="407160" cy="47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171360</xdr:colOff>
      <xdr:row>0</xdr:row>
      <xdr:rowOff>38160</xdr:rowOff>
    </xdr:from>
    <xdr:to>
      <xdr:col>0</xdr:col>
      <xdr:colOff>578520</xdr:colOff>
      <xdr:row>2</xdr:row>
      <xdr:rowOff>131040</xdr:rowOff>
    </xdr:to>
    <xdr:pic>
      <xdr:nvPicPr>
        <xdr:cNvPr id="18" name="Picture 1" descr=""/>
        <xdr:cNvPicPr/>
      </xdr:nvPicPr>
      <xdr:blipFill>
        <a:blip r:embed="rId1"/>
        <a:stretch/>
      </xdr:blipFill>
      <xdr:spPr>
        <a:xfrm>
          <a:off x="171360" y="38160"/>
          <a:ext cx="407160" cy="47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95400</xdr:colOff>
      <xdr:row>0</xdr:row>
      <xdr:rowOff>57240</xdr:rowOff>
    </xdr:from>
    <xdr:to>
      <xdr:col>0</xdr:col>
      <xdr:colOff>400680</xdr:colOff>
      <xdr:row>2</xdr:row>
      <xdr:rowOff>26280</xdr:rowOff>
    </xdr:to>
    <xdr:pic>
      <xdr:nvPicPr>
        <xdr:cNvPr id="1" name="Picture 1" descr=""/>
        <xdr:cNvPicPr/>
      </xdr:nvPicPr>
      <xdr:blipFill>
        <a:blip r:embed="rId1"/>
        <a:stretch/>
      </xdr:blipFill>
      <xdr:spPr>
        <a:xfrm>
          <a:off x="95400" y="57240"/>
          <a:ext cx="305280" cy="349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171360</xdr:colOff>
      <xdr:row>0</xdr:row>
      <xdr:rowOff>38160</xdr:rowOff>
    </xdr:from>
    <xdr:to>
      <xdr:col>0</xdr:col>
      <xdr:colOff>578520</xdr:colOff>
      <xdr:row>2</xdr:row>
      <xdr:rowOff>131040</xdr:rowOff>
    </xdr:to>
    <xdr:pic>
      <xdr:nvPicPr>
        <xdr:cNvPr id="19" name="Picture 1" descr=""/>
        <xdr:cNvPicPr/>
      </xdr:nvPicPr>
      <xdr:blipFill>
        <a:blip r:embed="rId1"/>
        <a:stretch/>
      </xdr:blipFill>
      <xdr:spPr>
        <a:xfrm>
          <a:off x="171360" y="38160"/>
          <a:ext cx="407160" cy="47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142920</xdr:colOff>
      <xdr:row>0</xdr:row>
      <xdr:rowOff>38160</xdr:rowOff>
    </xdr:from>
    <xdr:to>
      <xdr:col>0</xdr:col>
      <xdr:colOff>454680</xdr:colOff>
      <xdr:row>2</xdr:row>
      <xdr:rowOff>131040</xdr:rowOff>
    </xdr:to>
    <xdr:pic>
      <xdr:nvPicPr>
        <xdr:cNvPr id="20" name="Picture 1" descr=""/>
        <xdr:cNvPicPr/>
      </xdr:nvPicPr>
      <xdr:blipFill>
        <a:blip r:embed="rId1"/>
        <a:stretch/>
      </xdr:blipFill>
      <xdr:spPr>
        <a:xfrm>
          <a:off x="142920" y="38160"/>
          <a:ext cx="311760" cy="47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112680</xdr:colOff>
      <xdr:row>0</xdr:row>
      <xdr:rowOff>56160</xdr:rowOff>
    </xdr:from>
    <xdr:to>
      <xdr:col>0</xdr:col>
      <xdr:colOff>569160</xdr:colOff>
      <xdr:row>2</xdr:row>
      <xdr:rowOff>202320</xdr:rowOff>
    </xdr:to>
    <xdr:pic>
      <xdr:nvPicPr>
        <xdr:cNvPr id="2" name="Picture 1" descr=""/>
        <xdr:cNvPicPr/>
      </xdr:nvPicPr>
      <xdr:blipFill>
        <a:blip r:embed="rId1"/>
        <a:stretch/>
      </xdr:blipFill>
      <xdr:spPr>
        <a:xfrm>
          <a:off x="112680" y="56160"/>
          <a:ext cx="456480" cy="527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47520</xdr:colOff>
      <xdr:row>0</xdr:row>
      <xdr:rowOff>0</xdr:rowOff>
    </xdr:from>
    <xdr:to>
      <xdr:col>0</xdr:col>
      <xdr:colOff>454680</xdr:colOff>
      <xdr:row>2</xdr:row>
      <xdr:rowOff>92880</xdr:rowOff>
    </xdr:to>
    <xdr:pic>
      <xdr:nvPicPr>
        <xdr:cNvPr id="3" name="Picture 1" descr=""/>
        <xdr:cNvPicPr/>
      </xdr:nvPicPr>
      <xdr:blipFill>
        <a:blip r:embed="rId1"/>
        <a:stretch/>
      </xdr:blipFill>
      <xdr:spPr>
        <a:xfrm>
          <a:off x="47520" y="0"/>
          <a:ext cx="407160" cy="47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67320</xdr:colOff>
      <xdr:row>0</xdr:row>
      <xdr:rowOff>111960</xdr:rowOff>
    </xdr:from>
    <xdr:to>
      <xdr:col>1</xdr:col>
      <xdr:colOff>22320</xdr:colOff>
      <xdr:row>2</xdr:row>
      <xdr:rowOff>42120</xdr:rowOff>
    </xdr:to>
    <xdr:pic>
      <xdr:nvPicPr>
        <xdr:cNvPr id="4" name="Picture 1" descr=""/>
        <xdr:cNvPicPr/>
      </xdr:nvPicPr>
      <xdr:blipFill>
        <a:blip r:embed="rId1"/>
        <a:stretch/>
      </xdr:blipFill>
      <xdr:spPr>
        <a:xfrm>
          <a:off x="67320" y="111960"/>
          <a:ext cx="307440" cy="339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38160</xdr:colOff>
      <xdr:row>0</xdr:row>
      <xdr:rowOff>85680</xdr:rowOff>
    </xdr:from>
    <xdr:to>
      <xdr:col>0</xdr:col>
      <xdr:colOff>359640</xdr:colOff>
      <xdr:row>2</xdr:row>
      <xdr:rowOff>102240</xdr:rowOff>
    </xdr:to>
    <xdr:pic>
      <xdr:nvPicPr>
        <xdr:cNvPr id="5" name="Picture 1" descr=""/>
        <xdr:cNvPicPr/>
      </xdr:nvPicPr>
      <xdr:blipFill>
        <a:blip r:embed="rId1"/>
        <a:stretch/>
      </xdr:blipFill>
      <xdr:spPr>
        <a:xfrm>
          <a:off x="38160" y="85680"/>
          <a:ext cx="321480" cy="302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264600</xdr:colOff>
      <xdr:row>0</xdr:row>
      <xdr:rowOff>52200</xdr:rowOff>
    </xdr:from>
    <xdr:to>
      <xdr:col>0</xdr:col>
      <xdr:colOff>636480</xdr:colOff>
      <xdr:row>2</xdr:row>
      <xdr:rowOff>80280</xdr:rowOff>
    </xdr:to>
    <xdr:pic>
      <xdr:nvPicPr>
        <xdr:cNvPr id="6" name="Picture 1" descr=""/>
        <xdr:cNvPicPr/>
      </xdr:nvPicPr>
      <xdr:blipFill>
        <a:blip r:embed="rId1"/>
        <a:stretch/>
      </xdr:blipFill>
      <xdr:spPr>
        <a:xfrm>
          <a:off x="264600" y="52200"/>
          <a:ext cx="371880" cy="352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95400</xdr:colOff>
      <xdr:row>0</xdr:row>
      <xdr:rowOff>57240</xdr:rowOff>
    </xdr:from>
    <xdr:to>
      <xdr:col>0</xdr:col>
      <xdr:colOff>397800</xdr:colOff>
      <xdr:row>2</xdr:row>
      <xdr:rowOff>26280</xdr:rowOff>
    </xdr:to>
    <xdr:pic>
      <xdr:nvPicPr>
        <xdr:cNvPr id="7" name="Picture 1" descr=""/>
        <xdr:cNvPicPr/>
      </xdr:nvPicPr>
      <xdr:blipFill>
        <a:blip r:embed="rId1"/>
        <a:stretch/>
      </xdr:blipFill>
      <xdr:spPr>
        <a:xfrm>
          <a:off x="95400" y="57240"/>
          <a:ext cx="302400" cy="349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257040</xdr:colOff>
      <xdr:row>0</xdr:row>
      <xdr:rowOff>66600</xdr:rowOff>
    </xdr:from>
    <xdr:to>
      <xdr:col>0</xdr:col>
      <xdr:colOff>664200</xdr:colOff>
      <xdr:row>2</xdr:row>
      <xdr:rowOff>102240</xdr:rowOff>
    </xdr:to>
    <xdr:pic>
      <xdr:nvPicPr>
        <xdr:cNvPr id="8" name="Picture 1" descr=""/>
        <xdr:cNvPicPr/>
      </xdr:nvPicPr>
      <xdr:blipFill>
        <a:blip r:embed="rId1"/>
        <a:stretch/>
      </xdr:blipFill>
      <xdr:spPr>
        <a:xfrm>
          <a:off x="257040" y="66600"/>
          <a:ext cx="407160" cy="4165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12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3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14.xml"/>
</Relationships>
</file>

<file path=xl/worksheets/_rels/sheet15.xml.rels><?xml version="1.0" encoding="UTF-8"?>
<Relationships xmlns="http://schemas.openxmlformats.org/package/2006/relationships"><Relationship Id="rId1" Type="http://schemas.openxmlformats.org/officeDocument/2006/relationships/drawing" Target="../drawings/drawing15.xml"/>
</Relationships>
</file>

<file path=xl/worksheets/_rels/sheet16.xml.rels><?xml version="1.0" encoding="UTF-8"?>
<Relationships xmlns="http://schemas.openxmlformats.org/package/2006/relationships"><Relationship Id="rId1" Type="http://schemas.openxmlformats.org/officeDocument/2006/relationships/drawing" Target="../drawings/drawing16.xml"/>
</Relationships>
</file>

<file path=xl/worksheets/_rels/sheet17.xml.rels><?xml version="1.0" encoding="UTF-8"?>
<Relationships xmlns="http://schemas.openxmlformats.org/package/2006/relationships"><Relationship Id="rId1" Type="http://schemas.openxmlformats.org/officeDocument/2006/relationships/drawing" Target="../drawings/drawing17.xml"/>
</Relationships>
</file>

<file path=xl/worksheets/_rels/sheet18.xml.rels><?xml version="1.0" encoding="UTF-8"?>
<Relationships xmlns="http://schemas.openxmlformats.org/package/2006/relationships"><Relationship Id="rId1" Type="http://schemas.openxmlformats.org/officeDocument/2006/relationships/drawing" Target="../drawings/drawing18.xml"/>
</Relationships>
</file>

<file path=xl/worksheets/_rels/sheet19.xml.rels><?xml version="1.0" encoding="UTF-8"?>
<Relationships xmlns="http://schemas.openxmlformats.org/package/2006/relationships"><Relationship Id="rId1" Type="http://schemas.openxmlformats.org/officeDocument/2006/relationships/drawing" Target="../drawings/drawing19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20.xml.rels><?xml version="1.0" encoding="UTF-8"?>
<Relationships xmlns="http://schemas.openxmlformats.org/package/2006/relationships"><Relationship Id="rId1" Type="http://schemas.openxmlformats.org/officeDocument/2006/relationships/drawing" Target="../drawings/drawing20.xml"/>
</Relationships>
</file>

<file path=xl/worksheets/_rels/sheet21.xml.rels><?xml version="1.0" encoding="UTF-8"?>
<Relationships xmlns="http://schemas.openxmlformats.org/package/2006/relationships"><Relationship Id="rId1" Type="http://schemas.openxmlformats.org/officeDocument/2006/relationships/drawing" Target="../drawings/drawing2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170"/>
  <sheetViews>
    <sheetView showFormulas="false" showGridLines="false" showRowColHeaders="true" showZeros="true" rightToLeft="false" tabSelected="false" showOutlineSymbols="true" defaultGridColor="true" view="normal" topLeftCell="A1" colorId="64" zoomScale="115" zoomScaleNormal="115" zoomScalePageLayoutView="100" workbookViewId="0">
      <selection pane="topLeft" activeCell="A4" activeCellId="0" sqref="A4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6.29"/>
    <col collapsed="false" customWidth="true" hidden="false" outlineLevel="0" max="2" min="2" style="1" width="41.42"/>
    <col collapsed="false" customWidth="true" hidden="false" outlineLevel="0" max="3" min="3" style="1" width="7.86"/>
    <col collapsed="false" customWidth="true" hidden="false" outlineLevel="0" max="4" min="4" style="1" width="16.29"/>
    <col collapsed="false" customWidth="true" hidden="false" outlineLevel="0" max="5" min="5" style="1" width="16.14"/>
    <col collapsed="false" customWidth="true" hidden="false" outlineLevel="0" max="7" min="6" style="1" width="16.29"/>
    <col collapsed="false" customWidth="true" hidden="false" outlineLevel="0" max="8" min="8" style="1" width="13.29"/>
    <col collapsed="false" customWidth="true" hidden="false" outlineLevel="0" max="10" min="9" style="1" width="16.29"/>
    <col collapsed="false" customWidth="true" hidden="false" outlineLevel="0" max="12" min="11" style="2" width="13.86"/>
    <col collapsed="false" customWidth="true" hidden="false" outlineLevel="0" max="13" min="13" style="2" width="14.29"/>
    <col collapsed="false" customWidth="true" hidden="false" outlineLevel="0" max="14" min="14" style="1" width="16.71"/>
    <col collapsed="false" customWidth="true" hidden="false" outlineLevel="0" max="15" min="15" style="1" width="12.86"/>
    <col collapsed="false" customWidth="true" hidden="false" outlineLevel="0" max="16" min="16" style="1" width="18.42"/>
    <col collapsed="false" customWidth="true" hidden="false" outlineLevel="0" max="17" min="17" style="1" width="13.71"/>
    <col collapsed="false" customWidth="true" hidden="false" outlineLevel="0" max="18" min="18" style="3" width="15.85"/>
    <col collapsed="false" customWidth="true" hidden="false" outlineLevel="0" max="19" min="19" style="3" width="9.42"/>
    <col collapsed="false" customWidth="true" hidden="false" outlineLevel="0" max="20" min="20" style="3" width="13.29"/>
    <col collapsed="false" customWidth="true" hidden="false" outlineLevel="0" max="21" min="21" style="3" width="13.86"/>
    <col collapsed="false" customWidth="true" hidden="false" outlineLevel="0" max="22" min="22" style="3" width="15.85"/>
    <col collapsed="false" customWidth="true" hidden="false" outlineLevel="0" max="23" min="23" style="3" width="12.29"/>
    <col collapsed="false" customWidth="false" hidden="false" outlineLevel="0" max="256" min="24" style="1" width="9.14"/>
    <col collapsed="false" customWidth="true" hidden="false" outlineLevel="0" max="257" min="257" style="1" width="6.29"/>
    <col collapsed="false" customWidth="true" hidden="false" outlineLevel="0" max="258" min="258" style="1" width="41.42"/>
    <col collapsed="false" customWidth="true" hidden="false" outlineLevel="0" max="259" min="259" style="1" width="7.86"/>
    <col collapsed="false" customWidth="true" hidden="false" outlineLevel="0" max="260" min="260" style="1" width="16.29"/>
    <col collapsed="false" customWidth="true" hidden="false" outlineLevel="0" max="261" min="261" style="1" width="12.86"/>
    <col collapsed="false" customWidth="true" hidden="false" outlineLevel="0" max="263" min="262" style="1" width="16.29"/>
    <col collapsed="false" customWidth="true" hidden="false" outlineLevel="0" max="264" min="264" style="1" width="13.29"/>
    <col collapsed="false" customWidth="true" hidden="false" outlineLevel="0" max="266" min="265" style="1" width="16.29"/>
    <col collapsed="false" customWidth="true" hidden="false" outlineLevel="0" max="268" min="267" style="1" width="13.86"/>
    <col collapsed="false" customWidth="true" hidden="false" outlineLevel="0" max="269" min="269" style="1" width="13"/>
    <col collapsed="false" customWidth="true" hidden="false" outlineLevel="0" max="270" min="270" style="1" width="13.57"/>
    <col collapsed="false" customWidth="true" hidden="false" outlineLevel="0" max="271" min="271" style="1" width="12.86"/>
    <col collapsed="false" customWidth="true" hidden="false" outlineLevel="0" max="272" min="272" style="1" width="14.14"/>
    <col collapsed="false" customWidth="true" hidden="false" outlineLevel="0" max="273" min="273" style="1" width="12"/>
    <col collapsed="false" customWidth="true" hidden="false" outlineLevel="0" max="274" min="274" style="1" width="13"/>
    <col collapsed="false" customWidth="true" hidden="false" outlineLevel="0" max="275" min="275" style="1" width="11.85"/>
    <col collapsed="false" customWidth="true" hidden="false" outlineLevel="0" max="276" min="276" style="1" width="13.29"/>
    <col collapsed="false" customWidth="true" hidden="false" outlineLevel="0" max="277" min="277" style="1" width="12.29"/>
    <col collapsed="false" customWidth="true" hidden="false" outlineLevel="0" max="278" min="278" style="1" width="12.42"/>
    <col collapsed="false" customWidth="true" hidden="false" outlineLevel="0" max="279" min="279" style="1" width="10.57"/>
    <col collapsed="false" customWidth="false" hidden="false" outlineLevel="0" max="512" min="280" style="1" width="9.14"/>
    <col collapsed="false" customWidth="true" hidden="false" outlineLevel="0" max="513" min="513" style="1" width="6.29"/>
    <col collapsed="false" customWidth="true" hidden="false" outlineLevel="0" max="514" min="514" style="1" width="41.42"/>
    <col collapsed="false" customWidth="true" hidden="false" outlineLevel="0" max="515" min="515" style="1" width="7.86"/>
    <col collapsed="false" customWidth="true" hidden="false" outlineLevel="0" max="516" min="516" style="1" width="16.29"/>
    <col collapsed="false" customWidth="true" hidden="false" outlineLevel="0" max="517" min="517" style="1" width="12.86"/>
    <col collapsed="false" customWidth="true" hidden="false" outlineLevel="0" max="519" min="518" style="1" width="16.29"/>
    <col collapsed="false" customWidth="true" hidden="false" outlineLevel="0" max="520" min="520" style="1" width="13.29"/>
    <col collapsed="false" customWidth="true" hidden="false" outlineLevel="0" max="522" min="521" style="1" width="16.29"/>
    <col collapsed="false" customWidth="true" hidden="false" outlineLevel="0" max="524" min="523" style="1" width="13.86"/>
    <col collapsed="false" customWidth="true" hidden="false" outlineLevel="0" max="525" min="525" style="1" width="13"/>
    <col collapsed="false" customWidth="true" hidden="false" outlineLevel="0" max="526" min="526" style="1" width="13.57"/>
    <col collapsed="false" customWidth="true" hidden="false" outlineLevel="0" max="527" min="527" style="1" width="12.86"/>
    <col collapsed="false" customWidth="true" hidden="false" outlineLevel="0" max="528" min="528" style="1" width="14.14"/>
    <col collapsed="false" customWidth="true" hidden="false" outlineLevel="0" max="529" min="529" style="1" width="12"/>
    <col collapsed="false" customWidth="true" hidden="false" outlineLevel="0" max="530" min="530" style="1" width="13"/>
    <col collapsed="false" customWidth="true" hidden="false" outlineLevel="0" max="531" min="531" style="1" width="11.85"/>
    <col collapsed="false" customWidth="true" hidden="false" outlineLevel="0" max="532" min="532" style="1" width="13.29"/>
    <col collapsed="false" customWidth="true" hidden="false" outlineLevel="0" max="533" min="533" style="1" width="12.29"/>
    <col collapsed="false" customWidth="true" hidden="false" outlineLevel="0" max="534" min="534" style="1" width="12.42"/>
    <col collapsed="false" customWidth="true" hidden="false" outlineLevel="0" max="535" min="535" style="1" width="10.57"/>
    <col collapsed="false" customWidth="false" hidden="false" outlineLevel="0" max="768" min="536" style="1" width="9.14"/>
    <col collapsed="false" customWidth="true" hidden="false" outlineLevel="0" max="769" min="769" style="1" width="6.29"/>
    <col collapsed="false" customWidth="true" hidden="false" outlineLevel="0" max="770" min="770" style="1" width="41.42"/>
    <col collapsed="false" customWidth="true" hidden="false" outlineLevel="0" max="771" min="771" style="1" width="7.86"/>
    <col collapsed="false" customWidth="true" hidden="false" outlineLevel="0" max="772" min="772" style="1" width="16.29"/>
    <col collapsed="false" customWidth="true" hidden="false" outlineLevel="0" max="773" min="773" style="1" width="12.86"/>
    <col collapsed="false" customWidth="true" hidden="false" outlineLevel="0" max="775" min="774" style="1" width="16.29"/>
    <col collapsed="false" customWidth="true" hidden="false" outlineLevel="0" max="776" min="776" style="1" width="13.29"/>
    <col collapsed="false" customWidth="true" hidden="false" outlineLevel="0" max="778" min="777" style="1" width="16.29"/>
    <col collapsed="false" customWidth="true" hidden="false" outlineLevel="0" max="780" min="779" style="1" width="13.86"/>
    <col collapsed="false" customWidth="true" hidden="false" outlineLevel="0" max="781" min="781" style="1" width="13"/>
    <col collapsed="false" customWidth="true" hidden="false" outlineLevel="0" max="782" min="782" style="1" width="13.57"/>
    <col collapsed="false" customWidth="true" hidden="false" outlineLevel="0" max="783" min="783" style="1" width="12.86"/>
    <col collapsed="false" customWidth="true" hidden="false" outlineLevel="0" max="784" min="784" style="1" width="14.14"/>
    <col collapsed="false" customWidth="true" hidden="false" outlineLevel="0" max="785" min="785" style="1" width="12"/>
    <col collapsed="false" customWidth="true" hidden="false" outlineLevel="0" max="786" min="786" style="1" width="13"/>
    <col collapsed="false" customWidth="true" hidden="false" outlineLevel="0" max="787" min="787" style="1" width="11.85"/>
    <col collapsed="false" customWidth="true" hidden="false" outlineLevel="0" max="788" min="788" style="1" width="13.29"/>
    <col collapsed="false" customWidth="true" hidden="false" outlineLevel="0" max="789" min="789" style="1" width="12.29"/>
    <col collapsed="false" customWidth="true" hidden="false" outlineLevel="0" max="790" min="790" style="1" width="12.42"/>
    <col collapsed="false" customWidth="true" hidden="false" outlineLevel="0" max="791" min="791" style="1" width="10.57"/>
    <col collapsed="false" customWidth="false" hidden="false" outlineLevel="0" max="1024" min="792" style="1" width="9.14"/>
  </cols>
  <sheetData>
    <row r="1" customFormat="false" ht="17.25" hidden="false" customHeight="true" outlineLevel="0" collapsed="false">
      <c r="A1" s="4"/>
      <c r="B1" s="5" t="str">
        <f aca="false">INSTRUÇÕES!B1</f>
        <v>Tribunal Regional Federal da 6ª Região</v>
      </c>
      <c r="T1" s="6"/>
      <c r="U1" s="6"/>
      <c r="V1" s="6"/>
    </row>
    <row r="2" s="12" customFormat="true" ht="19.5" hidden="false" customHeight="true" outlineLevel="0" collapsed="false">
      <c r="A2" s="7"/>
      <c r="B2" s="8" t="str">
        <f aca="false">INSTRUÇÕES!B2</f>
        <v>Seção Judiciária de Minas Gerais</v>
      </c>
      <c r="C2" s="9" t="s">
        <v>0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  <c r="U2" s="10"/>
      <c r="V2" s="10"/>
      <c r="W2" s="11"/>
    </row>
    <row r="3" s="12" customFormat="true" ht="21.75" hidden="false" customHeight="true" outlineLevel="0" collapsed="false">
      <c r="A3" s="7"/>
      <c r="B3" s="13" t="str">
        <f aca="false">INSTRUÇÕES!B3</f>
        <v>Subseção Judiciária de Juiz de Fora</v>
      </c>
      <c r="C3" s="9" t="s">
        <v>1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W3" s="11"/>
    </row>
    <row r="4" s="19" customFormat="true" ht="30.75" hidden="true" customHeight="true" outlineLevel="0" collapsed="false">
      <c r="A4" s="14" t="s">
        <v>2</v>
      </c>
      <c r="B4" s="14"/>
      <c r="C4" s="14"/>
      <c r="D4" s="15" t="s">
        <v>3</v>
      </c>
      <c r="E4" s="15"/>
      <c r="F4" s="16"/>
      <c r="G4" s="16"/>
      <c r="H4" s="16"/>
      <c r="I4" s="16"/>
      <c r="J4" s="17"/>
      <c r="K4" s="17"/>
      <c r="L4" s="17"/>
      <c r="M4" s="17"/>
      <c r="N4" s="17"/>
      <c r="O4" s="18"/>
      <c r="R4" s="20"/>
      <c r="S4" s="20"/>
      <c r="T4" s="20"/>
      <c r="U4" s="20"/>
      <c r="V4" s="20"/>
      <c r="W4" s="20"/>
    </row>
    <row r="5" s="19" customFormat="true" ht="23.25" hidden="true" customHeight="true" outlineLevel="0" collapsed="false">
      <c r="A5" s="14" t="s">
        <v>4</v>
      </c>
      <c r="B5" s="14"/>
      <c r="C5" s="14"/>
      <c r="D5" s="15" t="s">
        <v>5</v>
      </c>
      <c r="E5" s="21" t="n">
        <f aca="false">VLOOKUP(D5,B152:C155,2,FALSE())</f>
        <v>30</v>
      </c>
      <c r="F5" s="16" t="str">
        <f aca="false">VLOOKUP(D5,B153:D155,3,FALSE())</f>
        <v>Obs: Desconto atualmente aplicado (30 dias corridos).</v>
      </c>
      <c r="G5" s="16"/>
      <c r="H5" s="16"/>
      <c r="I5" s="16"/>
      <c r="J5" s="17"/>
      <c r="K5" s="17"/>
      <c r="L5" s="17"/>
      <c r="M5" s="17"/>
      <c r="N5" s="17"/>
      <c r="O5" s="18"/>
      <c r="R5" s="20"/>
      <c r="S5" s="20"/>
      <c r="T5" s="20"/>
      <c r="U5" s="20"/>
      <c r="V5" s="20"/>
      <c r="W5" s="20"/>
    </row>
    <row r="6" s="19" customFormat="true" ht="23.25" hidden="true" customHeight="false" outlineLevel="0" collapsed="false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  <c r="R6" s="20"/>
      <c r="S6" s="20"/>
      <c r="T6" s="20"/>
      <c r="U6" s="20"/>
      <c r="V6" s="20"/>
      <c r="W6" s="20"/>
    </row>
    <row r="7" s="19" customFormat="true" ht="15.75" hidden="true" customHeight="true" outlineLevel="0" collapsed="false">
      <c r="A7" s="22" t="s">
        <v>6</v>
      </c>
      <c r="B7" s="22"/>
      <c r="C7" s="22"/>
      <c r="D7" s="23" t="s">
        <v>7</v>
      </c>
      <c r="E7" s="24" t="s">
        <v>8</v>
      </c>
      <c r="F7" s="25" t="s">
        <v>9</v>
      </c>
      <c r="G7" s="25" t="s">
        <v>10</v>
      </c>
      <c r="H7" s="23" t="s">
        <v>11</v>
      </c>
      <c r="I7" s="24" t="s">
        <v>12</v>
      </c>
      <c r="J7" s="25" t="s">
        <v>13</v>
      </c>
      <c r="K7" s="26" t="s">
        <v>14</v>
      </c>
      <c r="L7" s="27" t="s">
        <v>15</v>
      </c>
      <c r="M7" s="27" t="s">
        <v>16</v>
      </c>
      <c r="N7" s="28" t="s">
        <v>17</v>
      </c>
      <c r="O7" s="29" t="s">
        <v>18</v>
      </c>
      <c r="P7" s="25" t="s">
        <v>19</v>
      </c>
      <c r="Q7" s="25" t="s">
        <v>20</v>
      </c>
      <c r="R7" s="26" t="s">
        <v>21</v>
      </c>
      <c r="S7" s="24" t="s">
        <v>22</v>
      </c>
      <c r="T7" s="30" t="s">
        <v>23</v>
      </c>
      <c r="U7" s="30"/>
      <c r="V7" s="30"/>
      <c r="W7" s="30"/>
    </row>
    <row r="8" s="19" customFormat="true" ht="15.75" hidden="true" customHeight="false" outlineLevel="0" collapsed="false">
      <c r="A8" s="22"/>
      <c r="B8" s="22"/>
      <c r="C8" s="22"/>
      <c r="D8" s="23"/>
      <c r="E8" s="24"/>
      <c r="F8" s="25"/>
      <c r="G8" s="25"/>
      <c r="H8" s="23"/>
      <c r="I8" s="24"/>
      <c r="J8" s="25"/>
      <c r="K8" s="26"/>
      <c r="L8" s="27"/>
      <c r="M8" s="27"/>
      <c r="N8" s="28"/>
      <c r="O8" s="29"/>
      <c r="P8" s="25"/>
      <c r="Q8" s="25"/>
      <c r="R8" s="26"/>
      <c r="S8" s="24"/>
      <c r="T8" s="30"/>
      <c r="U8" s="30"/>
      <c r="V8" s="30"/>
      <c r="W8" s="30"/>
    </row>
    <row r="9" s="19" customFormat="true" ht="60" hidden="true" customHeight="true" outlineLevel="0" collapsed="false">
      <c r="A9" s="22"/>
      <c r="B9" s="22"/>
      <c r="C9" s="22"/>
      <c r="D9" s="23"/>
      <c r="E9" s="24"/>
      <c r="F9" s="25"/>
      <c r="G9" s="25"/>
      <c r="H9" s="23"/>
      <c r="I9" s="24"/>
      <c r="J9" s="25"/>
      <c r="K9" s="26"/>
      <c r="L9" s="27"/>
      <c r="M9" s="27"/>
      <c r="N9" s="28"/>
      <c r="O9" s="29"/>
      <c r="P9" s="25"/>
      <c r="Q9" s="25"/>
      <c r="R9" s="26"/>
      <c r="S9" s="24"/>
      <c r="T9" s="30"/>
      <c r="U9" s="30"/>
      <c r="V9" s="30"/>
      <c r="W9" s="30"/>
    </row>
    <row r="10" s="19" customFormat="true" ht="76.5" hidden="true" customHeight="false" outlineLevel="0" collapsed="false">
      <c r="A10" s="31" t="s">
        <v>24</v>
      </c>
      <c r="B10" s="32" t="s">
        <v>25</v>
      </c>
      <c r="C10" s="32" t="s">
        <v>26</v>
      </c>
      <c r="D10" s="33" t="s">
        <v>27</v>
      </c>
      <c r="E10" s="31" t="s">
        <v>28</v>
      </c>
      <c r="F10" s="32" t="s">
        <v>29</v>
      </c>
      <c r="G10" s="32" t="s">
        <v>30</v>
      </c>
      <c r="H10" s="33" t="s">
        <v>31</v>
      </c>
      <c r="I10" s="31" t="s">
        <v>32</v>
      </c>
      <c r="J10" s="32" t="s">
        <v>33</v>
      </c>
      <c r="K10" s="34" t="s">
        <v>33</v>
      </c>
      <c r="L10" s="35" t="s">
        <v>34</v>
      </c>
      <c r="M10" s="35" t="s">
        <v>35</v>
      </c>
      <c r="N10" s="35" t="s">
        <v>36</v>
      </c>
      <c r="O10" s="36" t="s">
        <v>37</v>
      </c>
      <c r="P10" s="32" t="s">
        <v>38</v>
      </c>
      <c r="Q10" s="32" t="s">
        <v>39</v>
      </c>
      <c r="R10" s="34" t="s">
        <v>40</v>
      </c>
      <c r="S10" s="31" t="s">
        <v>41</v>
      </c>
      <c r="T10" s="32" t="s">
        <v>42</v>
      </c>
      <c r="U10" s="32" t="s">
        <v>43</v>
      </c>
      <c r="V10" s="32" t="s">
        <v>44</v>
      </c>
      <c r="W10" s="34" t="s">
        <v>45</v>
      </c>
    </row>
    <row r="11" s="19" customFormat="true" ht="15.75" hidden="true" customHeight="false" outlineLevel="0" collapsed="false">
      <c r="A11" s="37" t="n">
        <f aca="false">Dados!B7</f>
        <v>13</v>
      </c>
      <c r="B11" s="38" t="str">
        <f aca="false">Dados!C7</f>
        <v>Auxiliar Administrativo</v>
      </c>
      <c r="C11" s="39" t="n">
        <f aca="false">Dados!D7</f>
        <v>150</v>
      </c>
      <c r="D11" s="40" t="n">
        <v>0</v>
      </c>
      <c r="E11" s="37" t="s">
        <v>46</v>
      </c>
      <c r="F11" s="39" t="n">
        <f aca="false">IF(E11="NÃO",0,D11*Dados!$G$41)</f>
        <v>0</v>
      </c>
      <c r="G11" s="41" t="n">
        <v>0</v>
      </c>
      <c r="H11" s="40" t="n">
        <v>0</v>
      </c>
      <c r="I11" s="42" t="n">
        <v>0</v>
      </c>
      <c r="J11" s="41" t="n">
        <v>0</v>
      </c>
      <c r="K11" s="43" t="n">
        <f aca="false">I11+J11</f>
        <v>0</v>
      </c>
      <c r="L11" s="44" t="n">
        <v>0</v>
      </c>
      <c r="M11" s="44" t="n">
        <v>0</v>
      </c>
      <c r="N11" s="45"/>
      <c r="O11" s="46" t="n">
        <f aca="false">Resumo!S12</f>
        <v>0</v>
      </c>
      <c r="P11" s="47" t="n">
        <f aca="false">Resumo!V12</f>
        <v>0</v>
      </c>
      <c r="Q11" s="48" t="n">
        <f aca="false">Resumo!W12</f>
        <v>44565.56</v>
      </c>
      <c r="R11" s="49" t="n">
        <f aca="false">Dados!O7+Dados!R7+Dados!T7</f>
        <v>0</v>
      </c>
      <c r="S11" s="37" t="n">
        <v>1</v>
      </c>
      <c r="T11" s="48" t="n">
        <f aca="false">Dados!M7*Encargos!$H$59</f>
        <v>409.57600364</v>
      </c>
      <c r="U11" s="50" t="s">
        <v>47</v>
      </c>
      <c r="V11" s="51" t="n">
        <f aca="false">SUMIF($S$11:$S$21,1,$Q$11:$Q$21)</f>
        <v>61059.65</v>
      </c>
      <c r="W11" s="52" t="n">
        <f aca="false">SUMIF($S$11:$S$21,1,$T$11:$T$21)</f>
        <v>2515.90296167</v>
      </c>
    </row>
    <row r="12" s="19" customFormat="true" ht="15.75" hidden="true" customHeight="false" outlineLevel="0" collapsed="false">
      <c r="A12" s="37" t="n">
        <f aca="false">Dados!B8</f>
        <v>1</v>
      </c>
      <c r="B12" s="38" t="str">
        <f aca="false">Dados!C8</f>
        <v>Recepcionista</v>
      </c>
      <c r="C12" s="39" t="n">
        <f aca="false">Dados!D8</f>
        <v>150</v>
      </c>
      <c r="D12" s="40" t="n">
        <v>0</v>
      </c>
      <c r="E12" s="37" t="s">
        <v>46</v>
      </c>
      <c r="F12" s="39" t="n">
        <f aca="false">IF(E12="NÃO",0,D12*Dados!$G$41)</f>
        <v>0</v>
      </c>
      <c r="G12" s="41" t="n">
        <v>0</v>
      </c>
      <c r="H12" s="40" t="n">
        <v>0</v>
      </c>
      <c r="I12" s="42" t="n">
        <v>0</v>
      </c>
      <c r="J12" s="41" t="n">
        <v>0</v>
      </c>
      <c r="K12" s="43" t="n">
        <f aca="false">I12+J12</f>
        <v>0</v>
      </c>
      <c r="L12" s="44" t="n">
        <v>0</v>
      </c>
      <c r="M12" s="44" t="n">
        <v>0</v>
      </c>
      <c r="N12" s="53"/>
      <c r="O12" s="46" t="n">
        <f aca="false">Resumo!S13</f>
        <v>0</v>
      </c>
      <c r="P12" s="54"/>
      <c r="Q12" s="48" t="n">
        <f aca="false">Resumo!W13</f>
        <v>4318.39</v>
      </c>
      <c r="R12" s="49" t="n">
        <f aca="false">Dados!O8+Dados!R8+Dados!T8</f>
        <v>0</v>
      </c>
      <c r="S12" s="37" t="n">
        <v>1</v>
      </c>
      <c r="T12" s="48" t="n">
        <f aca="false">Dados!M8*Encargos!$H$59</f>
        <v>543.17374362</v>
      </c>
      <c r="U12" s="50" t="s">
        <v>47</v>
      </c>
      <c r="V12" s="51"/>
      <c r="W12" s="52"/>
    </row>
    <row r="13" s="19" customFormat="true" ht="15.75" hidden="true" customHeight="false" outlineLevel="0" collapsed="false">
      <c r="A13" s="37" t="n">
        <f aca="false">Dados!B9</f>
        <v>1</v>
      </c>
      <c r="B13" s="38" t="str">
        <f aca="false">Dados!C9</f>
        <v>Recepcionista</v>
      </c>
      <c r="C13" s="39" t="n">
        <f aca="false">Dados!D9</f>
        <v>220</v>
      </c>
      <c r="D13" s="40" t="n">
        <v>0</v>
      </c>
      <c r="E13" s="37" t="s">
        <v>46</v>
      </c>
      <c r="F13" s="39" t="n">
        <f aca="false">IF(E13="NÃO",0,D13*Dados!$G$41)</f>
        <v>0</v>
      </c>
      <c r="G13" s="41" t="n">
        <v>0</v>
      </c>
      <c r="H13" s="40" t="n">
        <v>0</v>
      </c>
      <c r="I13" s="42" t="n">
        <v>0</v>
      </c>
      <c r="J13" s="41" t="n">
        <v>0</v>
      </c>
      <c r="K13" s="43" t="n">
        <f aca="false">I13+J13</f>
        <v>0</v>
      </c>
      <c r="L13" s="44" t="n">
        <v>0</v>
      </c>
      <c r="M13" s="44" t="n">
        <v>0</v>
      </c>
      <c r="N13" s="53"/>
      <c r="O13" s="46" t="n">
        <f aca="false">Resumo!S14</f>
        <v>0</v>
      </c>
      <c r="P13" s="54"/>
      <c r="Q13" s="48" t="n">
        <f aca="false">Resumo!W14</f>
        <v>6250.88</v>
      </c>
      <c r="R13" s="49" t="n">
        <f aca="false">Dados!O9+Dados!R9+Dados!T9</f>
        <v>0</v>
      </c>
      <c r="S13" s="37" t="n">
        <v>1</v>
      </c>
      <c r="T13" s="48" t="n">
        <f aca="false">Dados!M9*Encargos!$H$59</f>
        <v>796.654823976</v>
      </c>
      <c r="U13" s="50" t="s">
        <v>47</v>
      </c>
      <c r="V13" s="51"/>
      <c r="W13" s="52"/>
    </row>
    <row r="14" s="19" customFormat="true" ht="15.75" hidden="true" customHeight="false" outlineLevel="0" collapsed="false">
      <c r="A14" s="37" t="n">
        <f aca="false">Dados!B10</f>
        <v>1</v>
      </c>
      <c r="B14" s="38" t="str">
        <f aca="false">Dados!C10</f>
        <v>Auxiliar de Operador de Carga</v>
      </c>
      <c r="C14" s="39" t="n">
        <f aca="false">Dados!D10</f>
        <v>150</v>
      </c>
      <c r="D14" s="40" t="n">
        <v>0</v>
      </c>
      <c r="E14" s="37" t="s">
        <v>46</v>
      </c>
      <c r="F14" s="39" t="n">
        <f aca="false">IF(E14="NÃO",0,D14*Dados!$G$41)</f>
        <v>0</v>
      </c>
      <c r="G14" s="41" t="n">
        <v>0</v>
      </c>
      <c r="H14" s="40" t="n">
        <v>0</v>
      </c>
      <c r="I14" s="42" t="n">
        <v>0</v>
      </c>
      <c r="J14" s="41" t="n">
        <v>0</v>
      </c>
      <c r="K14" s="43" t="n">
        <f aca="false">I14+J14</f>
        <v>0</v>
      </c>
      <c r="L14" s="44" t="n">
        <v>0</v>
      </c>
      <c r="M14" s="44" t="n">
        <v>0</v>
      </c>
      <c r="N14" s="53"/>
      <c r="O14" s="46" t="n">
        <f aca="false">Resumo!S15</f>
        <v>0</v>
      </c>
      <c r="P14" s="54"/>
      <c r="Q14" s="48" t="n">
        <f aca="false">Resumo!W15</f>
        <v>3980.4</v>
      </c>
      <c r="R14" s="49" t="n">
        <f aca="false">Dados!O10+Dados!R10+Dados!T10</f>
        <v>0</v>
      </c>
      <c r="S14" s="37" t="n">
        <v>4</v>
      </c>
      <c r="T14" s="48" t="n">
        <f aca="false">Dados!M10*Encargos!$H$59</f>
        <v>491.497832884</v>
      </c>
      <c r="U14" s="50" t="s">
        <v>48</v>
      </c>
      <c r="V14" s="51" t="n">
        <f aca="false">SUMIF($S$11:$S$21,4,$Q$11:$Q$21)</f>
        <v>3980.4</v>
      </c>
      <c r="W14" s="52" t="n">
        <f aca="false">SUMIF($S$11:$S$21,4,$T$11:$T$21)</f>
        <v>491.497832884</v>
      </c>
    </row>
    <row r="15" s="19" customFormat="true" ht="15.75" hidden="true" customHeight="false" outlineLevel="0" collapsed="false">
      <c r="A15" s="37" t="n">
        <f aca="false">Dados!B11</f>
        <v>1</v>
      </c>
      <c r="B15" s="38" t="str">
        <f aca="false">Dados!C11</f>
        <v>Jardineiro</v>
      </c>
      <c r="C15" s="39" t="n">
        <f aca="false">Dados!D11</f>
        <v>150</v>
      </c>
      <c r="D15" s="40" t="n">
        <v>0</v>
      </c>
      <c r="E15" s="37" t="s">
        <v>46</v>
      </c>
      <c r="F15" s="39" t="n">
        <f aca="false">IF(E15="NÃO",0,D15*Dados!$G$41)</f>
        <v>0</v>
      </c>
      <c r="G15" s="41" t="n">
        <v>0</v>
      </c>
      <c r="H15" s="40" t="n">
        <v>0</v>
      </c>
      <c r="I15" s="42" t="n">
        <v>0</v>
      </c>
      <c r="J15" s="41" t="n">
        <v>0</v>
      </c>
      <c r="K15" s="43" t="n">
        <f aca="false">I15+J15</f>
        <v>0</v>
      </c>
      <c r="L15" s="44" t="n">
        <v>0</v>
      </c>
      <c r="M15" s="44" t="n">
        <v>0</v>
      </c>
      <c r="N15" s="53"/>
      <c r="O15" s="46" t="n">
        <f aca="false">Resumo!S16</f>
        <v>0</v>
      </c>
      <c r="P15" s="54"/>
      <c r="Q15" s="48" t="n">
        <f aca="false">Resumo!W16</f>
        <v>3855.77</v>
      </c>
      <c r="R15" s="49" t="n">
        <f aca="false">Dados!O11+Dados!R11+Dados!T11</f>
        <v>186.62</v>
      </c>
      <c r="S15" s="37" t="n">
        <v>2</v>
      </c>
      <c r="T15" s="48" t="n">
        <f aca="false">Dados!M11*Encargos!$H$59</f>
        <v>453.330837756</v>
      </c>
      <c r="U15" s="50" t="s">
        <v>49</v>
      </c>
      <c r="V15" s="51" t="n">
        <f aca="false">SUMIF($S$11:$S$21,2,$Q$11:$Q$21)</f>
        <v>54261.04</v>
      </c>
      <c r="W15" s="52" t="n">
        <f aca="false">SUMIF($S$11:$S$21,2,$T$11:$T$21)</f>
        <v>2700.4653726192</v>
      </c>
    </row>
    <row r="16" s="19" customFormat="true" ht="15.75" hidden="true" customHeight="false" outlineLevel="0" collapsed="false">
      <c r="A16" s="37" t="n">
        <f aca="false">Dados!B12</f>
        <v>2</v>
      </c>
      <c r="B16" s="38" t="str">
        <f aca="false">Dados!C12</f>
        <v>Limpador de Vidro</v>
      </c>
      <c r="C16" s="39" t="n">
        <f aca="false">Dados!D12</f>
        <v>220</v>
      </c>
      <c r="D16" s="40" t="n">
        <v>0</v>
      </c>
      <c r="E16" s="37" t="s">
        <v>46</v>
      </c>
      <c r="F16" s="39" t="n">
        <f aca="false">IF(E16="NÃO",0,D16*Dados!$G$41)</f>
        <v>0</v>
      </c>
      <c r="G16" s="41" t="n">
        <v>0</v>
      </c>
      <c r="H16" s="40" t="n">
        <v>0</v>
      </c>
      <c r="I16" s="42" t="n">
        <v>0</v>
      </c>
      <c r="J16" s="41" t="n">
        <v>0</v>
      </c>
      <c r="K16" s="43" t="n">
        <f aca="false">I16+J16</f>
        <v>0</v>
      </c>
      <c r="L16" s="44" t="n">
        <v>0</v>
      </c>
      <c r="M16" s="44" t="n">
        <v>0</v>
      </c>
      <c r="N16" s="53"/>
      <c r="O16" s="46" t="n">
        <f aca="false">Resumo!S17</f>
        <v>0</v>
      </c>
      <c r="P16" s="54"/>
      <c r="Q16" s="48" t="n">
        <f aca="false">Resumo!W17</f>
        <v>10985.28</v>
      </c>
      <c r="R16" s="49" t="n">
        <f aca="false">Dados!O12+Dados!R12+Dados!T12</f>
        <v>0</v>
      </c>
      <c r="S16" s="37" t="n">
        <v>2</v>
      </c>
      <c r="T16" s="48" t="n">
        <f aca="false">Dados!M12*Encargos!$H$59</f>
        <v>687.9352302472</v>
      </c>
      <c r="U16" s="50" t="s">
        <v>49</v>
      </c>
      <c r="V16" s="51"/>
      <c r="W16" s="52"/>
    </row>
    <row r="17" s="19" customFormat="true" ht="15.75" hidden="true" customHeight="false" outlineLevel="0" collapsed="false">
      <c r="A17" s="37" t="n">
        <f aca="false">Dados!B13</f>
        <v>4</v>
      </c>
      <c r="B17" s="38" t="str">
        <f aca="false">Dados!C13</f>
        <v>Servente de Limpeza</v>
      </c>
      <c r="C17" s="39" t="n">
        <f aca="false">Dados!D13</f>
        <v>220</v>
      </c>
      <c r="D17" s="40" t="n">
        <v>0</v>
      </c>
      <c r="E17" s="37" t="s">
        <v>46</v>
      </c>
      <c r="F17" s="39" t="n">
        <f aca="false">IF(E17="NÃO",0,D17*Dados!$G$41)</f>
        <v>0</v>
      </c>
      <c r="G17" s="41" t="n">
        <v>0</v>
      </c>
      <c r="H17" s="40" t="n">
        <v>0</v>
      </c>
      <c r="I17" s="42" t="n">
        <v>0</v>
      </c>
      <c r="J17" s="41" t="n">
        <v>0</v>
      </c>
      <c r="K17" s="43" t="n">
        <f aca="false">I17+J17</f>
        <v>0</v>
      </c>
      <c r="L17" s="44" t="n">
        <v>0</v>
      </c>
      <c r="M17" s="44" t="n">
        <v>0</v>
      </c>
      <c r="N17" s="53"/>
      <c r="O17" s="46" t="n">
        <f aca="false">Resumo!S18</f>
        <v>0</v>
      </c>
      <c r="P17" s="54"/>
      <c r="Q17" s="48" t="n">
        <f aca="false">Resumo!W18</f>
        <v>23280.56</v>
      </c>
      <c r="R17" s="49" t="n">
        <f aca="false">Dados!O13+Dados!R13+Dados!T13</f>
        <v>1362.38</v>
      </c>
      <c r="S17" s="37" t="n">
        <v>2</v>
      </c>
      <c r="T17" s="48" t="n">
        <f aca="false">Dados!M13*Encargos!$H$59</f>
        <v>493.125133562</v>
      </c>
      <c r="U17" s="50" t="s">
        <v>49</v>
      </c>
      <c r="V17" s="51"/>
      <c r="W17" s="52"/>
    </row>
    <row r="18" s="19" customFormat="true" ht="15.75" hidden="true" customHeight="false" outlineLevel="0" collapsed="false">
      <c r="A18" s="37" t="n">
        <f aca="false">Dados!B14</f>
        <v>2</v>
      </c>
      <c r="B18" s="38" t="str">
        <f aca="false">Dados!C14</f>
        <v>Servente de Limpeza (40%)</v>
      </c>
      <c r="C18" s="39" t="n">
        <f aca="false">Dados!D14</f>
        <v>150</v>
      </c>
      <c r="D18" s="40" t="n">
        <v>0</v>
      </c>
      <c r="E18" s="37" t="s">
        <v>46</v>
      </c>
      <c r="F18" s="39" t="n">
        <f aca="false">IF(E18="NÃO",0,D18*Dados!$G$41)</f>
        <v>0</v>
      </c>
      <c r="G18" s="41" t="n">
        <v>0</v>
      </c>
      <c r="H18" s="40" t="n">
        <v>0</v>
      </c>
      <c r="I18" s="42" t="n">
        <v>0</v>
      </c>
      <c r="J18" s="41" t="n">
        <v>0</v>
      </c>
      <c r="K18" s="43" t="n">
        <f aca="false">I18+J18</f>
        <v>0</v>
      </c>
      <c r="L18" s="44" t="n">
        <v>0</v>
      </c>
      <c r="M18" s="44" t="n">
        <v>0</v>
      </c>
      <c r="N18" s="44" t="n">
        <v>0</v>
      </c>
      <c r="O18" s="46" t="n">
        <f aca="false">Resumo!S19</f>
        <v>0</v>
      </c>
      <c r="P18" s="48" t="n">
        <f aca="false">Resumo!V18</f>
        <v>0</v>
      </c>
      <c r="Q18" s="48" t="n">
        <f aca="false">Resumo!W19</f>
        <v>11497.6</v>
      </c>
      <c r="R18" s="49" t="n">
        <f aca="false">Dados!O14+Dados!R14+Dados!T14</f>
        <v>1362.38</v>
      </c>
      <c r="S18" s="37" t="n">
        <v>2</v>
      </c>
      <c r="T18" s="48" t="n">
        <f aca="false">Dados!M14*Encargos!$H$59</f>
        <v>511.214353726</v>
      </c>
      <c r="U18" s="50" t="s">
        <v>49</v>
      </c>
      <c r="V18" s="51"/>
      <c r="W18" s="52"/>
    </row>
    <row r="19" s="19" customFormat="true" ht="15.75" hidden="true" customHeight="false" outlineLevel="0" collapsed="false">
      <c r="A19" s="37" t="n">
        <f aca="false">Dados!B15</f>
        <v>1</v>
      </c>
      <c r="B19" s="38" t="str">
        <f aca="false">Dados!C15</f>
        <v>Zelador ac. Lavador de Carro</v>
      </c>
      <c r="C19" s="39" t="n">
        <f aca="false">Dados!D15</f>
        <v>220</v>
      </c>
      <c r="D19" s="40" t="n">
        <v>0</v>
      </c>
      <c r="E19" s="37" t="s">
        <v>46</v>
      </c>
      <c r="F19" s="39" t="n">
        <f aca="false">IF(E19="NÃO",0,D19*Dados!$G$41)</f>
        <v>0</v>
      </c>
      <c r="G19" s="41" t="n">
        <v>0</v>
      </c>
      <c r="H19" s="40" t="n">
        <v>0</v>
      </c>
      <c r="I19" s="42" t="n">
        <v>0</v>
      </c>
      <c r="J19" s="41" t="n">
        <v>0</v>
      </c>
      <c r="K19" s="43" t="n">
        <f aca="false">I19+J19</f>
        <v>0</v>
      </c>
      <c r="L19" s="44" t="n">
        <v>0</v>
      </c>
      <c r="M19" s="44" t="n">
        <v>0</v>
      </c>
      <c r="N19" s="53"/>
      <c r="O19" s="46" t="n">
        <f aca="false">Resumo!S20</f>
        <v>0</v>
      </c>
      <c r="P19" s="54"/>
      <c r="Q19" s="48" t="n">
        <f aca="false">Resumo!W20</f>
        <v>4641.83</v>
      </c>
      <c r="R19" s="49" t="n">
        <f aca="false">Dados!O15+Dados!R15+Dados!T15</f>
        <v>0</v>
      </c>
      <c r="S19" s="37" t="n">
        <v>2</v>
      </c>
      <c r="T19" s="48" t="n">
        <f aca="false">Dados!M15*Encargos!$H$59</f>
        <v>554.859817328</v>
      </c>
      <c r="U19" s="50" t="s">
        <v>49</v>
      </c>
      <c r="V19" s="51"/>
      <c r="W19" s="52"/>
    </row>
    <row r="20" s="19" customFormat="true" ht="15.75" hidden="true" customHeight="false" outlineLevel="0" collapsed="false">
      <c r="A20" s="37" t="n">
        <f aca="false">Dados!B16</f>
        <v>1</v>
      </c>
      <c r="B20" s="38" t="str">
        <f aca="false">Dados!C16</f>
        <v>Encarregado Geral</v>
      </c>
      <c r="C20" s="39" t="n">
        <f aca="false">Dados!D16</f>
        <v>220</v>
      </c>
      <c r="D20" s="40" t="n">
        <v>0</v>
      </c>
      <c r="E20" s="37" t="s">
        <v>46</v>
      </c>
      <c r="F20" s="39" t="n">
        <f aca="false">IF(E20="NÃO",0,D20*Dados!$G$41)</f>
        <v>0</v>
      </c>
      <c r="G20" s="41" t="n">
        <v>0</v>
      </c>
      <c r="H20" s="40" t="n">
        <v>0</v>
      </c>
      <c r="I20" s="42" t="n">
        <v>0</v>
      </c>
      <c r="J20" s="41" t="n">
        <v>0</v>
      </c>
      <c r="K20" s="43" t="n">
        <f aca="false">I20+J20</f>
        <v>0</v>
      </c>
      <c r="L20" s="44" t="n">
        <v>0</v>
      </c>
      <c r="M20" s="44" t="n">
        <v>0</v>
      </c>
      <c r="N20" s="53"/>
      <c r="O20" s="46" t="n">
        <f aca="false">Resumo!S21</f>
        <v>0</v>
      </c>
      <c r="P20" s="54"/>
      <c r="Q20" s="48" t="n">
        <f aca="false">Resumo!W21</f>
        <v>5924.82</v>
      </c>
      <c r="R20" s="49" t="n">
        <f aca="false">Dados!O16+Dados!R16+Dados!T16</f>
        <v>0</v>
      </c>
      <c r="S20" s="37" t="n">
        <v>1</v>
      </c>
      <c r="T20" s="48" t="n">
        <f aca="false">Dados!M16*Encargos!$H$59</f>
        <v>766.498390434</v>
      </c>
      <c r="U20" s="50" t="s">
        <v>47</v>
      </c>
      <c r="V20" s="51"/>
      <c r="W20" s="52"/>
    </row>
    <row r="21" s="19" customFormat="true" ht="15.75" hidden="true" customHeight="false" outlineLevel="0" collapsed="false">
      <c r="A21" s="37" t="n">
        <f aca="false">Dados!B17</f>
        <v>1</v>
      </c>
      <c r="B21" s="38" t="str">
        <f aca="false">Dados!C17</f>
        <v>Garçom</v>
      </c>
      <c r="C21" s="39" t="n">
        <f aca="false">Dados!D17</f>
        <v>220</v>
      </c>
      <c r="D21" s="40" t="n">
        <v>0</v>
      </c>
      <c r="E21" s="37" t="s">
        <v>46</v>
      </c>
      <c r="F21" s="39" t="n">
        <f aca="false">IF(E21="NÃO",0,D21*Dados!$G$41)</f>
        <v>0</v>
      </c>
      <c r="G21" s="41" t="n">
        <v>0</v>
      </c>
      <c r="H21" s="40" t="n">
        <v>0</v>
      </c>
      <c r="I21" s="42" t="n">
        <v>0</v>
      </c>
      <c r="J21" s="41" t="n">
        <v>0</v>
      </c>
      <c r="K21" s="43" t="n">
        <f aca="false">I21+J21</f>
        <v>0</v>
      </c>
      <c r="L21" s="44" t="n">
        <v>0</v>
      </c>
      <c r="M21" s="44" t="n">
        <v>0</v>
      </c>
      <c r="N21" s="45"/>
      <c r="O21" s="46" t="n">
        <f aca="false">Resumo!S13</f>
        <v>0</v>
      </c>
      <c r="P21" s="47" t="n">
        <f aca="false">Resumo!V13</f>
        <v>0</v>
      </c>
      <c r="Q21" s="48" t="n">
        <f aca="false">Resumo!W13</f>
        <v>4318.39</v>
      </c>
      <c r="R21" s="49" t="n">
        <f aca="false">Dados!O17+Dados!R17+Dados!T17</f>
        <v>0</v>
      </c>
      <c r="S21" s="37" t="n">
        <v>5</v>
      </c>
      <c r="T21" s="48" t="n">
        <f aca="false">Dados!M17*Encargos!$H$59</f>
        <v>464.07897645</v>
      </c>
      <c r="U21" s="50" t="s">
        <v>50</v>
      </c>
      <c r="V21" s="51" t="n">
        <f aca="false">SUMIF($S$11:$S$21,5,$Q$11:$Q$21)</f>
        <v>4318.39</v>
      </c>
      <c r="W21" s="52" t="n">
        <f aca="false">SUMIF($S$11:$S$21,5,$T$11:$T$21)</f>
        <v>464.07897645</v>
      </c>
    </row>
    <row r="22" s="65" customFormat="true" ht="13.5" hidden="true" customHeight="true" outlineLevel="0" collapsed="false">
      <c r="A22" s="55" t="s">
        <v>51</v>
      </c>
      <c r="B22" s="55"/>
      <c r="C22" s="55"/>
      <c r="D22" s="55"/>
      <c r="E22" s="55"/>
      <c r="F22" s="55"/>
      <c r="G22" s="55"/>
      <c r="H22" s="56" t="n">
        <f aca="false">Resumo!I23</f>
        <v>0</v>
      </c>
      <c r="I22" s="57"/>
      <c r="J22" s="57"/>
      <c r="K22" s="58" t="n">
        <f aca="false">Resumo!L23</f>
        <v>0</v>
      </c>
      <c r="L22" s="59" t="n">
        <f aca="false">Resumo!O23</f>
        <v>0</v>
      </c>
      <c r="M22" s="59" t="n">
        <f aca="false">Resumo!R23</f>
        <v>0</v>
      </c>
      <c r="N22" s="60" t="n">
        <f aca="false">Resumo!V23</f>
        <v>0</v>
      </c>
      <c r="O22" s="61" t="n">
        <f aca="false">(H22+K22+L22+M22)</f>
        <v>0</v>
      </c>
      <c r="P22" s="62" t="n">
        <f aca="false">Resumo!V23</f>
        <v>0</v>
      </c>
      <c r="Q22" s="62" t="n">
        <f aca="false">SUM(Q11:Q21)</f>
        <v>123619.48</v>
      </c>
      <c r="R22" s="63" t="n">
        <f aca="false">SUM(R11:R21)</f>
        <v>2911.38</v>
      </c>
      <c r="S22" s="64"/>
      <c r="T22" s="62" t="n">
        <f aca="false">SUM(T11:T21)</f>
        <v>6171.9451436232</v>
      </c>
      <c r="U22" s="62"/>
      <c r="V22" s="62" t="n">
        <f aca="false">SUM(V11:V21)</f>
        <v>123619.48</v>
      </c>
      <c r="W22" s="63" t="n">
        <f aca="false">SUM(W11:W21)</f>
        <v>6171.9451436232</v>
      </c>
    </row>
    <row r="23" customFormat="false" ht="15" hidden="true" customHeight="false" outlineLevel="0" collapsed="false">
      <c r="A23" s="66" t="s">
        <v>52</v>
      </c>
      <c r="B23" s="67"/>
      <c r="C23" s="67"/>
      <c r="D23" s="67"/>
      <c r="E23" s="67"/>
      <c r="F23" s="67"/>
      <c r="G23" s="67"/>
      <c r="H23" s="67"/>
      <c r="I23" s="67"/>
      <c r="J23" s="67"/>
    </row>
    <row r="24" customFormat="false" ht="15" hidden="true" customHeight="false" outlineLevel="0" collapsed="false">
      <c r="A24" s="68" t="s">
        <v>53</v>
      </c>
      <c r="B24" s="69"/>
      <c r="C24" s="69"/>
      <c r="D24" s="69"/>
      <c r="E24" s="69"/>
      <c r="F24" s="69"/>
      <c r="G24" s="69"/>
      <c r="H24" s="69"/>
      <c r="I24" s="69"/>
      <c r="J24" s="69"/>
    </row>
    <row r="25" s="65" customFormat="true" ht="25.5" hidden="true" customHeight="true" outlineLevel="0" collapsed="false">
      <c r="A25" s="70" t="s">
        <v>54</v>
      </c>
      <c r="B25" s="70"/>
      <c r="C25" s="70" t="s">
        <v>55</v>
      </c>
      <c r="D25" s="70" t="s">
        <v>56</v>
      </c>
      <c r="E25" s="70" t="s">
        <v>57</v>
      </c>
      <c r="F25" s="70" t="s">
        <v>58</v>
      </c>
      <c r="H25" s="68"/>
      <c r="I25" s="71"/>
      <c r="J25" s="68"/>
      <c r="K25" s="71"/>
      <c r="L25" s="71"/>
      <c r="M25" s="71"/>
      <c r="R25" s="71"/>
      <c r="S25" s="71"/>
      <c r="T25" s="71"/>
      <c r="U25" s="71"/>
      <c r="V25" s="71"/>
      <c r="W25" s="71"/>
    </row>
    <row r="26" s="65" customFormat="true" ht="12.75" hidden="true" customHeight="false" outlineLevel="0" collapsed="false">
      <c r="A26" s="70"/>
      <c r="B26" s="70"/>
      <c r="C26" s="72" t="n">
        <v>220</v>
      </c>
      <c r="D26" s="72" t="n">
        <v>10</v>
      </c>
      <c r="E26" s="72" t="n">
        <v>25</v>
      </c>
      <c r="F26" s="73" t="n">
        <f aca="false">ROUND((D26/VLOOKUP(C26,$B$158:$C$164,2,FALSE())+E26/60/VLOOKUP(C26,$B$158:$C$164,2,FALSE())),2)</f>
        <v>1.18</v>
      </c>
      <c r="H26" s="68"/>
      <c r="I26" s="71"/>
      <c r="J26" s="68"/>
      <c r="K26" s="71"/>
      <c r="L26" s="71"/>
      <c r="M26" s="71"/>
      <c r="R26" s="71"/>
      <c r="S26" s="71"/>
      <c r="T26" s="71"/>
      <c r="U26" s="71"/>
      <c r="V26" s="71"/>
      <c r="W26" s="71"/>
    </row>
    <row r="27" s="65" customFormat="true" ht="15" hidden="true" customHeight="true" outlineLevel="0" collapsed="false">
      <c r="A27" s="74" t="s">
        <v>59</v>
      </c>
      <c r="B27" s="74"/>
      <c r="C27" s="74"/>
      <c r="D27" s="74"/>
      <c r="E27" s="74"/>
      <c r="F27" s="74"/>
      <c r="G27" s="16"/>
      <c r="H27" s="16"/>
      <c r="I27" s="16"/>
      <c r="J27" s="68"/>
      <c r="K27" s="71"/>
      <c r="L27" s="71"/>
      <c r="M27" s="71"/>
      <c r="R27" s="71"/>
      <c r="S27" s="71"/>
      <c r="T27" s="71"/>
      <c r="U27" s="71"/>
      <c r="V27" s="71"/>
      <c r="W27" s="71"/>
    </row>
    <row r="28" s="65" customFormat="true" ht="28.5" hidden="true" customHeight="true" outlineLevel="0" collapsed="false">
      <c r="A28" s="74"/>
      <c r="B28" s="74"/>
      <c r="C28" s="74"/>
      <c r="D28" s="74"/>
      <c r="E28" s="74"/>
      <c r="F28" s="74"/>
      <c r="G28" s="16"/>
      <c r="H28" s="16"/>
      <c r="I28" s="16"/>
      <c r="J28" s="68"/>
      <c r="K28" s="71"/>
      <c r="L28" s="71"/>
      <c r="M28" s="71"/>
      <c r="R28" s="71"/>
      <c r="S28" s="71"/>
      <c r="T28" s="71"/>
      <c r="U28" s="71"/>
      <c r="V28" s="71"/>
      <c r="W28" s="71"/>
    </row>
    <row r="29" customFormat="false" ht="15" hidden="true" customHeight="false" outlineLevel="0" collapsed="false">
      <c r="A29" s="68" t="s">
        <v>60</v>
      </c>
      <c r="B29" s="67"/>
      <c r="C29" s="67"/>
      <c r="D29" s="67"/>
      <c r="E29" s="67"/>
      <c r="F29" s="67"/>
      <c r="G29" s="67"/>
      <c r="H29" s="67"/>
      <c r="I29" s="67"/>
      <c r="J29" s="67"/>
    </row>
    <row r="30" customFormat="false" ht="15" hidden="true" customHeight="false" outlineLevel="0" collapsed="false">
      <c r="A30" s="67"/>
      <c r="B30" s="67"/>
      <c r="C30" s="67"/>
      <c r="D30" s="67"/>
      <c r="E30" s="67"/>
      <c r="F30" s="67"/>
      <c r="G30" s="67"/>
      <c r="H30" s="67"/>
      <c r="I30" s="67"/>
      <c r="J30" s="67"/>
      <c r="N30" s="75"/>
      <c r="O30" s="76"/>
      <c r="P30" s="76"/>
    </row>
    <row r="31" s="1" customFormat="true" ht="48" hidden="true" customHeight="true" outlineLevel="0" collapsed="false">
      <c r="A31" s="77" t="s">
        <v>61</v>
      </c>
      <c r="B31" s="78" t="s">
        <v>62</v>
      </c>
      <c r="C31" s="78"/>
      <c r="D31" s="78"/>
      <c r="E31" s="78"/>
      <c r="F31" s="79" t="s">
        <v>63</v>
      </c>
      <c r="G31" s="79"/>
      <c r="H31" s="79"/>
      <c r="I31" s="80" t="s">
        <v>64</v>
      </c>
      <c r="J31" s="80"/>
      <c r="K31" s="80"/>
      <c r="L31" s="81" t="s">
        <v>65</v>
      </c>
      <c r="M31" s="81"/>
      <c r="N31" s="81"/>
      <c r="O31" s="81"/>
      <c r="P31" s="81" t="s">
        <v>66</v>
      </c>
      <c r="Q31" s="81"/>
      <c r="R31" s="81"/>
      <c r="S31" s="81"/>
      <c r="T31" s="81"/>
      <c r="U31" s="81"/>
    </row>
    <row r="32" s="1" customFormat="true" ht="63.75" hidden="true" customHeight="true" outlineLevel="0" collapsed="false">
      <c r="A32" s="77"/>
      <c r="B32" s="70" t="s">
        <v>67</v>
      </c>
      <c r="C32" s="70"/>
      <c r="D32" s="70"/>
      <c r="E32" s="70" t="s">
        <v>68</v>
      </c>
      <c r="F32" s="70" t="s">
        <v>69</v>
      </c>
      <c r="G32" s="70" t="s">
        <v>70</v>
      </c>
      <c r="H32" s="82" t="s">
        <v>71</v>
      </c>
      <c r="I32" s="80"/>
      <c r="J32" s="80"/>
      <c r="K32" s="80"/>
      <c r="L32" s="83" t="s">
        <v>72</v>
      </c>
      <c r="M32" s="70" t="s">
        <v>73</v>
      </c>
      <c r="N32" s="70" t="s">
        <v>74</v>
      </c>
      <c r="O32" s="82" t="s">
        <v>75</v>
      </c>
      <c r="P32" s="84" t="s">
        <v>76</v>
      </c>
      <c r="Q32" s="70" t="s">
        <v>77</v>
      </c>
      <c r="R32" s="70" t="s">
        <v>78</v>
      </c>
      <c r="S32" s="70" t="s">
        <v>79</v>
      </c>
      <c r="T32" s="70" t="s">
        <v>80</v>
      </c>
      <c r="U32" s="82" t="s">
        <v>81</v>
      </c>
      <c r="V32" s="16" t="s">
        <v>82</v>
      </c>
    </row>
    <row r="33" s="1" customFormat="true" ht="15" hidden="true" customHeight="true" outlineLevel="0" collapsed="false">
      <c r="A33" s="85" t="n">
        <v>1</v>
      </c>
      <c r="B33" s="86" t="s">
        <v>83</v>
      </c>
      <c r="C33" s="86"/>
      <c r="D33" s="86"/>
      <c r="E33" s="87" t="s">
        <v>84</v>
      </c>
      <c r="F33" s="87"/>
      <c r="G33" s="88" t="n">
        <f aca="false">IF($D$4="PLANILHA PARA LICITAÇÃO (PRECIFICAÇÃO)",L33,0)</f>
        <v>6</v>
      </c>
      <c r="H33" s="89" t="n">
        <f aca="false">G33*P33</f>
        <v>209.64</v>
      </c>
      <c r="I33" s="90" t="str">
        <f aca="false">IF(G33&lt;L33,"Fornecimento inferior ao estimado mensalmente",IF(G33=L33,"Fornecimento igual ao estimado mensalmente",IF(G33&gt;L33,"Fornecimento superior ao estimado mensalmente",)))</f>
        <v>Fornecimento igual ao estimado mensalmente</v>
      </c>
      <c r="J33" s="90"/>
      <c r="K33" s="90"/>
      <c r="L33" s="91" t="n">
        <f aca="false">M33/O33</f>
        <v>6</v>
      </c>
      <c r="M33" s="92" t="n">
        <f aca="false">Mat!J9</f>
        <v>6</v>
      </c>
      <c r="N33" s="93" t="str">
        <f aca="false">Mat!K9</f>
        <v>Mensal</v>
      </c>
      <c r="O33" s="94" t="n">
        <f aca="false">IF(N33="MENSAL",1,IF(N33="BIMESTRAL",2,IF(N33="TRIMESTRAL",3,IF(N33="QUADRIMESTRAL",4,IF(N33="SEMESTRAL",6,IF(N33="ANUAL",12,IF(N33="BIENAL",24,"")))))))</f>
        <v>1</v>
      </c>
      <c r="P33" s="95" t="n">
        <v>34.94</v>
      </c>
      <c r="Q33" s="48" t="n">
        <f aca="false">ROUND(IF(Dados!$J$65="SIM",P33*Dados!$N$65,P33),2)</f>
        <v>34.94</v>
      </c>
      <c r="R33" s="48" t="n">
        <f aca="false">ROUND(IF(Dados!$J$66="SIM",Q33*Dados!$N$66,Q33),2)</f>
        <v>34.94</v>
      </c>
      <c r="S33" s="48" t="n">
        <f aca="false">ROUND(IF(Dados!$J$67="SIM",R33*Dados!$N$67,R33),2)</f>
        <v>34.94</v>
      </c>
      <c r="T33" s="48" t="n">
        <f aca="false">ROUND(IF(Dados!$J$68="SIM",S33*Dados!$N$68,S33),2)</f>
        <v>34.94</v>
      </c>
      <c r="U33" s="96" t="n">
        <f aca="false">ROUND(IF(Dados!$J$69="SIM",T33*Dados!$N$69,T33),2)</f>
        <v>34.94</v>
      </c>
      <c r="V33" s="71" t="n">
        <f aca="false">IF(Dados!$D$78="INICIAL",'Ocorrências Mensais - FAT'!P33,IF(Dados!$D$78="1º IPCA",'Ocorrências Mensais - FAT'!Q33,IF(Dados!$D$78="2º IPCA",'Ocorrências Mensais - FAT'!R33,IF(Dados!$D$78="3º IPCA",'Ocorrências Mensais - FAT'!S33,IF(Dados!$D$78="4º IPCA",'Ocorrências Mensais - FAT'!T33,IF(Dados!$D$78="5º IPCA",'Ocorrências Mensais - FAT'!U33,))))))</f>
        <v>34.94</v>
      </c>
    </row>
    <row r="34" s="1" customFormat="true" ht="15" hidden="true" customHeight="true" outlineLevel="0" collapsed="false">
      <c r="A34" s="85" t="n">
        <v>2</v>
      </c>
      <c r="B34" s="86" t="s">
        <v>85</v>
      </c>
      <c r="C34" s="86"/>
      <c r="D34" s="86"/>
      <c r="E34" s="87" t="s">
        <v>86</v>
      </c>
      <c r="F34" s="97"/>
      <c r="G34" s="88" t="n">
        <f aca="false">IF($D$4="PLANILHA PARA LICITAÇÃO (PRECIFICAÇÃO)",L34,0)</f>
        <v>24</v>
      </c>
      <c r="H34" s="89" t="n">
        <f aca="false">G34*P34</f>
        <v>171.36</v>
      </c>
      <c r="I34" s="90" t="str">
        <f aca="false">IF(G34&lt;L34,"Fornecimento inferior ao estimado mensalmente",IF(G34=L34,"Fornecimento igual ao estimado mensalmente",IF(G34&gt;L34,"Fornecimento superior ao estimado mensalmente",)))</f>
        <v>Fornecimento igual ao estimado mensalmente</v>
      </c>
      <c r="J34" s="90"/>
      <c r="K34" s="90"/>
      <c r="L34" s="91" t="n">
        <f aca="false">M34/O34</f>
        <v>24</v>
      </c>
      <c r="M34" s="92" t="n">
        <f aca="false">Mat!J10</f>
        <v>24</v>
      </c>
      <c r="N34" s="93" t="str">
        <f aca="false">Mat!K10</f>
        <v>Mensal</v>
      </c>
      <c r="O34" s="94" t="n">
        <f aca="false">IF(N34="MENSAL",1,IF(N34="BIMESTRAL",2,IF(N34="TRIMESTRAL",3,IF(N34="QUADRIMESTRAL",4,IF(N34="SEMESTRAL",6,IF(N34="ANUAL",12,IF(N34="BIENAL",24,"")))))))</f>
        <v>1</v>
      </c>
      <c r="P34" s="95" t="n">
        <v>7.14</v>
      </c>
      <c r="Q34" s="48" t="n">
        <f aca="false">ROUND(IF(Dados!$J$65="SIM",P34*Dados!$N$65,P34),2)</f>
        <v>7.14</v>
      </c>
      <c r="R34" s="48" t="n">
        <f aca="false">ROUND(IF(Dados!$J$66="SIM",Q34*Dados!$N$66,Q34),2)</f>
        <v>7.14</v>
      </c>
      <c r="S34" s="48" t="n">
        <f aca="false">ROUND(IF(Dados!$J$67="SIM",R34*Dados!$N$67,R34),2)</f>
        <v>7.14</v>
      </c>
      <c r="T34" s="48" t="n">
        <f aca="false">ROUND(IF(Dados!$J$68="SIM",S34*Dados!$N$68,S34),2)</f>
        <v>7.14</v>
      </c>
      <c r="U34" s="96" t="n">
        <f aca="false">ROUND(IF(Dados!$J$69="SIM",T34*Dados!$N$69,T34),2)</f>
        <v>7.14</v>
      </c>
      <c r="V34" s="71" t="n">
        <f aca="false">IF(Dados!$D$78="INICIAL",'Ocorrências Mensais - FAT'!P34,IF(Dados!$D$78="1º IPCA",'Ocorrências Mensais - FAT'!Q34,IF(Dados!$D$78="2º IPCA",'Ocorrências Mensais - FAT'!R34,IF(Dados!$D$78="3º IPCA",'Ocorrências Mensais - FAT'!S34,IF(Dados!$D$78="4º IPCA",'Ocorrências Mensais - FAT'!T34,IF(Dados!$D$78="5º IPCA",'Ocorrências Mensais - FAT'!U34,))))))</f>
        <v>7.14</v>
      </c>
    </row>
    <row r="35" s="1" customFormat="true" ht="15" hidden="true" customHeight="true" outlineLevel="0" collapsed="false">
      <c r="A35" s="85" t="n">
        <v>3</v>
      </c>
      <c r="B35" s="86" t="s">
        <v>87</v>
      </c>
      <c r="C35" s="86"/>
      <c r="D35" s="86"/>
      <c r="E35" s="87" t="s">
        <v>86</v>
      </c>
      <c r="F35" s="87" t="s">
        <v>88</v>
      </c>
      <c r="G35" s="88" t="n">
        <f aca="false">IF($D$4="PLANILHA PARA LICITAÇÃO (PRECIFICAÇÃO)",L35,0)</f>
        <v>0.333333333333333</v>
      </c>
      <c r="H35" s="89" t="n">
        <f aca="false">G35*P35</f>
        <v>20.72</v>
      </c>
      <c r="I35" s="90" t="str">
        <f aca="false">IF(G35&lt;L35,"Fornecimento inferior ao estimado mensalmente",IF(G35=L35,"Fornecimento igual ao estimado mensalmente",IF(G35&gt;L35,"Fornecimento superior ao estimado mensalmente",)))</f>
        <v>Fornecimento igual ao estimado mensalmente</v>
      </c>
      <c r="J35" s="90"/>
      <c r="K35" s="90"/>
      <c r="L35" s="91" t="n">
        <f aca="false">M35/O35</f>
        <v>0.333333333333333</v>
      </c>
      <c r="M35" s="92" t="n">
        <f aca="false">Mat!J11</f>
        <v>2</v>
      </c>
      <c r="N35" s="93" t="str">
        <f aca="false">Mat!K11</f>
        <v>Semestral</v>
      </c>
      <c r="O35" s="94" t="n">
        <f aca="false">IF(N35="MENSAL",1,IF(N35="BIMESTRAL",2,IF(N35="TRIMESTRAL",3,IF(N35="QUADRIMESTRAL",4,IF(N35="SEMESTRAL",6,IF(N35="ANUAL",12,IF(N35="BIENAL",24,"")))))))</f>
        <v>6</v>
      </c>
      <c r="P35" s="95" t="n">
        <v>62.16</v>
      </c>
      <c r="Q35" s="48" t="n">
        <f aca="false">ROUND(IF(Dados!$J$65="SIM",P35*Dados!$N$65,P35),2)</f>
        <v>62.16</v>
      </c>
      <c r="R35" s="48" t="n">
        <f aca="false">ROUND(IF(Dados!$J$66="SIM",Q35*Dados!$N$66,Q35),2)</f>
        <v>62.16</v>
      </c>
      <c r="S35" s="48" t="n">
        <f aca="false">ROUND(IF(Dados!$J$67="SIM",R35*Dados!$N$67,R35),2)</f>
        <v>62.16</v>
      </c>
      <c r="T35" s="48" t="n">
        <f aca="false">ROUND(IF(Dados!$J$68="SIM",S35*Dados!$N$68,S35),2)</f>
        <v>62.16</v>
      </c>
      <c r="U35" s="96" t="n">
        <f aca="false">ROUND(IF(Dados!$J$69="SIM",T35*Dados!$N$69,T35),2)</f>
        <v>62.16</v>
      </c>
      <c r="V35" s="71" t="n">
        <f aca="false">IF(Dados!$D$78="INICIAL",'Ocorrências Mensais - FAT'!P35,IF(Dados!$D$78="1º IPCA",'Ocorrências Mensais - FAT'!Q35,IF(Dados!$D$78="2º IPCA",'Ocorrências Mensais - FAT'!R35,IF(Dados!$D$78="3º IPCA",'Ocorrências Mensais - FAT'!S35,IF(Dados!$D$78="4º IPCA",'Ocorrências Mensais - FAT'!T35,IF(Dados!$D$78="5º IPCA",'Ocorrências Mensais - FAT'!U35,))))))</f>
        <v>62.16</v>
      </c>
    </row>
    <row r="36" s="1" customFormat="true" ht="15" hidden="true" customHeight="true" outlineLevel="0" collapsed="false">
      <c r="A36" s="85" t="n">
        <v>4</v>
      </c>
      <c r="B36" s="86" t="s">
        <v>89</v>
      </c>
      <c r="C36" s="86"/>
      <c r="D36" s="86"/>
      <c r="E36" s="87" t="s">
        <v>86</v>
      </c>
      <c r="F36" s="87"/>
      <c r="G36" s="88" t="n">
        <f aca="false">IF($D$4="PLANILHA PARA LICITAÇÃO (PRECIFICAÇÃO)",L36,0)</f>
        <v>2.66666666666667</v>
      </c>
      <c r="H36" s="89" t="n">
        <f aca="false">G36*P36</f>
        <v>19.7066666666667</v>
      </c>
      <c r="I36" s="90" t="str">
        <f aca="false">IF(G36&lt;L36,"Fornecimento inferior ao estimado mensalmente",IF(G36=L36,"Fornecimento igual ao estimado mensalmente",IF(G36&gt;L36,"Fornecimento superior ao estimado mensalmente",)))</f>
        <v>Fornecimento igual ao estimado mensalmente</v>
      </c>
      <c r="J36" s="90"/>
      <c r="K36" s="90"/>
      <c r="L36" s="91" t="n">
        <f aca="false">M36/O36</f>
        <v>2.66666666666667</v>
      </c>
      <c r="M36" s="92" t="n">
        <f aca="false">Mat!J12</f>
        <v>8</v>
      </c>
      <c r="N36" s="93" t="str">
        <f aca="false">Mat!K12</f>
        <v>Trimestral</v>
      </c>
      <c r="O36" s="94" t="n">
        <f aca="false">IF(N36="MENSAL",1,IF(N36="BIMESTRAL",2,IF(N36="TRIMESTRAL",3,IF(N36="QUADRIMESTRAL",4,IF(N36="SEMESTRAL",6,IF(N36="ANUAL",12,IF(N36="BIENAL",24,"")))))))</f>
        <v>3</v>
      </c>
      <c r="P36" s="95" t="n">
        <v>7.39</v>
      </c>
      <c r="Q36" s="48" t="n">
        <f aca="false">ROUND(IF(Dados!$J$65="SIM",P36*Dados!$N$65,P36),2)</f>
        <v>7.39</v>
      </c>
      <c r="R36" s="48" t="n">
        <f aca="false">ROUND(IF(Dados!$J$66="SIM",Q36*Dados!$N$66,Q36),2)</f>
        <v>7.39</v>
      </c>
      <c r="S36" s="48" t="n">
        <f aca="false">ROUND(IF(Dados!$J$67="SIM",R36*Dados!$N$67,R36),2)</f>
        <v>7.39</v>
      </c>
      <c r="T36" s="48" t="n">
        <f aca="false">ROUND(IF(Dados!$J$68="SIM",S36*Dados!$N$68,S36),2)</f>
        <v>7.39</v>
      </c>
      <c r="U36" s="96" t="n">
        <f aca="false">ROUND(IF(Dados!$J$69="SIM",T36*Dados!$N$69,T36),2)</f>
        <v>7.39</v>
      </c>
      <c r="V36" s="71" t="n">
        <f aca="false">IF(Dados!$D$78="INICIAL",'Ocorrências Mensais - FAT'!P36,IF(Dados!$D$78="1º IPCA",'Ocorrências Mensais - FAT'!Q36,IF(Dados!$D$78="2º IPCA",'Ocorrências Mensais - FAT'!R36,IF(Dados!$D$78="3º IPCA",'Ocorrências Mensais - FAT'!S36,IF(Dados!$D$78="4º IPCA",'Ocorrências Mensais - FAT'!T36,IF(Dados!$D$78="5º IPCA",'Ocorrências Mensais - FAT'!U36,))))))</f>
        <v>7.39</v>
      </c>
    </row>
    <row r="37" s="1" customFormat="true" ht="15" hidden="true" customHeight="true" outlineLevel="0" collapsed="false">
      <c r="A37" s="85" t="n">
        <v>5</v>
      </c>
      <c r="B37" s="86" t="s">
        <v>90</v>
      </c>
      <c r="C37" s="86"/>
      <c r="D37" s="86"/>
      <c r="E37" s="87" t="s">
        <v>86</v>
      </c>
      <c r="F37" s="87"/>
      <c r="G37" s="88" t="n">
        <f aca="false">IF($D$4="PLANILHA PARA LICITAÇÃO (PRECIFICAÇÃO)",L37,0)</f>
        <v>3.33333333333333</v>
      </c>
      <c r="H37" s="89" t="n">
        <f aca="false">G37*P37</f>
        <v>52.9333333333333</v>
      </c>
      <c r="I37" s="90" t="str">
        <f aca="false">IF(G37&lt;L37,"Fornecimento inferior ao estimado mensalmente",IF(G37=L37,"Fornecimento igual ao estimado mensalmente",IF(G37&gt;L37,"Fornecimento superior ao estimado mensalmente",)))</f>
        <v>Fornecimento igual ao estimado mensalmente</v>
      </c>
      <c r="J37" s="90"/>
      <c r="K37" s="90"/>
      <c r="L37" s="91" t="n">
        <f aca="false">M37/O37</f>
        <v>3.33333333333333</v>
      </c>
      <c r="M37" s="92" t="n">
        <f aca="false">Mat!J13</f>
        <v>10</v>
      </c>
      <c r="N37" s="93" t="str">
        <f aca="false">Mat!K13</f>
        <v>Trimestral</v>
      </c>
      <c r="O37" s="94" t="n">
        <f aca="false">IF(N37="MENSAL",1,IF(N37="BIMESTRAL",2,IF(N37="TRIMESTRAL",3,IF(N37="QUADRIMESTRAL",4,IF(N37="SEMESTRAL",6,IF(N37="ANUAL",12,IF(N37="BIENAL",24,"")))))))</f>
        <v>3</v>
      </c>
      <c r="P37" s="95" t="n">
        <v>15.88</v>
      </c>
      <c r="Q37" s="48" t="n">
        <f aca="false">ROUND(IF(Dados!$J$65="SIM",P37*Dados!$N$65,P37),2)</f>
        <v>15.88</v>
      </c>
      <c r="R37" s="48" t="n">
        <f aca="false">ROUND(IF(Dados!$J$66="SIM",Q37*Dados!$N$66,Q37),2)</f>
        <v>15.88</v>
      </c>
      <c r="S37" s="48" t="n">
        <f aca="false">ROUND(IF(Dados!$J$67="SIM",R37*Dados!$N$67,R37),2)</f>
        <v>15.88</v>
      </c>
      <c r="T37" s="48" t="n">
        <f aca="false">ROUND(IF(Dados!$J$68="SIM",S37*Dados!$N$68,S37),2)</f>
        <v>15.88</v>
      </c>
      <c r="U37" s="96" t="n">
        <f aca="false">ROUND(IF(Dados!$J$69="SIM",T37*Dados!$N$69,T37),2)</f>
        <v>15.88</v>
      </c>
      <c r="V37" s="71" t="n">
        <f aca="false">IF(Dados!$D$78="INICIAL",'Ocorrências Mensais - FAT'!P37,IF(Dados!$D$78="1º IPCA",'Ocorrências Mensais - FAT'!Q37,IF(Dados!$D$78="2º IPCA",'Ocorrências Mensais - FAT'!R37,IF(Dados!$D$78="3º IPCA",'Ocorrências Mensais - FAT'!S37,IF(Dados!$D$78="4º IPCA",'Ocorrências Mensais - FAT'!T37,IF(Dados!$D$78="5º IPCA",'Ocorrências Mensais - FAT'!U37,))))))</f>
        <v>15.88</v>
      </c>
    </row>
    <row r="38" s="1" customFormat="true" ht="15" hidden="true" customHeight="true" outlineLevel="0" collapsed="false">
      <c r="A38" s="85" t="n">
        <v>6</v>
      </c>
      <c r="B38" s="86" t="s">
        <v>91</v>
      </c>
      <c r="C38" s="86"/>
      <c r="D38" s="86"/>
      <c r="E38" s="87" t="s">
        <v>86</v>
      </c>
      <c r="F38" s="98"/>
      <c r="G38" s="88" t="n">
        <f aca="false">IF($D$4="PLANILHA PARA LICITAÇÃO (PRECIFICAÇÃO)",L38,0)</f>
        <v>0.25</v>
      </c>
      <c r="H38" s="89" t="n">
        <f aca="false">G38*P38</f>
        <v>11.65</v>
      </c>
      <c r="I38" s="90" t="str">
        <f aca="false">IF(G38&lt;L38,"Fornecimento inferior ao estimado mensalmente",IF(G38=L38,"Fornecimento igual ao estimado mensalmente",IF(G38&gt;L38,"Fornecimento superior ao estimado mensalmente",)))</f>
        <v>Fornecimento igual ao estimado mensalmente</v>
      </c>
      <c r="J38" s="90"/>
      <c r="K38" s="90"/>
      <c r="L38" s="91" t="n">
        <f aca="false">M38/O38</f>
        <v>0.25</v>
      </c>
      <c r="M38" s="92" t="n">
        <f aca="false">Mat!J14</f>
        <v>1</v>
      </c>
      <c r="N38" s="93" t="str">
        <f aca="false">Mat!K14</f>
        <v>Quadrimestral</v>
      </c>
      <c r="O38" s="94" t="n">
        <f aca="false">IF(N38="MENSAL",1,IF(N38="BIMESTRAL",2,IF(N38="TRIMESTRAL",3,IF(N38="QUADRIMESTRAL",4,IF(N38="SEMESTRAL",6,IF(N38="ANUAL",12,IF(N38="BIENAL",24,"")))))))</f>
        <v>4</v>
      </c>
      <c r="P38" s="95" t="n">
        <v>46.6</v>
      </c>
      <c r="Q38" s="48" t="n">
        <f aca="false">ROUND(IF(Dados!$J$65="SIM",P38*Dados!$N$65,P38),2)</f>
        <v>46.6</v>
      </c>
      <c r="R38" s="48" t="n">
        <f aca="false">ROUND(IF(Dados!$J$66="SIM",Q38*Dados!$N$66,Q38),2)</f>
        <v>46.6</v>
      </c>
      <c r="S38" s="48" t="n">
        <f aca="false">ROUND(IF(Dados!$J$67="SIM",R38*Dados!$N$67,R38),2)</f>
        <v>46.6</v>
      </c>
      <c r="T38" s="48" t="n">
        <f aca="false">ROUND(IF(Dados!$J$68="SIM",S38*Dados!$N$68,S38),2)</f>
        <v>46.6</v>
      </c>
      <c r="U38" s="96" t="n">
        <f aca="false">ROUND(IF(Dados!$J$69="SIM",T38*Dados!$N$69,T38),2)</f>
        <v>46.6</v>
      </c>
      <c r="V38" s="71" t="n">
        <f aca="false">IF(Dados!$D$78="INICIAL",'Ocorrências Mensais - FAT'!P38,IF(Dados!$D$78="1º IPCA",'Ocorrências Mensais - FAT'!Q38,IF(Dados!$D$78="2º IPCA",'Ocorrências Mensais - FAT'!R38,IF(Dados!$D$78="3º IPCA",'Ocorrências Mensais - FAT'!S38,IF(Dados!$D$78="4º IPCA",'Ocorrências Mensais - FAT'!T38,IF(Dados!$D$78="5º IPCA",'Ocorrências Mensais - FAT'!U38,))))))</f>
        <v>46.6</v>
      </c>
    </row>
    <row r="39" s="1" customFormat="true" ht="15" hidden="true" customHeight="true" outlineLevel="0" collapsed="false">
      <c r="A39" s="85" t="n">
        <v>7</v>
      </c>
      <c r="B39" s="86" t="s">
        <v>92</v>
      </c>
      <c r="C39" s="86"/>
      <c r="D39" s="86"/>
      <c r="E39" s="87" t="s">
        <v>86</v>
      </c>
      <c r="F39" s="87"/>
      <c r="G39" s="88" t="n">
        <f aca="false">IF($D$4="PLANILHA PARA LICITAÇÃO (PRECIFICAÇÃO)",L39,0)</f>
        <v>1.66666666666667</v>
      </c>
      <c r="H39" s="89" t="n">
        <f aca="false">G39*P39</f>
        <v>7.2</v>
      </c>
      <c r="I39" s="90" t="str">
        <f aca="false">IF(G39&lt;L39,"Fornecimento inferior ao estimado mensalmente",IF(G39=L39,"Fornecimento igual ao estimado mensalmente",IF(G39&gt;L39,"Fornecimento superior ao estimado mensalmente",)))</f>
        <v>Fornecimento igual ao estimado mensalmente</v>
      </c>
      <c r="J39" s="90"/>
      <c r="K39" s="90"/>
      <c r="L39" s="91" t="n">
        <f aca="false">M39/O39</f>
        <v>1.66666666666667</v>
      </c>
      <c r="M39" s="92" t="n">
        <f aca="false">Mat!J15</f>
        <v>5</v>
      </c>
      <c r="N39" s="93" t="str">
        <f aca="false">Mat!K15</f>
        <v>Trimestral</v>
      </c>
      <c r="O39" s="94" t="n">
        <f aca="false">IF(N39="MENSAL",1,IF(N39="BIMESTRAL",2,IF(N39="TRIMESTRAL",3,IF(N39="QUADRIMESTRAL",4,IF(N39="SEMESTRAL",6,IF(N39="ANUAL",12,IF(N39="BIENAL",24,"")))))))</f>
        <v>3</v>
      </c>
      <c r="P39" s="95" t="n">
        <v>4.32</v>
      </c>
      <c r="Q39" s="48" t="n">
        <f aca="false">ROUND(IF(Dados!$J$65="SIM",P39*Dados!$N$65,P39),2)</f>
        <v>4.32</v>
      </c>
      <c r="R39" s="48" t="n">
        <f aca="false">ROUND(IF(Dados!$J$66="SIM",Q39*Dados!$N$66,Q39),2)</f>
        <v>4.32</v>
      </c>
      <c r="S39" s="48" t="n">
        <f aca="false">ROUND(IF(Dados!$J$67="SIM",R39*Dados!$N$67,R39),2)</f>
        <v>4.32</v>
      </c>
      <c r="T39" s="48" t="n">
        <f aca="false">ROUND(IF(Dados!$J$68="SIM",S39*Dados!$N$68,S39),2)</f>
        <v>4.32</v>
      </c>
      <c r="U39" s="96" t="n">
        <f aca="false">ROUND(IF(Dados!$J$69="SIM",T39*Dados!$N$69,T39),2)</f>
        <v>4.32</v>
      </c>
      <c r="V39" s="71" t="n">
        <f aca="false">IF(Dados!$D$78="INICIAL",'Ocorrências Mensais - FAT'!P39,IF(Dados!$D$78="1º IPCA",'Ocorrências Mensais - FAT'!Q39,IF(Dados!$D$78="2º IPCA",'Ocorrências Mensais - FAT'!R39,IF(Dados!$D$78="3º IPCA",'Ocorrências Mensais - FAT'!S39,IF(Dados!$D$78="4º IPCA",'Ocorrências Mensais - FAT'!T39,IF(Dados!$D$78="5º IPCA",'Ocorrências Mensais - FAT'!U39,))))))</f>
        <v>4.32</v>
      </c>
    </row>
    <row r="40" s="1" customFormat="true" ht="25.5" hidden="true" customHeight="true" outlineLevel="0" collapsed="false">
      <c r="A40" s="99" t="n">
        <v>8</v>
      </c>
      <c r="B40" s="86" t="s">
        <v>93</v>
      </c>
      <c r="C40" s="86"/>
      <c r="D40" s="86"/>
      <c r="E40" s="87" t="s">
        <v>86</v>
      </c>
      <c r="F40" s="87"/>
      <c r="G40" s="88" t="n">
        <f aca="false">IF($D$4="PLANILHA PARA LICITAÇÃO (PRECIFICAÇÃO)",L40,0)</f>
        <v>2</v>
      </c>
      <c r="H40" s="89" t="n">
        <f aca="false">G40*P40</f>
        <v>13.24</v>
      </c>
      <c r="I40" s="90" t="str">
        <f aca="false">IF(G40&lt;L40,"Fornecimento inferior ao estimado mensalmente",IF(G40=L40,"Fornecimento igual ao estimado mensalmente",IF(G40&gt;L40,"Fornecimento superior ao estimado mensalmente",)))</f>
        <v>Fornecimento igual ao estimado mensalmente</v>
      </c>
      <c r="J40" s="90"/>
      <c r="K40" s="90"/>
      <c r="L40" s="91" t="n">
        <f aca="false">M40/O40</f>
        <v>2</v>
      </c>
      <c r="M40" s="92" t="n">
        <f aca="false">Mat!J16</f>
        <v>6</v>
      </c>
      <c r="N40" s="93" t="str">
        <f aca="false">Mat!K16</f>
        <v>Trimestral</v>
      </c>
      <c r="O40" s="94" t="n">
        <f aca="false">IF(N40="MENSAL",1,IF(N40="BIMESTRAL",2,IF(N40="TRIMESTRAL",3,IF(N40="QUADRIMESTRAL",4,IF(N40="SEMESTRAL",6,IF(N40="ANUAL",12,IF(N40="BIENAL",24,"")))))))</f>
        <v>3</v>
      </c>
      <c r="P40" s="95" t="n">
        <v>6.62</v>
      </c>
      <c r="Q40" s="48" t="n">
        <f aca="false">ROUND(IF(Dados!$J$65="SIM",P40*Dados!$N$65,P40),2)</f>
        <v>6.62</v>
      </c>
      <c r="R40" s="48" t="n">
        <f aca="false">ROUND(IF(Dados!$J$66="SIM",Q40*Dados!$N$66,Q40),2)</f>
        <v>6.62</v>
      </c>
      <c r="S40" s="48" t="n">
        <f aca="false">ROUND(IF(Dados!$J$67="SIM",R40*Dados!$N$67,R40),2)</f>
        <v>6.62</v>
      </c>
      <c r="T40" s="48" t="n">
        <f aca="false">ROUND(IF(Dados!$J$68="SIM",S40*Dados!$N$68,S40),2)</f>
        <v>6.62</v>
      </c>
      <c r="U40" s="96" t="n">
        <f aca="false">ROUND(IF(Dados!$J$69="SIM",T40*Dados!$N$69,T40),2)</f>
        <v>6.62</v>
      </c>
      <c r="V40" s="71" t="n">
        <f aca="false">IF(Dados!$D$78="INICIAL",'Ocorrências Mensais - FAT'!P40,IF(Dados!$D$78="1º IPCA",'Ocorrências Mensais - FAT'!Q40,IF(Dados!$D$78="2º IPCA",'Ocorrências Mensais - FAT'!R40,IF(Dados!$D$78="3º IPCA",'Ocorrências Mensais - FAT'!S40,IF(Dados!$D$78="4º IPCA",'Ocorrências Mensais - FAT'!T40,IF(Dados!$D$78="5º IPCA",'Ocorrências Mensais - FAT'!U40,))))))</f>
        <v>6.62</v>
      </c>
    </row>
    <row r="41" s="1" customFormat="true" ht="15" hidden="true" customHeight="true" outlineLevel="0" collapsed="false">
      <c r="A41" s="85" t="n">
        <v>9</v>
      </c>
      <c r="B41" s="86" t="s">
        <v>94</v>
      </c>
      <c r="C41" s="86"/>
      <c r="D41" s="86"/>
      <c r="E41" s="87" t="s">
        <v>84</v>
      </c>
      <c r="F41" s="87"/>
      <c r="G41" s="88" t="n">
        <f aca="false">IF($D$4="PLANILHA PARA LICITAÇÃO (PRECIFICAÇÃO)",L41,0)</f>
        <v>2</v>
      </c>
      <c r="H41" s="89" t="n">
        <f aca="false">G41*P41</f>
        <v>22.96</v>
      </c>
      <c r="I41" s="90" t="str">
        <f aca="false">IF(G41&lt;L41,"Fornecimento inferior ao estimado mensalmente",IF(G41=L41,"Fornecimento igual ao estimado mensalmente",IF(G41&gt;L41,"Fornecimento superior ao estimado mensalmente",)))</f>
        <v>Fornecimento igual ao estimado mensalmente</v>
      </c>
      <c r="J41" s="90"/>
      <c r="K41" s="90"/>
      <c r="L41" s="91" t="n">
        <f aca="false">M41/O41</f>
        <v>2</v>
      </c>
      <c r="M41" s="92" t="n">
        <f aca="false">Mat!J17</f>
        <v>2</v>
      </c>
      <c r="N41" s="93" t="str">
        <f aca="false">Mat!K17</f>
        <v>Mensal</v>
      </c>
      <c r="O41" s="94" t="n">
        <f aca="false">IF(N41="MENSAL",1,IF(N41="BIMESTRAL",2,IF(N41="TRIMESTRAL",3,IF(N41="QUADRIMESTRAL",4,IF(N41="SEMESTRAL",6,IF(N41="ANUAL",12,IF(N41="BIENAL",24,"")))))))</f>
        <v>1</v>
      </c>
      <c r="P41" s="95" t="n">
        <v>11.48</v>
      </c>
      <c r="Q41" s="48" t="n">
        <f aca="false">ROUND(IF(Dados!$J$65="SIM",P41*Dados!$N$65,P41),2)</f>
        <v>11.48</v>
      </c>
      <c r="R41" s="48" t="n">
        <f aca="false">ROUND(IF(Dados!$J$66="SIM",Q41*Dados!$N$66,Q41),2)</f>
        <v>11.48</v>
      </c>
      <c r="S41" s="48" t="n">
        <f aca="false">ROUND(IF(Dados!$J$67="SIM",R41*Dados!$N$67,R41),2)</f>
        <v>11.48</v>
      </c>
      <c r="T41" s="48" t="n">
        <f aca="false">ROUND(IF(Dados!$J$68="SIM",S41*Dados!$N$68,S41),2)</f>
        <v>11.48</v>
      </c>
      <c r="U41" s="96" t="n">
        <f aca="false">ROUND(IF(Dados!$J$69="SIM",T41*Dados!$N$69,T41),2)</f>
        <v>11.48</v>
      </c>
      <c r="V41" s="71" t="n">
        <f aca="false">IF(Dados!$D$78="INICIAL",'Ocorrências Mensais - FAT'!P41,IF(Dados!$D$78="1º IPCA",'Ocorrências Mensais - FAT'!Q41,IF(Dados!$D$78="2º IPCA",'Ocorrências Mensais - FAT'!R41,IF(Dados!$D$78="3º IPCA",'Ocorrências Mensais - FAT'!S41,IF(Dados!$D$78="4º IPCA",'Ocorrências Mensais - FAT'!T41,IF(Dados!$D$78="5º IPCA",'Ocorrências Mensais - FAT'!U41,))))))</f>
        <v>11.48</v>
      </c>
    </row>
    <row r="42" s="1" customFormat="true" ht="15" hidden="true" customHeight="true" outlineLevel="0" collapsed="false">
      <c r="A42" s="85" t="n">
        <v>10</v>
      </c>
      <c r="B42" s="100" t="s">
        <v>95</v>
      </c>
      <c r="C42" s="100"/>
      <c r="D42" s="100"/>
      <c r="E42" s="87" t="s">
        <v>86</v>
      </c>
      <c r="F42" s="87" t="s">
        <v>96</v>
      </c>
      <c r="G42" s="88" t="n">
        <f aca="false">IF($D$4="PLANILHA PARA LICITAÇÃO (PRECIFICAÇÃO)",L42,0)</f>
        <v>40</v>
      </c>
      <c r="H42" s="89" t="n">
        <f aca="false">G42*P42</f>
        <v>89.2</v>
      </c>
      <c r="I42" s="90" t="str">
        <f aca="false">IF(G42&lt;L42,"Fornecimento inferior ao estimado mensalmente",IF(G42=L42,"Fornecimento igual ao estimado mensalmente",IF(G42&gt;L42,"Fornecimento superior ao estimado mensalmente",)))</f>
        <v>Fornecimento igual ao estimado mensalmente</v>
      </c>
      <c r="J42" s="90"/>
      <c r="K42" s="90"/>
      <c r="L42" s="91" t="n">
        <f aca="false">M42/O42</f>
        <v>40</v>
      </c>
      <c r="M42" s="92" t="n">
        <f aca="false">Mat!J18</f>
        <v>40</v>
      </c>
      <c r="N42" s="93" t="str">
        <f aca="false">Mat!K18</f>
        <v>Mensal</v>
      </c>
      <c r="O42" s="94" t="n">
        <f aca="false">IF(N42="MENSAL",1,IF(N42="BIMESTRAL",2,IF(N42="TRIMESTRAL",3,IF(N42="QUADRIMESTRAL",4,IF(N42="SEMESTRAL",6,IF(N42="ANUAL",12,IF(N42="BIENAL",24,"")))))))</f>
        <v>1</v>
      </c>
      <c r="P42" s="95" t="n">
        <v>2.23</v>
      </c>
      <c r="Q42" s="48" t="n">
        <f aca="false">ROUND(IF(Dados!$J$65="SIM",P42*Dados!$N$65,P42),2)</f>
        <v>2.23</v>
      </c>
      <c r="R42" s="48" t="n">
        <f aca="false">ROUND(IF(Dados!$J$66="SIM",Q42*Dados!$N$66,Q42),2)</f>
        <v>2.23</v>
      </c>
      <c r="S42" s="48" t="n">
        <f aca="false">ROUND(IF(Dados!$J$67="SIM",R42*Dados!$N$67,R42),2)</f>
        <v>2.23</v>
      </c>
      <c r="T42" s="48" t="n">
        <f aca="false">ROUND(IF(Dados!$J$68="SIM",S42*Dados!$N$68,S42),2)</f>
        <v>2.23</v>
      </c>
      <c r="U42" s="96" t="n">
        <f aca="false">ROUND(IF(Dados!$J$69="SIM",T42*Dados!$N$69,T42),2)</f>
        <v>2.23</v>
      </c>
      <c r="V42" s="71" t="n">
        <f aca="false">IF(Dados!$D$78="INICIAL",'Ocorrências Mensais - FAT'!P42,IF(Dados!$D$78="1º IPCA",'Ocorrências Mensais - FAT'!Q42,IF(Dados!$D$78="2º IPCA",'Ocorrências Mensais - FAT'!R42,IF(Dados!$D$78="3º IPCA",'Ocorrências Mensais - FAT'!S42,IF(Dados!$D$78="4º IPCA",'Ocorrências Mensais - FAT'!T42,IF(Dados!$D$78="5º IPCA",'Ocorrências Mensais - FAT'!U42,))))))</f>
        <v>2.23</v>
      </c>
    </row>
    <row r="43" s="1" customFormat="true" ht="15" hidden="true" customHeight="true" outlineLevel="0" collapsed="false">
      <c r="A43" s="85" t="n">
        <v>11</v>
      </c>
      <c r="B43" s="100" t="s">
        <v>97</v>
      </c>
      <c r="C43" s="100"/>
      <c r="D43" s="100"/>
      <c r="E43" s="87" t="s">
        <v>86</v>
      </c>
      <c r="F43" s="87"/>
      <c r="G43" s="88" t="n">
        <f aca="false">IF($D$4="PLANILHA PARA LICITAÇÃO (PRECIFICAÇÃO)",L43,0)</f>
        <v>1</v>
      </c>
      <c r="H43" s="89" t="n">
        <f aca="false">G43*P43</f>
        <v>18.84</v>
      </c>
      <c r="I43" s="90" t="str">
        <f aca="false">IF(G43&lt;L43,"Fornecimento inferior ao estimado mensalmente",IF(G43=L43,"Fornecimento igual ao estimado mensalmente",IF(G43&gt;L43,"Fornecimento superior ao estimado mensalmente",)))</f>
        <v>Fornecimento igual ao estimado mensalmente</v>
      </c>
      <c r="J43" s="90"/>
      <c r="K43" s="90"/>
      <c r="L43" s="91" t="n">
        <f aca="false">M43/O43</f>
        <v>1</v>
      </c>
      <c r="M43" s="92" t="n">
        <f aca="false">Mat!J19</f>
        <v>2</v>
      </c>
      <c r="N43" s="93" t="str">
        <f aca="false">Mat!K19</f>
        <v>Bimestral</v>
      </c>
      <c r="O43" s="94" t="n">
        <f aca="false">IF(N43="MENSAL",1,IF(N43="BIMESTRAL",2,IF(N43="TRIMESTRAL",3,IF(N43="QUADRIMESTRAL",4,IF(N43="SEMESTRAL",6,IF(N43="ANUAL",12,IF(N43="BIENAL",24,"")))))))</f>
        <v>2</v>
      </c>
      <c r="P43" s="95" t="n">
        <v>18.84</v>
      </c>
      <c r="Q43" s="48" t="n">
        <f aca="false">ROUND(IF(Dados!$J$65="SIM",P43*Dados!$N$65,P43),2)</f>
        <v>18.84</v>
      </c>
      <c r="R43" s="48" t="n">
        <f aca="false">ROUND(IF(Dados!$J$66="SIM",Q43*Dados!$N$66,Q43),2)</f>
        <v>18.84</v>
      </c>
      <c r="S43" s="48" t="n">
        <f aca="false">ROUND(IF(Dados!$J$67="SIM",R43*Dados!$N$67,R43),2)</f>
        <v>18.84</v>
      </c>
      <c r="T43" s="48" t="n">
        <f aca="false">ROUND(IF(Dados!$J$68="SIM",S43*Dados!$N$68,S43),2)</f>
        <v>18.84</v>
      </c>
      <c r="U43" s="96" t="n">
        <f aca="false">ROUND(IF(Dados!$J$69="SIM",T43*Dados!$N$69,T43),2)</f>
        <v>18.84</v>
      </c>
      <c r="V43" s="71" t="n">
        <f aca="false">IF(Dados!$D$78="INICIAL",'Ocorrências Mensais - FAT'!P43,IF(Dados!$D$78="1º IPCA",'Ocorrências Mensais - FAT'!Q43,IF(Dados!$D$78="2º IPCA",'Ocorrências Mensais - FAT'!R43,IF(Dados!$D$78="3º IPCA",'Ocorrências Mensais - FAT'!S43,IF(Dados!$D$78="4º IPCA",'Ocorrências Mensais - FAT'!T43,IF(Dados!$D$78="5º IPCA",'Ocorrências Mensais - FAT'!U43,))))))</f>
        <v>18.84</v>
      </c>
    </row>
    <row r="44" s="1" customFormat="true" ht="15.75" hidden="true" customHeight="true" outlineLevel="0" collapsed="false">
      <c r="A44" s="85" t="n">
        <v>12</v>
      </c>
      <c r="B44" s="100" t="s">
        <v>98</v>
      </c>
      <c r="C44" s="100"/>
      <c r="D44" s="100"/>
      <c r="E44" s="87" t="s">
        <v>86</v>
      </c>
      <c r="F44" s="87"/>
      <c r="G44" s="88" t="n">
        <f aca="false">IF($D$4="PLANILHA PARA LICITAÇÃO (PRECIFICAÇÃO)",L44,0)</f>
        <v>0.666666666666667</v>
      </c>
      <c r="H44" s="89" t="n">
        <f aca="false">G44*P44</f>
        <v>17.6066666666667</v>
      </c>
      <c r="I44" s="90" t="str">
        <f aca="false">IF(G44&lt;L44,"Fornecimento inferior ao estimado mensalmente",IF(G44=L44,"Fornecimento igual ao estimado mensalmente",IF(G44&gt;L44,"Fornecimento superior ao estimado mensalmente",)))</f>
        <v>Fornecimento igual ao estimado mensalmente</v>
      </c>
      <c r="J44" s="90"/>
      <c r="K44" s="90"/>
      <c r="L44" s="91" t="n">
        <f aca="false">M44/O44</f>
        <v>0.666666666666667</v>
      </c>
      <c r="M44" s="92" t="n">
        <f aca="false">Mat!J20</f>
        <v>2</v>
      </c>
      <c r="N44" s="93" t="str">
        <f aca="false">Mat!K20</f>
        <v>Trimestral</v>
      </c>
      <c r="O44" s="94" t="n">
        <f aca="false">IF(N44="MENSAL",1,IF(N44="BIMESTRAL",2,IF(N44="TRIMESTRAL",3,IF(N44="QUADRIMESTRAL",4,IF(N44="SEMESTRAL",6,IF(N44="ANUAL",12,IF(N44="BIENAL",24,"")))))))</f>
        <v>3</v>
      </c>
      <c r="P44" s="95" t="n">
        <v>26.41</v>
      </c>
      <c r="Q44" s="48" t="n">
        <f aca="false">ROUND(IF(Dados!$J$65="SIM",P44*Dados!$N$65,P44),2)</f>
        <v>26.41</v>
      </c>
      <c r="R44" s="48" t="n">
        <f aca="false">ROUND(IF(Dados!$J$66="SIM",Q44*Dados!$N$66,Q44),2)</f>
        <v>26.41</v>
      </c>
      <c r="S44" s="48" t="n">
        <f aca="false">ROUND(IF(Dados!$J$67="SIM",R44*Dados!$N$67,R44),2)</f>
        <v>26.41</v>
      </c>
      <c r="T44" s="48" t="n">
        <f aca="false">ROUND(IF(Dados!$J$68="SIM",S44*Dados!$N$68,S44),2)</f>
        <v>26.41</v>
      </c>
      <c r="U44" s="96" t="n">
        <f aca="false">ROUND(IF(Dados!$J$69="SIM",T44*Dados!$N$69,T44),2)</f>
        <v>26.41</v>
      </c>
      <c r="V44" s="71" t="n">
        <f aca="false">IF(Dados!$D$78="INICIAL",'Ocorrências Mensais - FAT'!P44,IF(Dados!$D$78="1º IPCA",'Ocorrências Mensais - FAT'!Q44,IF(Dados!$D$78="2º IPCA",'Ocorrências Mensais - FAT'!R44,IF(Dados!$D$78="3º IPCA",'Ocorrências Mensais - FAT'!S44,IF(Dados!$D$78="4º IPCA",'Ocorrências Mensais - FAT'!T44,IF(Dados!$D$78="5º IPCA",'Ocorrências Mensais - FAT'!U44,))))))</f>
        <v>26.41</v>
      </c>
    </row>
    <row r="45" s="1" customFormat="true" ht="15" hidden="true" customHeight="true" outlineLevel="0" collapsed="false">
      <c r="A45" s="85" t="n">
        <v>13</v>
      </c>
      <c r="B45" s="100" t="s">
        <v>99</v>
      </c>
      <c r="C45" s="100"/>
      <c r="D45" s="100"/>
      <c r="E45" s="87" t="s">
        <v>86</v>
      </c>
      <c r="F45" s="87"/>
      <c r="G45" s="88" t="n">
        <f aca="false">IF($D$4="PLANILHA PARA LICITAÇÃO (PRECIFICAÇÃO)",L45,0)</f>
        <v>2</v>
      </c>
      <c r="H45" s="89" t="n">
        <f aca="false">G45*P45</f>
        <v>5.8</v>
      </c>
      <c r="I45" s="90" t="str">
        <f aca="false">IF(G45&lt;L45,"Fornecimento inferior ao estimado mensalmente",IF(G45=L45,"Fornecimento igual ao estimado mensalmente",IF(G45&gt;L45,"Fornecimento superior ao estimado mensalmente",)))</f>
        <v>Fornecimento igual ao estimado mensalmente</v>
      </c>
      <c r="J45" s="90"/>
      <c r="K45" s="90"/>
      <c r="L45" s="91" t="n">
        <f aca="false">M45/O45</f>
        <v>2</v>
      </c>
      <c r="M45" s="92" t="n">
        <f aca="false">Mat!J21</f>
        <v>6</v>
      </c>
      <c r="N45" s="93" t="str">
        <f aca="false">Mat!K21</f>
        <v>Trimestral</v>
      </c>
      <c r="O45" s="94" t="n">
        <f aca="false">IF(N45="MENSAL",1,IF(N45="BIMESTRAL",2,IF(N45="TRIMESTRAL",3,IF(N45="QUADRIMESTRAL",4,IF(N45="SEMESTRAL",6,IF(N45="ANUAL",12,IF(N45="BIENAL",24,"")))))))</f>
        <v>3</v>
      </c>
      <c r="P45" s="95" t="n">
        <v>2.9</v>
      </c>
      <c r="Q45" s="48" t="n">
        <f aca="false">ROUND(IF(Dados!$J$65="SIM",P45*Dados!$N$65,P45),2)</f>
        <v>2.9</v>
      </c>
      <c r="R45" s="48" t="n">
        <f aca="false">ROUND(IF(Dados!$J$66="SIM",Q45*Dados!$N$66,Q45),2)</f>
        <v>2.9</v>
      </c>
      <c r="S45" s="48" t="n">
        <f aca="false">ROUND(IF(Dados!$J$67="SIM",R45*Dados!$N$67,R45),2)</f>
        <v>2.9</v>
      </c>
      <c r="T45" s="48" t="n">
        <f aca="false">ROUND(IF(Dados!$J$68="SIM",S45*Dados!$N$68,S45),2)</f>
        <v>2.9</v>
      </c>
      <c r="U45" s="96" t="n">
        <f aca="false">ROUND(IF(Dados!$J$69="SIM",T45*Dados!$N$69,T45),2)</f>
        <v>2.9</v>
      </c>
      <c r="V45" s="71" t="n">
        <f aca="false">IF(Dados!$D$78="INICIAL",'Ocorrências Mensais - FAT'!P45,IF(Dados!$D$78="1º IPCA",'Ocorrências Mensais - FAT'!Q45,IF(Dados!$D$78="2º IPCA",'Ocorrências Mensais - FAT'!R45,IF(Dados!$D$78="3º IPCA",'Ocorrências Mensais - FAT'!S45,IF(Dados!$D$78="4º IPCA",'Ocorrências Mensais - FAT'!T45,IF(Dados!$D$78="5º IPCA",'Ocorrências Mensais - FAT'!U45,))))))</f>
        <v>2.9</v>
      </c>
    </row>
    <row r="46" s="1" customFormat="true" ht="15" hidden="true" customHeight="true" outlineLevel="0" collapsed="false">
      <c r="A46" s="85" t="n">
        <v>14</v>
      </c>
      <c r="B46" s="100" t="s">
        <v>100</v>
      </c>
      <c r="C46" s="100"/>
      <c r="D46" s="100"/>
      <c r="E46" s="87" t="s">
        <v>86</v>
      </c>
      <c r="F46" s="87"/>
      <c r="G46" s="88" t="n">
        <f aca="false">IF($D$4="PLANILHA PARA LICITAÇÃO (PRECIFICAÇÃO)",L46,0)</f>
        <v>0.666666666666667</v>
      </c>
      <c r="H46" s="89" t="n">
        <f aca="false">G46*P46</f>
        <v>26.5666666666667</v>
      </c>
      <c r="I46" s="90" t="str">
        <f aca="false">IF(G46&lt;L46,"Fornecimento inferior ao estimado mensalmente",IF(G46=L46,"Fornecimento igual ao estimado mensalmente",IF(G46&gt;L46,"Fornecimento superior ao estimado mensalmente",)))</f>
        <v>Fornecimento igual ao estimado mensalmente</v>
      </c>
      <c r="J46" s="90"/>
      <c r="K46" s="90"/>
      <c r="L46" s="91" t="n">
        <f aca="false">M46/O46</f>
        <v>0.666666666666667</v>
      </c>
      <c r="M46" s="92" t="n">
        <f aca="false">Mat!J22</f>
        <v>2</v>
      </c>
      <c r="N46" s="93" t="str">
        <f aca="false">Mat!K22</f>
        <v>Trimestral</v>
      </c>
      <c r="O46" s="94" t="n">
        <f aca="false">IF(N46="MENSAL",1,IF(N46="BIMESTRAL",2,IF(N46="TRIMESTRAL",3,IF(N46="QUADRIMESTRAL",4,IF(N46="SEMESTRAL",6,IF(N46="ANUAL",12,IF(N46="BIENAL",24,"")))))))</f>
        <v>3</v>
      </c>
      <c r="P46" s="95" t="n">
        <v>39.85</v>
      </c>
      <c r="Q46" s="48" t="n">
        <f aca="false">ROUND(IF(Dados!$J$65="SIM",P46*Dados!$N$65,P46),2)</f>
        <v>39.85</v>
      </c>
      <c r="R46" s="48" t="n">
        <f aca="false">ROUND(IF(Dados!$J$66="SIM",Q46*Dados!$N$66,Q46),2)</f>
        <v>39.85</v>
      </c>
      <c r="S46" s="48" t="n">
        <f aca="false">ROUND(IF(Dados!$J$67="SIM",R46*Dados!$N$67,R46),2)</f>
        <v>39.85</v>
      </c>
      <c r="T46" s="48" t="n">
        <f aca="false">ROUND(IF(Dados!$J$68="SIM",S46*Dados!$N$68,S46),2)</f>
        <v>39.85</v>
      </c>
      <c r="U46" s="96" t="n">
        <f aca="false">ROUND(IF(Dados!$J$69="SIM",T46*Dados!$N$69,T46),2)</f>
        <v>39.85</v>
      </c>
      <c r="V46" s="71" t="n">
        <f aca="false">IF(Dados!$D$78="INICIAL",'Ocorrências Mensais - FAT'!P46,IF(Dados!$D$78="1º IPCA",'Ocorrências Mensais - FAT'!Q46,IF(Dados!$D$78="2º IPCA",'Ocorrências Mensais - FAT'!R46,IF(Dados!$D$78="3º IPCA",'Ocorrências Mensais - FAT'!S46,IF(Dados!$D$78="4º IPCA",'Ocorrências Mensais - FAT'!T46,IF(Dados!$D$78="5º IPCA",'Ocorrências Mensais - FAT'!U46,))))))</f>
        <v>39.85</v>
      </c>
    </row>
    <row r="47" s="1" customFormat="true" ht="15" hidden="true" customHeight="true" outlineLevel="0" collapsed="false">
      <c r="A47" s="85" t="n">
        <v>15</v>
      </c>
      <c r="B47" s="101" t="s">
        <v>101</v>
      </c>
      <c r="C47" s="101"/>
      <c r="D47" s="101"/>
      <c r="E47" s="87" t="s">
        <v>86</v>
      </c>
      <c r="F47" s="102"/>
      <c r="G47" s="88" t="n">
        <f aca="false">IF($D$4="PLANILHA PARA LICITAÇÃO (PRECIFICAÇÃO)",L47,0)</f>
        <v>0.666666666666667</v>
      </c>
      <c r="H47" s="89" t="n">
        <f aca="false">G47*P47</f>
        <v>28.8266666666667</v>
      </c>
      <c r="I47" s="90" t="str">
        <f aca="false">IF(G47&lt;L47,"Fornecimento inferior ao estimado mensalmente",IF(G47=L47,"Fornecimento igual ao estimado mensalmente",IF(G47&gt;L47,"Fornecimento superior ao estimado mensalmente",)))</f>
        <v>Fornecimento igual ao estimado mensalmente</v>
      </c>
      <c r="J47" s="90"/>
      <c r="K47" s="90"/>
      <c r="L47" s="91" t="n">
        <f aca="false">M47/O47</f>
        <v>0.666666666666667</v>
      </c>
      <c r="M47" s="92" t="n">
        <f aca="false">Mat!J23</f>
        <v>2</v>
      </c>
      <c r="N47" s="93" t="str">
        <f aca="false">Mat!K23</f>
        <v>Trimestral</v>
      </c>
      <c r="O47" s="94" t="n">
        <f aca="false">IF(N47="MENSAL",1,IF(N47="BIMESTRAL",2,IF(N47="TRIMESTRAL",3,IF(N47="QUADRIMESTRAL",4,IF(N47="SEMESTRAL",6,IF(N47="ANUAL",12,IF(N47="BIENAL",24,"")))))))</f>
        <v>3</v>
      </c>
      <c r="P47" s="95" t="n">
        <v>43.24</v>
      </c>
      <c r="Q47" s="48" t="n">
        <f aca="false">ROUND(IF(Dados!$J$65="SIM",P47*Dados!$N$65,P47),2)</f>
        <v>43.24</v>
      </c>
      <c r="R47" s="48" t="n">
        <f aca="false">ROUND(IF(Dados!$J$66="SIM",Q47*Dados!$N$66,Q47),2)</f>
        <v>43.24</v>
      </c>
      <c r="S47" s="48" t="n">
        <f aca="false">ROUND(IF(Dados!$J$67="SIM",R47*Dados!$N$67,R47),2)</f>
        <v>43.24</v>
      </c>
      <c r="T47" s="48" t="n">
        <f aca="false">ROUND(IF(Dados!$J$68="SIM",S47*Dados!$N$68,S47),2)</f>
        <v>43.24</v>
      </c>
      <c r="U47" s="96" t="n">
        <f aca="false">ROUND(IF(Dados!$J$69="SIM",T47*Dados!$N$69,T47),2)</f>
        <v>43.24</v>
      </c>
      <c r="V47" s="71" t="n">
        <f aca="false">IF(Dados!$D$78="INICIAL",'Ocorrências Mensais - FAT'!P47,IF(Dados!$D$78="1º IPCA",'Ocorrências Mensais - FAT'!Q47,IF(Dados!$D$78="2º IPCA",'Ocorrências Mensais - FAT'!R47,IF(Dados!$D$78="3º IPCA",'Ocorrências Mensais - FAT'!S47,IF(Dados!$D$78="4º IPCA",'Ocorrências Mensais - FAT'!T47,IF(Dados!$D$78="5º IPCA",'Ocorrências Mensais - FAT'!U47,))))))</f>
        <v>43.24</v>
      </c>
    </row>
    <row r="48" s="1" customFormat="true" ht="15" hidden="true" customHeight="true" outlineLevel="0" collapsed="false">
      <c r="A48" s="85" t="n">
        <v>16</v>
      </c>
      <c r="B48" s="100" t="s">
        <v>102</v>
      </c>
      <c r="C48" s="100"/>
      <c r="D48" s="100"/>
      <c r="E48" s="87" t="s">
        <v>86</v>
      </c>
      <c r="F48" s="103"/>
      <c r="G48" s="88" t="n">
        <f aca="false">IF($D$4="PLANILHA PARA LICITAÇÃO (PRECIFICAÇÃO)",L48,0)</f>
        <v>70</v>
      </c>
      <c r="H48" s="89" t="n">
        <f aca="false">G48*P48</f>
        <v>63</v>
      </c>
      <c r="I48" s="90" t="str">
        <f aca="false">IF(G48&lt;L48,"Fornecimento inferior ao estimado mensalmente",IF(G48=L48,"Fornecimento igual ao estimado mensalmente",IF(G48&gt;L48,"Fornecimento superior ao estimado mensalmente",)))</f>
        <v>Fornecimento igual ao estimado mensalmente</v>
      </c>
      <c r="J48" s="90"/>
      <c r="K48" s="90"/>
      <c r="L48" s="91" t="n">
        <f aca="false">M48/O48</f>
        <v>70</v>
      </c>
      <c r="M48" s="92" t="n">
        <f aca="false">Mat!J24</f>
        <v>70</v>
      </c>
      <c r="N48" s="93" t="str">
        <f aca="false">Mat!K24</f>
        <v>Mensal</v>
      </c>
      <c r="O48" s="94" t="n">
        <f aca="false">IF(N48="MENSAL",1,IF(N48="BIMESTRAL",2,IF(N48="TRIMESTRAL",3,IF(N48="QUADRIMESTRAL",4,IF(N48="SEMESTRAL",6,IF(N48="ANUAL",12,IF(N48="BIENAL",24,"")))))))</f>
        <v>1</v>
      </c>
      <c r="P48" s="95" t="n">
        <v>0.9</v>
      </c>
      <c r="Q48" s="48" t="n">
        <f aca="false">ROUND(IF(Dados!$J$65="SIM",P48*Dados!$N$65,P48),2)</f>
        <v>0.9</v>
      </c>
      <c r="R48" s="48" t="n">
        <f aca="false">ROUND(IF(Dados!$J$66="SIM",Q48*Dados!$N$66,Q48),2)</f>
        <v>0.9</v>
      </c>
      <c r="S48" s="48" t="n">
        <f aca="false">ROUND(IF(Dados!$J$67="SIM",R48*Dados!$N$67,R48),2)</f>
        <v>0.9</v>
      </c>
      <c r="T48" s="48" t="n">
        <f aca="false">ROUND(IF(Dados!$J$68="SIM",S48*Dados!$N$68,S48),2)</f>
        <v>0.9</v>
      </c>
      <c r="U48" s="96" t="n">
        <f aca="false">ROUND(IF(Dados!$J$69="SIM",T48*Dados!$N$69,T48),2)</f>
        <v>0.9</v>
      </c>
      <c r="V48" s="71" t="n">
        <f aca="false">IF(Dados!$D$78="INICIAL",'Ocorrências Mensais - FAT'!P48,IF(Dados!$D$78="1º IPCA",'Ocorrências Mensais - FAT'!Q48,IF(Dados!$D$78="2º IPCA",'Ocorrências Mensais - FAT'!R48,IF(Dados!$D$78="3º IPCA",'Ocorrências Mensais - FAT'!S48,IF(Dados!$D$78="4º IPCA",'Ocorrências Mensais - FAT'!T48,IF(Dados!$D$78="5º IPCA",'Ocorrências Mensais - FAT'!U48,))))))</f>
        <v>0.9</v>
      </c>
    </row>
    <row r="49" s="1" customFormat="true" ht="15.75" hidden="true" customHeight="true" outlineLevel="0" collapsed="false">
      <c r="A49" s="85" t="n">
        <v>17</v>
      </c>
      <c r="B49" s="100" t="s">
        <v>103</v>
      </c>
      <c r="C49" s="100"/>
      <c r="D49" s="100"/>
      <c r="E49" s="87" t="s">
        <v>86</v>
      </c>
      <c r="F49" s="87"/>
      <c r="G49" s="88" t="n">
        <f aca="false">IF($D$4="PLANILHA PARA LICITAÇÃO (PRECIFICAÇÃO)",L49,0)</f>
        <v>0.333333333333333</v>
      </c>
      <c r="H49" s="89" t="n">
        <f aca="false">G49*P49</f>
        <v>6.74666666666667</v>
      </c>
      <c r="I49" s="90" t="str">
        <f aca="false">IF(G49&lt;L49,"Fornecimento inferior ao estimado mensalmente",IF(G49=L49,"Fornecimento igual ao estimado mensalmente",IF(G49&gt;L49,"Fornecimento superior ao estimado mensalmente",)))</f>
        <v>Fornecimento igual ao estimado mensalmente</v>
      </c>
      <c r="J49" s="90"/>
      <c r="K49" s="90"/>
      <c r="L49" s="91" t="n">
        <f aca="false">M49/O49</f>
        <v>0.333333333333333</v>
      </c>
      <c r="M49" s="92" t="n">
        <f aca="false">Mat!J25</f>
        <v>2</v>
      </c>
      <c r="N49" s="93" t="str">
        <f aca="false">Mat!K25</f>
        <v>Semestral</v>
      </c>
      <c r="O49" s="94" t="n">
        <f aca="false">IF(N49="MENSAL",1,IF(N49="BIMESTRAL",2,IF(N49="TRIMESTRAL",3,IF(N49="QUADRIMESTRAL",4,IF(N49="SEMESTRAL",6,IF(N49="ANUAL",12,IF(N49="BIENAL",24,"")))))))</f>
        <v>6</v>
      </c>
      <c r="P49" s="95" t="n">
        <v>20.24</v>
      </c>
      <c r="Q49" s="48" t="n">
        <f aca="false">ROUND(IF(Dados!$J$65="SIM",P49*Dados!$N$65,P49),2)</f>
        <v>20.24</v>
      </c>
      <c r="R49" s="48" t="n">
        <f aca="false">ROUND(IF(Dados!$J$66="SIM",Q49*Dados!$N$66,Q49),2)</f>
        <v>20.24</v>
      </c>
      <c r="S49" s="48" t="n">
        <f aca="false">ROUND(IF(Dados!$J$67="SIM",R49*Dados!$N$67,R49),2)</f>
        <v>20.24</v>
      </c>
      <c r="T49" s="48" t="n">
        <f aca="false">ROUND(IF(Dados!$J$68="SIM",S49*Dados!$N$68,S49),2)</f>
        <v>20.24</v>
      </c>
      <c r="U49" s="96" t="n">
        <f aca="false">ROUND(IF(Dados!$J$69="SIM",T49*Dados!$N$69,T49),2)</f>
        <v>20.24</v>
      </c>
      <c r="V49" s="71" t="n">
        <f aca="false">IF(Dados!$D$78="INICIAL",'Ocorrências Mensais - FAT'!P49,IF(Dados!$D$78="1º IPCA",'Ocorrências Mensais - FAT'!Q49,IF(Dados!$D$78="2º IPCA",'Ocorrências Mensais - FAT'!R49,IF(Dados!$D$78="3º IPCA",'Ocorrências Mensais - FAT'!S49,IF(Dados!$D$78="4º IPCA",'Ocorrências Mensais - FAT'!T49,IF(Dados!$D$78="5º IPCA",'Ocorrências Mensais - FAT'!U49,))))))</f>
        <v>20.24</v>
      </c>
    </row>
    <row r="50" s="1" customFormat="true" ht="15" hidden="true" customHeight="true" outlineLevel="0" collapsed="false">
      <c r="A50" s="85" t="n">
        <v>18</v>
      </c>
      <c r="B50" s="100" t="s">
        <v>104</v>
      </c>
      <c r="C50" s="104"/>
      <c r="D50" s="105"/>
      <c r="E50" s="87" t="s">
        <v>86</v>
      </c>
      <c r="F50" s="87"/>
      <c r="G50" s="88" t="n">
        <f aca="false">IF($D$4="PLANILHA PARA LICITAÇÃO (PRECIFICAÇÃO)",L50,0)</f>
        <v>0.333333333333333</v>
      </c>
      <c r="H50" s="89" t="n">
        <f aca="false">G50*P50</f>
        <v>18.1933333333333</v>
      </c>
      <c r="I50" s="90" t="str">
        <f aca="false">IF(G50&lt;L50,"Fornecimento inferior ao estimado mensalmente",IF(G50=L50,"Fornecimento igual ao estimado mensalmente",IF(G50&gt;L50,"Fornecimento superior ao estimado mensalmente",)))</f>
        <v>Fornecimento igual ao estimado mensalmente</v>
      </c>
      <c r="J50" s="90"/>
      <c r="K50" s="90"/>
      <c r="L50" s="91" t="n">
        <f aca="false">M50/O50</f>
        <v>0.333333333333333</v>
      </c>
      <c r="M50" s="92" t="n">
        <f aca="false">Mat!J26</f>
        <v>2</v>
      </c>
      <c r="N50" s="93" t="str">
        <f aca="false">Mat!K26</f>
        <v>Semestral</v>
      </c>
      <c r="O50" s="94" t="n">
        <f aca="false">IF(N50="MENSAL",1,IF(N50="BIMESTRAL",2,IF(N50="TRIMESTRAL",3,IF(N50="QUADRIMESTRAL",4,IF(N50="SEMESTRAL",6,IF(N50="ANUAL",12,IF(N50="BIENAL",24,"")))))))</f>
        <v>6</v>
      </c>
      <c r="P50" s="95" t="n">
        <v>54.58</v>
      </c>
      <c r="Q50" s="48" t="n">
        <f aca="false">ROUND(IF(Dados!$J$65="SIM",P50*Dados!$N$65,P50),2)</f>
        <v>54.58</v>
      </c>
      <c r="R50" s="48" t="n">
        <f aca="false">ROUND(IF(Dados!$J$66="SIM",Q50*Dados!$N$66,Q50),2)</f>
        <v>54.58</v>
      </c>
      <c r="S50" s="48" t="n">
        <f aca="false">ROUND(IF(Dados!$J$67="SIM",R50*Dados!$N$67,R50),2)</f>
        <v>54.58</v>
      </c>
      <c r="T50" s="48" t="n">
        <f aca="false">ROUND(IF(Dados!$J$68="SIM",S50*Dados!$N$68,S50),2)</f>
        <v>54.58</v>
      </c>
      <c r="U50" s="96" t="n">
        <f aca="false">ROUND(IF(Dados!$J$69="SIM",T50*Dados!$N$69,T50),2)</f>
        <v>54.58</v>
      </c>
      <c r="V50" s="71" t="n">
        <f aca="false">IF(Dados!$D$78="INICIAL",'Ocorrências Mensais - FAT'!P50,IF(Dados!$D$78="1º IPCA",'Ocorrências Mensais - FAT'!Q50,IF(Dados!$D$78="2º IPCA",'Ocorrências Mensais - FAT'!R50,IF(Dados!$D$78="3º IPCA",'Ocorrências Mensais - FAT'!S50,IF(Dados!$D$78="4º IPCA",'Ocorrências Mensais - FAT'!T50,IF(Dados!$D$78="5º IPCA",'Ocorrências Mensais - FAT'!U50,))))))</f>
        <v>54.58</v>
      </c>
    </row>
    <row r="51" s="1" customFormat="true" ht="15" hidden="true" customHeight="true" outlineLevel="0" collapsed="false">
      <c r="A51" s="85" t="n">
        <v>19</v>
      </c>
      <c r="B51" s="100" t="s">
        <v>105</v>
      </c>
      <c r="C51" s="100"/>
      <c r="D51" s="100"/>
      <c r="E51" s="87" t="s">
        <v>86</v>
      </c>
      <c r="F51" s="103"/>
      <c r="G51" s="88" t="n">
        <f aca="false">IF($D$4="PLANILHA PARA LICITAÇÃO (PRECIFICAÇÃO)",L51,0)</f>
        <v>0.333333333333333</v>
      </c>
      <c r="H51" s="89" t="n">
        <f aca="false">G51*P51</f>
        <v>8.32333333333333</v>
      </c>
      <c r="I51" s="90" t="str">
        <f aca="false">IF(G51&lt;L51,"Fornecimento inferior ao estimado mensalmente",IF(G51=L51,"Fornecimento igual ao estimado mensalmente",IF(G51&gt;L51,"Fornecimento superior ao estimado mensalmente",)))</f>
        <v>Fornecimento igual ao estimado mensalmente</v>
      </c>
      <c r="J51" s="90"/>
      <c r="K51" s="90"/>
      <c r="L51" s="91" t="n">
        <f aca="false">M51/O51</f>
        <v>0.333333333333333</v>
      </c>
      <c r="M51" s="92" t="n">
        <f aca="false">Mat!J27</f>
        <v>2</v>
      </c>
      <c r="N51" s="93" t="str">
        <f aca="false">Mat!K27</f>
        <v>Semestral</v>
      </c>
      <c r="O51" s="94" t="n">
        <f aca="false">IF(N51="MENSAL",1,IF(N51="BIMESTRAL",2,IF(N51="TRIMESTRAL",3,IF(N51="QUADRIMESTRAL",4,IF(N51="SEMESTRAL",6,IF(N51="ANUAL",12,IF(N51="BIENAL",24,"")))))))</f>
        <v>6</v>
      </c>
      <c r="P51" s="95" t="n">
        <v>24.97</v>
      </c>
      <c r="Q51" s="48" t="n">
        <f aca="false">ROUND(IF(Dados!$J$65="SIM",P51*Dados!$N$65,P51),2)</f>
        <v>24.97</v>
      </c>
      <c r="R51" s="48" t="n">
        <f aca="false">ROUND(IF(Dados!$J$66="SIM",Q51*Dados!$N$66,Q51),2)</f>
        <v>24.97</v>
      </c>
      <c r="S51" s="48" t="n">
        <f aca="false">ROUND(IF(Dados!$J$67="SIM",R51*Dados!$N$67,R51),2)</f>
        <v>24.97</v>
      </c>
      <c r="T51" s="48" t="n">
        <f aca="false">ROUND(IF(Dados!$J$68="SIM",S51*Dados!$N$68,S51),2)</f>
        <v>24.97</v>
      </c>
      <c r="U51" s="96" t="n">
        <f aca="false">ROUND(IF(Dados!$J$69="SIM",T51*Dados!$N$69,T51),2)</f>
        <v>24.97</v>
      </c>
      <c r="V51" s="71" t="n">
        <f aca="false">IF(Dados!$D$78="INICIAL",'Ocorrências Mensais - FAT'!P51,IF(Dados!$D$78="1º IPCA",'Ocorrências Mensais - FAT'!Q51,IF(Dados!$D$78="2º IPCA",'Ocorrências Mensais - FAT'!R51,IF(Dados!$D$78="3º IPCA",'Ocorrências Mensais - FAT'!S51,IF(Dados!$D$78="4º IPCA",'Ocorrências Mensais - FAT'!T51,IF(Dados!$D$78="5º IPCA",'Ocorrências Mensais - FAT'!U51,))))))</f>
        <v>24.97</v>
      </c>
    </row>
    <row r="52" s="1" customFormat="true" ht="15" hidden="true" customHeight="true" outlineLevel="0" collapsed="false">
      <c r="A52" s="85" t="n">
        <v>20</v>
      </c>
      <c r="B52" s="100" t="s">
        <v>106</v>
      </c>
      <c r="C52" s="100"/>
      <c r="D52" s="100"/>
      <c r="E52" s="87" t="s">
        <v>86</v>
      </c>
      <c r="F52" s="87"/>
      <c r="G52" s="88" t="n">
        <f aca="false">IF($D$4="PLANILHA PARA LICITAÇÃO (PRECIFICAÇÃO)",L52,0)</f>
        <v>30</v>
      </c>
      <c r="H52" s="89" t="n">
        <f aca="false">G52*P52</f>
        <v>72.9</v>
      </c>
      <c r="I52" s="90" t="str">
        <f aca="false">IF(G52&lt;L52,"Fornecimento inferior ao estimado mensalmente",IF(G52=L52,"Fornecimento igual ao estimado mensalmente",IF(G52&gt;L52,"Fornecimento superior ao estimado mensalmente",)))</f>
        <v>Fornecimento igual ao estimado mensalmente</v>
      </c>
      <c r="J52" s="90"/>
      <c r="K52" s="90"/>
      <c r="L52" s="91" t="n">
        <f aca="false">M52/O52</f>
        <v>30</v>
      </c>
      <c r="M52" s="92" t="n">
        <f aca="false">Mat!J28</f>
        <v>30</v>
      </c>
      <c r="N52" s="93" t="str">
        <f aca="false">Mat!K28</f>
        <v>Mensal</v>
      </c>
      <c r="O52" s="94" t="n">
        <f aca="false">IF(N52="MENSAL",1,IF(N52="BIMESTRAL",2,IF(N52="TRIMESTRAL",3,IF(N52="QUADRIMESTRAL",4,IF(N52="SEMESTRAL",6,IF(N52="ANUAL",12,IF(N52="BIENAL",24,"")))))))</f>
        <v>1</v>
      </c>
      <c r="P52" s="95" t="n">
        <v>2.43</v>
      </c>
      <c r="Q52" s="48" t="n">
        <f aca="false">ROUND(IF(Dados!$J$65="SIM",P52*Dados!$N$65,P52),2)</f>
        <v>2.43</v>
      </c>
      <c r="R52" s="48" t="n">
        <f aca="false">ROUND(IF(Dados!$J$66="SIM",Q52*Dados!$N$66,Q52),2)</f>
        <v>2.43</v>
      </c>
      <c r="S52" s="48" t="n">
        <f aca="false">ROUND(IF(Dados!$J$67="SIM",R52*Dados!$N$67,R52),2)</f>
        <v>2.43</v>
      </c>
      <c r="T52" s="48" t="n">
        <f aca="false">ROUND(IF(Dados!$J$68="SIM",S52*Dados!$N$68,S52),2)</f>
        <v>2.43</v>
      </c>
      <c r="U52" s="96" t="n">
        <f aca="false">ROUND(IF(Dados!$J$69="SIM",T52*Dados!$N$69,T52),2)</f>
        <v>2.43</v>
      </c>
      <c r="V52" s="71" t="n">
        <f aca="false">IF(Dados!$D$78="INICIAL",'Ocorrências Mensais - FAT'!P52,IF(Dados!$D$78="1º IPCA",'Ocorrências Mensais - FAT'!Q52,IF(Dados!$D$78="2º IPCA",'Ocorrências Mensais - FAT'!R52,IF(Dados!$D$78="3º IPCA",'Ocorrências Mensais - FAT'!S52,IF(Dados!$D$78="4º IPCA",'Ocorrências Mensais - FAT'!T52,IF(Dados!$D$78="5º IPCA",'Ocorrências Mensais - FAT'!U52,))))))</f>
        <v>2.43</v>
      </c>
    </row>
    <row r="53" s="1" customFormat="true" ht="15.75" hidden="true" customHeight="true" outlineLevel="0" collapsed="false">
      <c r="A53" s="85" t="n">
        <v>21</v>
      </c>
      <c r="B53" s="86" t="s">
        <v>107</v>
      </c>
      <c r="C53" s="86"/>
      <c r="D53" s="86"/>
      <c r="E53" s="87" t="s">
        <v>108</v>
      </c>
      <c r="F53" s="87" t="s">
        <v>109</v>
      </c>
      <c r="G53" s="88" t="n">
        <f aca="false">IF($D$4="PLANILHA PARA LICITAÇÃO (PRECIFICAÇÃO)",L53,0)</f>
        <v>6</v>
      </c>
      <c r="H53" s="89" t="n">
        <f aca="false">G53*P53</f>
        <v>15.9</v>
      </c>
      <c r="I53" s="90" t="str">
        <f aca="false">IF(G53&lt;L53,"Fornecimento inferior ao estimado mensalmente",IF(G53=L53,"Fornecimento igual ao estimado mensalmente",IF(G53&gt;L53,"Fornecimento superior ao estimado mensalmente",)))</f>
        <v>Fornecimento igual ao estimado mensalmente</v>
      </c>
      <c r="J53" s="90"/>
      <c r="K53" s="90"/>
      <c r="L53" s="91" t="n">
        <f aca="false">M53/O53</f>
        <v>6</v>
      </c>
      <c r="M53" s="92" t="n">
        <f aca="false">Mat!J29</f>
        <v>6</v>
      </c>
      <c r="N53" s="93" t="str">
        <f aca="false">Mat!K29</f>
        <v>Mensal</v>
      </c>
      <c r="O53" s="94" t="n">
        <f aca="false">IF(N53="MENSAL",1,IF(N53="BIMESTRAL",2,IF(N53="TRIMESTRAL",3,IF(N53="QUADRIMESTRAL",4,IF(N53="SEMESTRAL",6,IF(N53="ANUAL",12,IF(N53="BIENAL",24,"")))))))</f>
        <v>1</v>
      </c>
      <c r="P53" s="95" t="n">
        <v>2.65</v>
      </c>
      <c r="Q53" s="48" t="n">
        <f aca="false">ROUND(IF(Dados!$J$65="SIM",P53*Dados!$N$65,P53),2)</f>
        <v>2.65</v>
      </c>
      <c r="R53" s="48" t="n">
        <f aca="false">ROUND(IF(Dados!$J$66="SIM",Q53*Dados!$N$66,Q53),2)</f>
        <v>2.65</v>
      </c>
      <c r="S53" s="48" t="n">
        <f aca="false">ROUND(IF(Dados!$J$67="SIM",R53*Dados!$N$67,R53),2)</f>
        <v>2.65</v>
      </c>
      <c r="T53" s="48" t="n">
        <f aca="false">ROUND(IF(Dados!$J$68="SIM",S53*Dados!$N$68,S53),2)</f>
        <v>2.65</v>
      </c>
      <c r="U53" s="96" t="n">
        <f aca="false">ROUND(IF(Dados!$J$69="SIM",T53*Dados!$N$69,T53),2)</f>
        <v>2.65</v>
      </c>
      <c r="V53" s="71" t="n">
        <f aca="false">IF(Dados!$D$78="INICIAL",'Ocorrências Mensais - FAT'!P53,IF(Dados!$D$78="1º IPCA",'Ocorrências Mensais - FAT'!Q53,IF(Dados!$D$78="2º IPCA",'Ocorrências Mensais - FAT'!R53,IF(Dados!$D$78="3º IPCA",'Ocorrências Mensais - FAT'!S53,IF(Dados!$D$78="4º IPCA",'Ocorrências Mensais - FAT'!T53,IF(Dados!$D$78="5º IPCA",'Ocorrências Mensais - FAT'!U53,))))))</f>
        <v>2.65</v>
      </c>
    </row>
    <row r="54" s="1" customFormat="true" ht="15" hidden="true" customHeight="true" outlineLevel="0" collapsed="false">
      <c r="A54" s="85" t="n">
        <v>22</v>
      </c>
      <c r="B54" s="86" t="s">
        <v>110</v>
      </c>
      <c r="C54" s="86"/>
      <c r="D54" s="86"/>
      <c r="E54" s="87" t="s">
        <v>84</v>
      </c>
      <c r="F54" s="103"/>
      <c r="G54" s="88" t="n">
        <f aca="false">IF($D$4="PLANILHA PARA LICITAÇÃO (PRECIFICAÇÃO)",L54,0)</f>
        <v>4</v>
      </c>
      <c r="H54" s="89" t="n">
        <f aca="false">G54*P54</f>
        <v>126.44</v>
      </c>
      <c r="I54" s="90" t="str">
        <f aca="false">IF(G54&lt;L54,"Fornecimento inferior ao estimado mensalmente",IF(G54=L54,"Fornecimento igual ao estimado mensalmente",IF(G54&gt;L54,"Fornecimento superior ao estimado mensalmente",)))</f>
        <v>Fornecimento igual ao estimado mensalmente</v>
      </c>
      <c r="J54" s="90"/>
      <c r="K54" s="90"/>
      <c r="L54" s="91" t="n">
        <f aca="false">M54/O54</f>
        <v>4</v>
      </c>
      <c r="M54" s="92" t="n">
        <f aca="false">Mat!J30</f>
        <v>4</v>
      </c>
      <c r="N54" s="93" t="str">
        <f aca="false">Mat!K30</f>
        <v>Mensal</v>
      </c>
      <c r="O54" s="94" t="n">
        <f aca="false">IF(N54="MENSAL",1,IF(N54="BIMESTRAL",2,IF(N54="TRIMESTRAL",3,IF(N54="QUADRIMESTRAL",4,IF(N54="SEMESTRAL",6,IF(N54="ANUAL",12,IF(N54="BIENAL",24,"")))))))</f>
        <v>1</v>
      </c>
      <c r="P54" s="95" t="n">
        <v>31.61</v>
      </c>
      <c r="Q54" s="48" t="n">
        <f aca="false">ROUND(IF(Dados!$J$65="SIM",P54*Dados!$N$65,P54),2)</f>
        <v>31.61</v>
      </c>
      <c r="R54" s="48" t="n">
        <f aca="false">ROUND(IF(Dados!$J$66="SIM",Q54*Dados!$N$66,Q54),2)</f>
        <v>31.61</v>
      </c>
      <c r="S54" s="48" t="n">
        <f aca="false">ROUND(IF(Dados!$J$67="SIM",R54*Dados!$N$67,R54),2)</f>
        <v>31.61</v>
      </c>
      <c r="T54" s="48" t="n">
        <f aca="false">ROUND(IF(Dados!$J$68="SIM",S54*Dados!$N$68,S54),2)</f>
        <v>31.61</v>
      </c>
      <c r="U54" s="96" t="n">
        <f aca="false">ROUND(IF(Dados!$J$69="SIM",T54*Dados!$N$69,T54),2)</f>
        <v>31.61</v>
      </c>
      <c r="V54" s="71" t="n">
        <f aca="false">IF(Dados!$D$78="INICIAL",'Ocorrências Mensais - FAT'!P54,IF(Dados!$D$78="1º IPCA",'Ocorrências Mensais - FAT'!Q54,IF(Dados!$D$78="2º IPCA",'Ocorrências Mensais - FAT'!R54,IF(Dados!$D$78="3º IPCA",'Ocorrências Mensais - FAT'!S54,IF(Dados!$D$78="4º IPCA",'Ocorrências Mensais - FAT'!T54,IF(Dados!$D$78="5º IPCA",'Ocorrências Mensais - FAT'!U54,))))))</f>
        <v>31.61</v>
      </c>
    </row>
    <row r="55" s="1" customFormat="true" ht="15" hidden="true" customHeight="true" outlineLevel="0" collapsed="false">
      <c r="A55" s="85" t="n">
        <v>23</v>
      </c>
      <c r="B55" s="100" t="s">
        <v>111</v>
      </c>
      <c r="C55" s="100"/>
      <c r="D55" s="100"/>
      <c r="E55" s="87" t="s">
        <v>86</v>
      </c>
      <c r="F55" s="103"/>
      <c r="G55" s="88" t="n">
        <f aca="false">IF($D$4="PLANILHA PARA LICITAÇÃO (PRECIFICAÇÃO)",L55,0)</f>
        <v>0.5</v>
      </c>
      <c r="H55" s="89" t="n">
        <f aca="false">G55*P55</f>
        <v>14.28</v>
      </c>
      <c r="I55" s="90" t="str">
        <f aca="false">IF(G55&lt;L55,"Fornecimento inferior ao estimado mensalmente",IF(G55=L55,"Fornecimento igual ao estimado mensalmente",IF(G55&gt;L55,"Fornecimento superior ao estimado mensalmente",)))</f>
        <v>Fornecimento igual ao estimado mensalmente</v>
      </c>
      <c r="J55" s="90"/>
      <c r="K55" s="90"/>
      <c r="L55" s="91" t="n">
        <f aca="false">M55/O55</f>
        <v>0.5</v>
      </c>
      <c r="M55" s="92" t="n">
        <f aca="false">Mat!J31</f>
        <v>1</v>
      </c>
      <c r="N55" s="93" t="str">
        <f aca="false">Mat!K31</f>
        <v>Bimestral</v>
      </c>
      <c r="O55" s="94" t="n">
        <f aca="false">IF(N55="MENSAL",1,IF(N55="BIMESTRAL",2,IF(N55="TRIMESTRAL",3,IF(N55="QUADRIMESTRAL",4,IF(N55="SEMESTRAL",6,IF(N55="ANUAL",12,IF(N55="BIENAL",24,"")))))))</f>
        <v>2</v>
      </c>
      <c r="P55" s="95" t="n">
        <v>28.56</v>
      </c>
      <c r="Q55" s="48" t="n">
        <f aca="false">ROUND(IF(Dados!$J$65="SIM",P55*Dados!$N$65,P55),2)</f>
        <v>28.56</v>
      </c>
      <c r="R55" s="48" t="n">
        <f aca="false">ROUND(IF(Dados!$J$66="SIM",Q55*Dados!$N$66,Q55),2)</f>
        <v>28.56</v>
      </c>
      <c r="S55" s="48" t="n">
        <f aca="false">ROUND(IF(Dados!$J$67="SIM",R55*Dados!$N$67,R55),2)</f>
        <v>28.56</v>
      </c>
      <c r="T55" s="48" t="n">
        <f aca="false">ROUND(IF(Dados!$J$68="SIM",S55*Dados!$N$68,S55),2)</f>
        <v>28.56</v>
      </c>
      <c r="U55" s="96" t="n">
        <f aca="false">ROUND(IF(Dados!$J$69="SIM",T55*Dados!$N$69,T55),2)</f>
        <v>28.56</v>
      </c>
      <c r="V55" s="71" t="n">
        <f aca="false">IF(Dados!$D$78="INICIAL",'Ocorrências Mensais - FAT'!P55,IF(Dados!$D$78="1º IPCA",'Ocorrências Mensais - FAT'!Q55,IF(Dados!$D$78="2º IPCA",'Ocorrências Mensais - FAT'!R55,IF(Dados!$D$78="3º IPCA",'Ocorrências Mensais - FAT'!S55,IF(Dados!$D$78="4º IPCA",'Ocorrências Mensais - FAT'!T55,IF(Dados!$D$78="5º IPCA",'Ocorrências Mensais - FAT'!U55,))))))</f>
        <v>28.56</v>
      </c>
    </row>
    <row r="56" s="1" customFormat="true" ht="15" hidden="true" customHeight="true" outlineLevel="0" collapsed="false">
      <c r="A56" s="85" t="n">
        <v>24</v>
      </c>
      <c r="B56" s="86" t="s">
        <v>112</v>
      </c>
      <c r="C56" s="86"/>
      <c r="D56" s="86"/>
      <c r="E56" s="87" t="s">
        <v>86</v>
      </c>
      <c r="F56" s="87"/>
      <c r="G56" s="88" t="n">
        <f aca="false">IF($D$4="PLANILHA PARA LICITAÇÃO (PRECIFICAÇÃO)",L56,0)</f>
        <v>30</v>
      </c>
      <c r="H56" s="89" t="n">
        <f aca="false">G56*P56</f>
        <v>208.2</v>
      </c>
      <c r="I56" s="90" t="str">
        <f aca="false">IF(G56&lt;L56,"Fornecimento inferior ao estimado mensalmente",IF(G56=L56,"Fornecimento igual ao estimado mensalmente",IF(G56&gt;L56,"Fornecimento superior ao estimado mensalmente",)))</f>
        <v>Fornecimento igual ao estimado mensalmente</v>
      </c>
      <c r="J56" s="90"/>
      <c r="K56" s="90"/>
      <c r="L56" s="91" t="n">
        <f aca="false">M56/O56</f>
        <v>30</v>
      </c>
      <c r="M56" s="92" t="n">
        <f aca="false">Mat!J32</f>
        <v>30</v>
      </c>
      <c r="N56" s="93" t="str">
        <f aca="false">Mat!K32</f>
        <v>Mensal</v>
      </c>
      <c r="O56" s="94" t="n">
        <f aca="false">IF(N56="MENSAL",1,IF(N56="BIMESTRAL",2,IF(N56="TRIMESTRAL",3,IF(N56="QUADRIMESTRAL",4,IF(N56="SEMESTRAL",6,IF(N56="ANUAL",12,IF(N56="BIENAL",24,"")))))))</f>
        <v>1</v>
      </c>
      <c r="P56" s="95" t="n">
        <v>6.94</v>
      </c>
      <c r="Q56" s="48" t="n">
        <f aca="false">ROUND(IF(Dados!$J$65="SIM",P56*Dados!$N$65,P56),2)</f>
        <v>6.94</v>
      </c>
      <c r="R56" s="48" t="n">
        <f aca="false">ROUND(IF(Dados!$J$66="SIM",Q56*Dados!$N$66,Q56),2)</f>
        <v>6.94</v>
      </c>
      <c r="S56" s="48" t="n">
        <f aca="false">ROUND(IF(Dados!$J$67="SIM",R56*Dados!$N$67,R56),2)</f>
        <v>6.94</v>
      </c>
      <c r="T56" s="48" t="n">
        <f aca="false">ROUND(IF(Dados!$J$68="SIM",S56*Dados!$N$68,S56),2)</f>
        <v>6.94</v>
      </c>
      <c r="U56" s="96" t="n">
        <f aca="false">ROUND(IF(Dados!$J$69="SIM",T56*Dados!$N$69,T56),2)</f>
        <v>6.94</v>
      </c>
      <c r="V56" s="71" t="n">
        <f aca="false">IF(Dados!$D$78="INICIAL",'Ocorrências Mensais - FAT'!P56,IF(Dados!$D$78="1º IPCA",'Ocorrências Mensais - FAT'!Q56,IF(Dados!$D$78="2º IPCA",'Ocorrências Mensais - FAT'!R56,IF(Dados!$D$78="3º IPCA",'Ocorrências Mensais - FAT'!S56,IF(Dados!$D$78="4º IPCA",'Ocorrências Mensais - FAT'!T56,IF(Dados!$D$78="5º IPCA",'Ocorrências Mensais - FAT'!U56,))))))</f>
        <v>6.94</v>
      </c>
    </row>
    <row r="57" s="1" customFormat="true" ht="15.75" hidden="true" customHeight="true" outlineLevel="0" collapsed="false">
      <c r="A57" s="85" t="n">
        <v>25</v>
      </c>
      <c r="B57" s="100" t="s">
        <v>113</v>
      </c>
      <c r="C57" s="100"/>
      <c r="D57" s="100"/>
      <c r="E57" s="87" t="s">
        <v>86</v>
      </c>
      <c r="F57" s="87" t="s">
        <v>114</v>
      </c>
      <c r="G57" s="88" t="n">
        <f aca="false">IF($D$4="PLANILHA PARA LICITAÇÃO (PRECIFICAÇÃO)",L57,0)</f>
        <v>10</v>
      </c>
      <c r="H57" s="89" t="n">
        <f aca="false">G57*P57</f>
        <v>90.6</v>
      </c>
      <c r="I57" s="90" t="str">
        <f aca="false">IF(G57&lt;L57,"Fornecimento inferior ao estimado mensalmente",IF(G57=L57,"Fornecimento igual ao estimado mensalmente",IF(G57&gt;L57,"Fornecimento superior ao estimado mensalmente",)))</f>
        <v>Fornecimento igual ao estimado mensalmente</v>
      </c>
      <c r="J57" s="90"/>
      <c r="K57" s="90"/>
      <c r="L57" s="91" t="n">
        <f aca="false">M57/O57</f>
        <v>10</v>
      </c>
      <c r="M57" s="92" t="n">
        <f aca="false">Mat!J33</f>
        <v>10</v>
      </c>
      <c r="N57" s="93" t="str">
        <f aca="false">Mat!K33</f>
        <v>Mensal</v>
      </c>
      <c r="O57" s="94" t="n">
        <f aca="false">IF(N57="MENSAL",1,IF(N57="BIMESTRAL",2,IF(N57="TRIMESTRAL",3,IF(N57="QUADRIMESTRAL",4,IF(N57="SEMESTRAL",6,IF(N57="ANUAL",12,IF(N57="BIENAL",24,"")))))))</f>
        <v>1</v>
      </c>
      <c r="P57" s="95" t="n">
        <v>9.06</v>
      </c>
      <c r="Q57" s="48" t="n">
        <f aca="false">ROUND(IF(Dados!$J$65="SIM",P57*Dados!$N$65,P57),2)</f>
        <v>9.06</v>
      </c>
      <c r="R57" s="48" t="n">
        <f aca="false">ROUND(IF(Dados!$J$66="SIM",Q57*Dados!$N$66,Q57),2)</f>
        <v>9.06</v>
      </c>
      <c r="S57" s="48" t="n">
        <f aca="false">ROUND(IF(Dados!$J$67="SIM",R57*Dados!$N$67,R57),2)</f>
        <v>9.06</v>
      </c>
      <c r="T57" s="48" t="n">
        <f aca="false">ROUND(IF(Dados!$J$68="SIM",S57*Dados!$N$68,S57),2)</f>
        <v>9.06</v>
      </c>
      <c r="U57" s="96" t="n">
        <f aca="false">ROUND(IF(Dados!$J$69="SIM",T57*Dados!$N$69,T57),2)</f>
        <v>9.06</v>
      </c>
      <c r="V57" s="71" t="n">
        <f aca="false">IF(Dados!$D$78="INICIAL",'Ocorrências Mensais - FAT'!P57,IF(Dados!$D$78="1º IPCA",'Ocorrências Mensais - FAT'!Q57,IF(Dados!$D$78="2º IPCA",'Ocorrências Mensais - FAT'!R57,IF(Dados!$D$78="3º IPCA",'Ocorrências Mensais - FAT'!S57,IF(Dados!$D$78="4º IPCA",'Ocorrências Mensais - FAT'!T57,IF(Dados!$D$78="5º IPCA",'Ocorrências Mensais - FAT'!U57,))))))</f>
        <v>9.06</v>
      </c>
    </row>
    <row r="58" s="1" customFormat="true" ht="15" hidden="true" customHeight="true" outlineLevel="0" collapsed="false">
      <c r="A58" s="85" t="n">
        <v>26</v>
      </c>
      <c r="B58" s="100" t="s">
        <v>115</v>
      </c>
      <c r="C58" s="100"/>
      <c r="D58" s="100"/>
      <c r="E58" s="87" t="s">
        <v>116</v>
      </c>
      <c r="F58" s="87"/>
      <c r="G58" s="88" t="n">
        <f aca="false">IF($D$4="PLANILHA PARA LICITAÇÃO (PRECIFICAÇÃO)",L58,0)</f>
        <v>20</v>
      </c>
      <c r="H58" s="89" t="n">
        <f aca="false">G58*P58</f>
        <v>167</v>
      </c>
      <c r="I58" s="90" t="str">
        <f aca="false">IF(G58&lt;L58,"Fornecimento inferior ao estimado mensalmente",IF(G58=L58,"Fornecimento igual ao estimado mensalmente",IF(G58&gt;L58,"Fornecimento superior ao estimado mensalmente",)))</f>
        <v>Fornecimento igual ao estimado mensalmente</v>
      </c>
      <c r="J58" s="90"/>
      <c r="K58" s="90"/>
      <c r="L58" s="91" t="n">
        <f aca="false">M58/O58</f>
        <v>20</v>
      </c>
      <c r="M58" s="92" t="n">
        <f aca="false">Mat!J34</f>
        <v>20</v>
      </c>
      <c r="N58" s="93" t="str">
        <f aca="false">Mat!K34</f>
        <v>Mensal</v>
      </c>
      <c r="O58" s="94" t="n">
        <f aca="false">IF(N58="MENSAL",1,IF(N58="BIMESTRAL",2,IF(N58="TRIMESTRAL",3,IF(N58="QUADRIMESTRAL",4,IF(N58="SEMESTRAL",6,IF(N58="ANUAL",12,IF(N58="BIENAL",24,"")))))))</f>
        <v>1</v>
      </c>
      <c r="P58" s="95" t="n">
        <v>8.35</v>
      </c>
      <c r="Q58" s="48" t="n">
        <f aca="false">ROUND(IF(Dados!$J$65="SIM",P58*Dados!$N$65,P58),2)</f>
        <v>8.35</v>
      </c>
      <c r="R58" s="48" t="n">
        <f aca="false">ROUND(IF(Dados!$J$66="SIM",Q58*Dados!$N$66,Q58),2)</f>
        <v>8.35</v>
      </c>
      <c r="S58" s="48" t="n">
        <f aca="false">ROUND(IF(Dados!$J$67="SIM",R58*Dados!$N$67,R58),2)</f>
        <v>8.35</v>
      </c>
      <c r="T58" s="48" t="n">
        <f aca="false">ROUND(IF(Dados!$J$68="SIM",S58*Dados!$N$68,S58),2)</f>
        <v>8.35</v>
      </c>
      <c r="U58" s="96" t="n">
        <f aca="false">ROUND(IF(Dados!$J$69="SIM",T58*Dados!$N$69,T58),2)</f>
        <v>8.35</v>
      </c>
      <c r="V58" s="71" t="n">
        <f aca="false">IF(Dados!$D$78="INICIAL",'Ocorrências Mensais - FAT'!P58,IF(Dados!$D$78="1º IPCA",'Ocorrências Mensais - FAT'!Q58,IF(Dados!$D$78="2º IPCA",'Ocorrências Mensais - FAT'!R58,IF(Dados!$D$78="3º IPCA",'Ocorrências Mensais - FAT'!S58,IF(Dados!$D$78="4º IPCA",'Ocorrências Mensais - FAT'!T58,IF(Dados!$D$78="5º IPCA",'Ocorrências Mensais - FAT'!U58,))))))</f>
        <v>8.35</v>
      </c>
    </row>
    <row r="59" s="1" customFormat="true" ht="15" hidden="true" customHeight="true" outlineLevel="0" collapsed="false">
      <c r="A59" s="85" t="n">
        <v>27</v>
      </c>
      <c r="B59" s="100" t="s">
        <v>117</v>
      </c>
      <c r="C59" s="100"/>
      <c r="D59" s="100"/>
      <c r="E59" s="87" t="s">
        <v>116</v>
      </c>
      <c r="F59" s="87"/>
      <c r="G59" s="88" t="n">
        <f aca="false">IF($D$4="PLANILHA PARA LICITAÇÃO (PRECIFICAÇÃO)",L59,0)</f>
        <v>20</v>
      </c>
      <c r="H59" s="89" t="n">
        <f aca="false">G59*P59</f>
        <v>167</v>
      </c>
      <c r="I59" s="90" t="str">
        <f aca="false">IF(G59&lt;L59,"Fornecimento inferior ao estimado mensalmente",IF(G59=L59,"Fornecimento igual ao estimado mensalmente",IF(G59&gt;L59,"Fornecimento superior ao estimado mensalmente",)))</f>
        <v>Fornecimento igual ao estimado mensalmente</v>
      </c>
      <c r="J59" s="90"/>
      <c r="K59" s="90"/>
      <c r="L59" s="91" t="n">
        <f aca="false">M59/O59</f>
        <v>20</v>
      </c>
      <c r="M59" s="92" t="n">
        <f aca="false">Mat!J35</f>
        <v>20</v>
      </c>
      <c r="N59" s="93" t="str">
        <f aca="false">Mat!K35</f>
        <v>Mensal</v>
      </c>
      <c r="O59" s="94" t="n">
        <f aca="false">IF(N59="MENSAL",1,IF(N59="BIMESTRAL",2,IF(N59="TRIMESTRAL",3,IF(N59="QUADRIMESTRAL",4,IF(N59="SEMESTRAL",6,IF(N59="ANUAL",12,IF(N59="BIENAL",24,"")))))))</f>
        <v>1</v>
      </c>
      <c r="P59" s="95" t="n">
        <v>8.35</v>
      </c>
      <c r="Q59" s="48" t="n">
        <f aca="false">ROUND(IF(Dados!$J$65="SIM",P59*Dados!$N$65,P59),2)</f>
        <v>8.35</v>
      </c>
      <c r="R59" s="48" t="n">
        <f aca="false">ROUND(IF(Dados!$J$66="SIM",Q59*Dados!$N$66,Q59),2)</f>
        <v>8.35</v>
      </c>
      <c r="S59" s="48" t="n">
        <f aca="false">ROUND(IF(Dados!$J$67="SIM",R59*Dados!$N$67,R59),2)</f>
        <v>8.35</v>
      </c>
      <c r="T59" s="48" t="n">
        <f aca="false">ROUND(IF(Dados!$J$68="SIM",S59*Dados!$N$68,S59),2)</f>
        <v>8.35</v>
      </c>
      <c r="U59" s="96" t="n">
        <f aca="false">ROUND(IF(Dados!$J$69="SIM",T59*Dados!$N$69,T59),2)</f>
        <v>8.35</v>
      </c>
      <c r="V59" s="71" t="n">
        <f aca="false">IF(Dados!$D$78="INICIAL",'Ocorrências Mensais - FAT'!P59,IF(Dados!$D$78="1º IPCA",'Ocorrências Mensais - FAT'!Q59,IF(Dados!$D$78="2º IPCA",'Ocorrências Mensais - FAT'!R59,IF(Dados!$D$78="3º IPCA",'Ocorrências Mensais - FAT'!S59,IF(Dados!$D$78="4º IPCA",'Ocorrências Mensais - FAT'!T59,IF(Dados!$D$78="5º IPCA",'Ocorrências Mensais - FAT'!U59,))))))</f>
        <v>8.35</v>
      </c>
    </row>
    <row r="60" s="1" customFormat="true" ht="15" hidden="true" customHeight="true" outlineLevel="0" collapsed="false">
      <c r="A60" s="85" t="n">
        <v>28</v>
      </c>
      <c r="B60" s="100" t="s">
        <v>118</v>
      </c>
      <c r="C60" s="100"/>
      <c r="D60" s="100"/>
      <c r="E60" s="87" t="s">
        <v>86</v>
      </c>
      <c r="F60" s="87" t="s">
        <v>119</v>
      </c>
      <c r="G60" s="88" t="n">
        <f aca="false">IF($D$4="PLANILHA PARA LICITAÇÃO (PRECIFICAÇÃO)",L60,0)</f>
        <v>40</v>
      </c>
      <c r="H60" s="89" t="n">
        <f aca="false">G60*P60</f>
        <v>206.4</v>
      </c>
      <c r="I60" s="90" t="str">
        <f aca="false">IF(G60&lt;L60,"Fornecimento inferior ao estimado mensalmente",IF(G60=L60,"Fornecimento igual ao estimado mensalmente",IF(G60&gt;L60,"Fornecimento superior ao estimado mensalmente",)))</f>
        <v>Fornecimento igual ao estimado mensalmente</v>
      </c>
      <c r="J60" s="90"/>
      <c r="K60" s="90"/>
      <c r="L60" s="91" t="n">
        <f aca="false">M60/O60</f>
        <v>40</v>
      </c>
      <c r="M60" s="92" t="n">
        <f aca="false">Mat!J36</f>
        <v>40</v>
      </c>
      <c r="N60" s="93" t="str">
        <f aca="false">Mat!K36</f>
        <v>Mensal</v>
      </c>
      <c r="O60" s="94" t="n">
        <f aca="false">IF(N60="MENSAL",1,IF(N60="BIMESTRAL",2,IF(N60="TRIMESTRAL",3,IF(N60="QUADRIMESTRAL",4,IF(N60="SEMESTRAL",6,IF(N60="ANUAL",12,IF(N60="BIENAL",24,"")))))))</f>
        <v>1</v>
      </c>
      <c r="P60" s="95" t="n">
        <v>5.16</v>
      </c>
      <c r="Q60" s="48" t="n">
        <f aca="false">ROUND(IF(Dados!$J$65="SIM",P60*Dados!$N$65,P60),2)</f>
        <v>5.16</v>
      </c>
      <c r="R60" s="48" t="n">
        <f aca="false">ROUND(IF(Dados!$J$66="SIM",Q60*Dados!$N$66,Q60),2)</f>
        <v>5.16</v>
      </c>
      <c r="S60" s="48" t="n">
        <f aca="false">ROUND(IF(Dados!$J$67="SIM",R60*Dados!$N$67,R60),2)</f>
        <v>5.16</v>
      </c>
      <c r="T60" s="48" t="n">
        <f aca="false">ROUND(IF(Dados!$J$68="SIM",S60*Dados!$N$68,S60),2)</f>
        <v>5.16</v>
      </c>
      <c r="U60" s="96" t="n">
        <f aca="false">ROUND(IF(Dados!$J$69="SIM",T60*Dados!$N$69,T60),2)</f>
        <v>5.16</v>
      </c>
      <c r="V60" s="71" t="n">
        <f aca="false">IF(Dados!$D$78="INICIAL",'Ocorrências Mensais - FAT'!P60,IF(Dados!$D$78="1º IPCA",'Ocorrências Mensais - FAT'!Q60,IF(Dados!$D$78="2º IPCA",'Ocorrências Mensais - FAT'!R60,IF(Dados!$D$78="3º IPCA",'Ocorrências Mensais - FAT'!S60,IF(Dados!$D$78="4º IPCA",'Ocorrências Mensais - FAT'!T60,IF(Dados!$D$78="5º IPCA",'Ocorrências Mensais - FAT'!U60,))))))</f>
        <v>5.16</v>
      </c>
    </row>
    <row r="61" s="1" customFormat="true" ht="15" hidden="true" customHeight="true" outlineLevel="0" collapsed="false">
      <c r="A61" s="85" t="n">
        <v>29</v>
      </c>
      <c r="B61" s="100" t="s">
        <v>120</v>
      </c>
      <c r="C61" s="100"/>
      <c r="D61" s="100"/>
      <c r="E61" s="87" t="s">
        <v>86</v>
      </c>
      <c r="F61" s="87"/>
      <c r="G61" s="88" t="n">
        <f aca="false">IF($D$4="PLANILHA PARA LICITAÇÃO (PRECIFICAÇÃO)",L61,0)</f>
        <v>10</v>
      </c>
      <c r="H61" s="89" t="n">
        <f aca="false">G61*P61</f>
        <v>129.6</v>
      </c>
      <c r="I61" s="90" t="str">
        <f aca="false">IF(G61&lt;L61,"Fornecimento inferior ao estimado mensalmente",IF(G61=L61,"Fornecimento igual ao estimado mensalmente",IF(G61&gt;L61,"Fornecimento superior ao estimado mensalmente",)))</f>
        <v>Fornecimento igual ao estimado mensalmente</v>
      </c>
      <c r="J61" s="90"/>
      <c r="K61" s="90"/>
      <c r="L61" s="91" t="n">
        <f aca="false">M61/O61</f>
        <v>10</v>
      </c>
      <c r="M61" s="92" t="n">
        <f aca="false">Mat!J37</f>
        <v>10</v>
      </c>
      <c r="N61" s="93" t="str">
        <f aca="false">Mat!K37</f>
        <v>Mensal</v>
      </c>
      <c r="O61" s="94" t="n">
        <f aca="false">IF(N61="MENSAL",1,IF(N61="BIMESTRAL",2,IF(N61="TRIMESTRAL",3,IF(N61="QUADRIMESTRAL",4,IF(N61="SEMESTRAL",6,IF(N61="ANUAL",12,IF(N61="BIENAL",24,"")))))))</f>
        <v>1</v>
      </c>
      <c r="P61" s="95" t="n">
        <v>12.96</v>
      </c>
      <c r="Q61" s="48" t="n">
        <f aca="false">ROUND(IF(Dados!$J$65="SIM",P61*Dados!$N$65,P61),2)</f>
        <v>12.96</v>
      </c>
      <c r="R61" s="48" t="n">
        <f aca="false">ROUND(IF(Dados!$J$66="SIM",Q61*Dados!$N$66,Q61),2)</f>
        <v>12.96</v>
      </c>
      <c r="S61" s="48" t="n">
        <f aca="false">ROUND(IF(Dados!$J$67="SIM",R61*Dados!$N$67,R61),2)</f>
        <v>12.96</v>
      </c>
      <c r="T61" s="48" t="n">
        <f aca="false">ROUND(IF(Dados!$J$68="SIM",S61*Dados!$N$68,S61),2)</f>
        <v>12.96</v>
      </c>
      <c r="U61" s="96" t="n">
        <f aca="false">ROUND(IF(Dados!$J$69="SIM",T61*Dados!$N$69,T61),2)</f>
        <v>12.96</v>
      </c>
      <c r="V61" s="71" t="n">
        <f aca="false">IF(Dados!$D$78="INICIAL",'Ocorrências Mensais - FAT'!P61,IF(Dados!$D$78="1º IPCA",'Ocorrências Mensais - FAT'!Q61,IF(Dados!$D$78="2º IPCA",'Ocorrências Mensais - FAT'!R61,IF(Dados!$D$78="3º IPCA",'Ocorrências Mensais - FAT'!S61,IF(Dados!$D$78="4º IPCA",'Ocorrências Mensais - FAT'!T61,IF(Dados!$D$78="5º IPCA",'Ocorrências Mensais - FAT'!U61,))))))</f>
        <v>12.96</v>
      </c>
    </row>
    <row r="62" s="1" customFormat="true" ht="15" hidden="true" customHeight="true" outlineLevel="0" collapsed="false">
      <c r="A62" s="85" t="n">
        <v>30</v>
      </c>
      <c r="B62" s="86" t="s">
        <v>121</v>
      </c>
      <c r="C62" s="86"/>
      <c r="D62" s="86"/>
      <c r="E62" s="87" t="s">
        <v>122</v>
      </c>
      <c r="F62" s="87" t="s">
        <v>123</v>
      </c>
      <c r="G62" s="88" t="n">
        <f aca="false">IF($D$4="PLANILHA PARA LICITAÇÃO (PRECIFICAÇÃO)",L62,0)</f>
        <v>8</v>
      </c>
      <c r="H62" s="89" t="n">
        <f aca="false">G62*P62</f>
        <v>524.8</v>
      </c>
      <c r="I62" s="90" t="str">
        <f aca="false">IF(G62&lt;L62,"Fornecimento inferior ao estimado mensalmente",IF(G62=L62,"Fornecimento igual ao estimado mensalmente",IF(G62&gt;L62,"Fornecimento superior ao estimado mensalmente",)))</f>
        <v>Fornecimento igual ao estimado mensalmente</v>
      </c>
      <c r="J62" s="90"/>
      <c r="K62" s="90"/>
      <c r="L62" s="91" t="n">
        <f aca="false">M62/O62</f>
        <v>8</v>
      </c>
      <c r="M62" s="92" t="n">
        <f aca="false">Mat!J38</f>
        <v>8</v>
      </c>
      <c r="N62" s="93" t="str">
        <f aca="false">Mat!K38</f>
        <v>Mensal</v>
      </c>
      <c r="O62" s="94" t="n">
        <f aca="false">IF(N62="MENSAL",1,IF(N62="BIMESTRAL",2,IF(N62="TRIMESTRAL",3,IF(N62="QUADRIMESTRAL",4,IF(N62="SEMESTRAL",6,IF(N62="ANUAL",12,IF(N62="BIENAL",24,"")))))))</f>
        <v>1</v>
      </c>
      <c r="P62" s="95" t="n">
        <v>65.6</v>
      </c>
      <c r="Q62" s="48" t="n">
        <f aca="false">ROUND(IF(Dados!$J$65="SIM",P62*Dados!$N$65,P62),2)</f>
        <v>65.6</v>
      </c>
      <c r="R62" s="48" t="n">
        <f aca="false">ROUND(IF(Dados!$J$66="SIM",Q62*Dados!$N$66,Q62),2)</f>
        <v>65.6</v>
      </c>
      <c r="S62" s="48" t="n">
        <f aca="false">ROUND(IF(Dados!$J$67="SIM",R62*Dados!$N$67,R62),2)</f>
        <v>65.6</v>
      </c>
      <c r="T62" s="48" t="n">
        <f aca="false">ROUND(IF(Dados!$J$68="SIM",S62*Dados!$N$68,S62),2)</f>
        <v>65.6</v>
      </c>
      <c r="U62" s="96" t="n">
        <f aca="false">ROUND(IF(Dados!$J$69="SIM",T62*Dados!$N$69,T62),2)</f>
        <v>65.6</v>
      </c>
      <c r="V62" s="71" t="n">
        <f aca="false">IF(Dados!$D$78="INICIAL",'Ocorrências Mensais - FAT'!P62,IF(Dados!$D$78="1º IPCA",'Ocorrências Mensais - FAT'!Q62,IF(Dados!$D$78="2º IPCA",'Ocorrências Mensais - FAT'!R62,IF(Dados!$D$78="3º IPCA",'Ocorrências Mensais - FAT'!S62,IF(Dados!$D$78="4º IPCA",'Ocorrências Mensais - FAT'!T62,IF(Dados!$D$78="5º IPCA",'Ocorrências Mensais - FAT'!U62,))))))</f>
        <v>65.6</v>
      </c>
    </row>
    <row r="63" s="1" customFormat="true" ht="15" hidden="true" customHeight="true" outlineLevel="0" collapsed="false">
      <c r="A63" s="85" t="n">
        <v>31</v>
      </c>
      <c r="B63" s="86" t="s">
        <v>124</v>
      </c>
      <c r="C63" s="86"/>
      <c r="D63" s="86"/>
      <c r="E63" s="87" t="s">
        <v>125</v>
      </c>
      <c r="F63" s="103"/>
      <c r="G63" s="88" t="n">
        <f aca="false">IF($D$4="PLANILHA PARA LICITAÇÃO (PRECIFICAÇÃO)",L63,0)</f>
        <v>20</v>
      </c>
      <c r="H63" s="89" t="n">
        <f aca="false">G63*P63</f>
        <v>875.8</v>
      </c>
      <c r="I63" s="90" t="str">
        <f aca="false">IF(G63&lt;L63,"Fornecimento inferior ao estimado mensalmente",IF(G63=L63,"Fornecimento igual ao estimado mensalmente",IF(G63&gt;L63,"Fornecimento superior ao estimado mensalmente",)))</f>
        <v>Fornecimento igual ao estimado mensalmente</v>
      </c>
      <c r="J63" s="90"/>
      <c r="K63" s="90"/>
      <c r="L63" s="91" t="n">
        <f aca="false">M63/O63</f>
        <v>20</v>
      </c>
      <c r="M63" s="92" t="n">
        <f aca="false">Mat!J39</f>
        <v>20</v>
      </c>
      <c r="N63" s="93" t="str">
        <f aca="false">Mat!K39</f>
        <v>Mensal</v>
      </c>
      <c r="O63" s="94" t="n">
        <f aca="false">IF(N63="MENSAL",1,IF(N63="BIMESTRAL",2,IF(N63="TRIMESTRAL",3,IF(N63="QUADRIMESTRAL",4,IF(N63="SEMESTRAL",6,IF(N63="ANUAL",12,IF(N63="BIENAL",24,"")))))))</f>
        <v>1</v>
      </c>
      <c r="P63" s="95" t="n">
        <v>43.79</v>
      </c>
      <c r="Q63" s="48" t="n">
        <f aca="false">ROUND(IF(Dados!$J$65="SIM",P63*Dados!$N$65,P63),2)</f>
        <v>43.79</v>
      </c>
      <c r="R63" s="48" t="n">
        <f aca="false">ROUND(IF(Dados!$J$66="SIM",Q63*Dados!$N$66,Q63),2)</f>
        <v>43.79</v>
      </c>
      <c r="S63" s="48" t="n">
        <f aca="false">ROUND(IF(Dados!$J$67="SIM",R63*Dados!$N$67,R63),2)</f>
        <v>43.79</v>
      </c>
      <c r="T63" s="48" t="n">
        <f aca="false">ROUND(IF(Dados!$J$68="SIM",S63*Dados!$N$68,S63),2)</f>
        <v>43.79</v>
      </c>
      <c r="U63" s="96" t="n">
        <f aca="false">ROUND(IF(Dados!$J$69="SIM",T63*Dados!$N$69,T63),2)</f>
        <v>43.79</v>
      </c>
      <c r="V63" s="71" t="n">
        <f aca="false">IF(Dados!$D$78="INICIAL",'Ocorrências Mensais - FAT'!P63,IF(Dados!$D$78="1º IPCA",'Ocorrências Mensais - FAT'!Q63,IF(Dados!$D$78="2º IPCA",'Ocorrências Mensais - FAT'!R63,IF(Dados!$D$78="3º IPCA",'Ocorrências Mensais - FAT'!S63,IF(Dados!$D$78="4º IPCA",'Ocorrências Mensais - FAT'!T63,IF(Dados!$D$78="5º IPCA",'Ocorrências Mensais - FAT'!U63,))))))</f>
        <v>43.79</v>
      </c>
    </row>
    <row r="64" s="1" customFormat="true" ht="15" hidden="true" customHeight="true" outlineLevel="0" collapsed="false">
      <c r="A64" s="85" t="n">
        <v>32</v>
      </c>
      <c r="B64" s="86" t="s">
        <v>126</v>
      </c>
      <c r="C64" s="86"/>
      <c r="D64" s="86"/>
      <c r="E64" s="87" t="s">
        <v>122</v>
      </c>
      <c r="F64" s="87" t="s">
        <v>127</v>
      </c>
      <c r="G64" s="88" t="n">
        <f aca="false">IF($D$4="PLANILHA PARA LICITAÇÃO (PRECIFICAÇÃO)",L64,0)</f>
        <v>100</v>
      </c>
      <c r="H64" s="89" t="n">
        <f aca="false">G64*P64</f>
        <v>1494</v>
      </c>
      <c r="I64" s="90" t="str">
        <f aca="false">IF(G64&lt;L64,"Fornecimento inferior ao estimado mensalmente",IF(G64=L64,"Fornecimento igual ao estimado mensalmente",IF(G64&gt;L64,"Fornecimento superior ao estimado mensalmente",)))</f>
        <v>Fornecimento igual ao estimado mensalmente</v>
      </c>
      <c r="J64" s="90"/>
      <c r="K64" s="90"/>
      <c r="L64" s="91" t="n">
        <f aca="false">M64/O64</f>
        <v>100</v>
      </c>
      <c r="M64" s="92" t="n">
        <f aca="false">Mat!J40</f>
        <v>100</v>
      </c>
      <c r="N64" s="93" t="str">
        <f aca="false">Mat!K40</f>
        <v>Mensal</v>
      </c>
      <c r="O64" s="94" t="n">
        <f aca="false">IF(N64="MENSAL",1,IF(N64="BIMESTRAL",2,IF(N64="TRIMESTRAL",3,IF(N64="QUADRIMESTRAL",4,IF(N64="SEMESTRAL",6,IF(N64="ANUAL",12,IF(N64="BIENAL",24,"")))))))</f>
        <v>1</v>
      </c>
      <c r="P64" s="95" t="n">
        <v>14.94</v>
      </c>
      <c r="Q64" s="48" t="n">
        <f aca="false">ROUND(IF(Dados!$J$65="SIM",P64*Dados!$N$65,P64),2)</f>
        <v>14.94</v>
      </c>
      <c r="R64" s="48" t="n">
        <f aca="false">ROUND(IF(Dados!$J$66="SIM",Q64*Dados!$N$66,Q64),2)</f>
        <v>14.94</v>
      </c>
      <c r="S64" s="48" t="n">
        <f aca="false">ROUND(IF(Dados!$J$67="SIM",R64*Dados!$N$67,R64),2)</f>
        <v>14.94</v>
      </c>
      <c r="T64" s="48" t="n">
        <f aca="false">ROUND(IF(Dados!$J$68="SIM",S64*Dados!$N$68,S64),2)</f>
        <v>14.94</v>
      </c>
      <c r="U64" s="96" t="n">
        <f aca="false">ROUND(IF(Dados!$J$69="SIM",T64*Dados!$N$69,T64),2)</f>
        <v>14.94</v>
      </c>
      <c r="V64" s="71" t="n">
        <f aca="false">IF(Dados!$D$78="INICIAL",'Ocorrências Mensais - FAT'!P64,IF(Dados!$D$78="1º IPCA",'Ocorrências Mensais - FAT'!Q64,IF(Dados!$D$78="2º IPCA",'Ocorrências Mensais - FAT'!R64,IF(Dados!$D$78="3º IPCA",'Ocorrências Mensais - FAT'!S64,IF(Dados!$D$78="4º IPCA",'Ocorrências Mensais - FAT'!T64,IF(Dados!$D$78="5º IPCA",'Ocorrências Mensais - FAT'!U64,))))))</f>
        <v>14.94</v>
      </c>
    </row>
    <row r="65" s="1" customFormat="true" ht="15" hidden="true" customHeight="true" outlineLevel="0" collapsed="false">
      <c r="A65" s="85" t="n">
        <v>33</v>
      </c>
      <c r="B65" s="100" t="s">
        <v>128</v>
      </c>
      <c r="C65" s="100"/>
      <c r="D65" s="100"/>
      <c r="E65" s="87" t="s">
        <v>86</v>
      </c>
      <c r="F65" s="87" t="s">
        <v>129</v>
      </c>
      <c r="G65" s="88" t="n">
        <f aca="false">IF($D$4="PLANILHA PARA LICITAÇÃO (PRECIFICAÇÃO)",L65,0)</f>
        <v>9</v>
      </c>
      <c r="H65" s="89" t="n">
        <f aca="false">G65*P65</f>
        <v>68.67</v>
      </c>
      <c r="I65" s="90" t="str">
        <f aca="false">IF(G65&lt;L65,"Fornecimento inferior ao estimado mensalmente",IF(G65=L65,"Fornecimento igual ao estimado mensalmente",IF(G65&gt;L65,"Fornecimento superior ao estimado mensalmente",)))</f>
        <v>Fornecimento igual ao estimado mensalmente</v>
      </c>
      <c r="J65" s="90"/>
      <c r="K65" s="90"/>
      <c r="L65" s="91" t="n">
        <f aca="false">M65/O65</f>
        <v>9</v>
      </c>
      <c r="M65" s="92" t="n">
        <f aca="false">Mat!J41</f>
        <v>9</v>
      </c>
      <c r="N65" s="93" t="str">
        <f aca="false">Mat!K41</f>
        <v>Mensal</v>
      </c>
      <c r="O65" s="94" t="n">
        <f aca="false">IF(N65="MENSAL",1,IF(N65="BIMESTRAL",2,IF(N65="TRIMESTRAL",3,IF(N65="QUADRIMESTRAL",4,IF(N65="SEMESTRAL",6,IF(N65="ANUAL",12,IF(N65="BIENAL",24,"")))))))</f>
        <v>1</v>
      </c>
      <c r="P65" s="95" t="n">
        <v>7.63</v>
      </c>
      <c r="Q65" s="48" t="n">
        <f aca="false">ROUND(IF(Dados!$J$65="SIM",P65*Dados!$N$65,P65),2)</f>
        <v>7.63</v>
      </c>
      <c r="R65" s="48" t="n">
        <f aca="false">ROUND(IF(Dados!$J$66="SIM",Q65*Dados!$N$66,Q65),2)</f>
        <v>7.63</v>
      </c>
      <c r="S65" s="48" t="n">
        <f aca="false">ROUND(IF(Dados!$J$67="SIM",R65*Dados!$N$67,R65),2)</f>
        <v>7.63</v>
      </c>
      <c r="T65" s="48" t="n">
        <f aca="false">ROUND(IF(Dados!$J$68="SIM",S65*Dados!$N$68,S65),2)</f>
        <v>7.63</v>
      </c>
      <c r="U65" s="96" t="n">
        <f aca="false">ROUND(IF(Dados!$J$69="SIM",T65*Dados!$N$69,T65),2)</f>
        <v>7.63</v>
      </c>
      <c r="V65" s="71" t="n">
        <f aca="false">IF(Dados!$D$78="INICIAL",'Ocorrências Mensais - FAT'!P65,IF(Dados!$D$78="1º IPCA",'Ocorrências Mensais - FAT'!Q65,IF(Dados!$D$78="2º IPCA",'Ocorrências Mensais - FAT'!R65,IF(Dados!$D$78="3º IPCA",'Ocorrências Mensais - FAT'!S65,IF(Dados!$D$78="4º IPCA",'Ocorrências Mensais - FAT'!T65,IF(Dados!$D$78="5º IPCA",'Ocorrências Mensais - FAT'!U65,))))))</f>
        <v>7.63</v>
      </c>
    </row>
    <row r="66" s="1" customFormat="true" ht="15" hidden="true" customHeight="true" outlineLevel="0" collapsed="false">
      <c r="A66" s="85" t="n">
        <v>34</v>
      </c>
      <c r="B66" s="100" t="s">
        <v>130</v>
      </c>
      <c r="C66" s="100"/>
      <c r="D66" s="100"/>
      <c r="E66" s="87" t="s">
        <v>86</v>
      </c>
      <c r="F66" s="87"/>
      <c r="G66" s="88" t="n">
        <f aca="false">IF($D$4="PLANILHA PARA LICITAÇÃO (PRECIFICAÇÃO)",L66,0)</f>
        <v>4.66666666666667</v>
      </c>
      <c r="H66" s="89" t="n">
        <f aca="false">G66*P66</f>
        <v>234.873333333333</v>
      </c>
      <c r="I66" s="90" t="str">
        <f aca="false">IF(G66&lt;L66,"Fornecimento inferior ao estimado mensalmente",IF(G66=L66,"Fornecimento igual ao estimado mensalmente",IF(G66&gt;L66,"Fornecimento superior ao estimado mensalmente",)))</f>
        <v>Fornecimento igual ao estimado mensalmente</v>
      </c>
      <c r="J66" s="90"/>
      <c r="K66" s="90"/>
      <c r="L66" s="91" t="n">
        <f aca="false">M66/O66</f>
        <v>4.66666666666667</v>
      </c>
      <c r="M66" s="92" t="n">
        <f aca="false">Mat!J42</f>
        <v>14</v>
      </c>
      <c r="N66" s="93" t="str">
        <f aca="false">Mat!K42</f>
        <v>Trimestral</v>
      </c>
      <c r="O66" s="94" t="n">
        <f aca="false">IF(N66="MENSAL",1,IF(N66="BIMESTRAL",2,IF(N66="TRIMESTRAL",3,IF(N66="QUADRIMESTRAL",4,IF(N66="SEMESTRAL",6,IF(N66="ANUAL",12,IF(N66="BIENAL",24,"")))))))</f>
        <v>3</v>
      </c>
      <c r="P66" s="106" t="n">
        <v>50.33</v>
      </c>
      <c r="Q66" s="48" t="n">
        <f aca="false">ROUND(IF(Dados!$J$65="SIM",P66*Dados!$N$65,P66),2)</f>
        <v>50.33</v>
      </c>
      <c r="R66" s="48" t="n">
        <f aca="false">ROUND(IF(Dados!$J$66="SIM",Q66*Dados!$N$66,Q66),2)</f>
        <v>50.33</v>
      </c>
      <c r="S66" s="48" t="n">
        <f aca="false">ROUND(IF(Dados!$J$67="SIM",R66*Dados!$N$67,R66),2)</f>
        <v>50.33</v>
      </c>
      <c r="T66" s="48" t="n">
        <f aca="false">ROUND(IF(Dados!$J$68="SIM",S66*Dados!$N$68,S66),2)</f>
        <v>50.33</v>
      </c>
      <c r="U66" s="96" t="n">
        <f aca="false">ROUND(IF(Dados!$J$69="SIM",T66*Dados!$N$69,T66),2)</f>
        <v>50.33</v>
      </c>
      <c r="V66" s="71" t="n">
        <f aca="false">IF(Dados!$D$78="INICIAL",'Ocorrências Mensais - FAT'!P66,IF(Dados!$D$78="1º IPCA",'Ocorrências Mensais - FAT'!Q66,IF(Dados!$D$78="2º IPCA",'Ocorrências Mensais - FAT'!R66,IF(Dados!$D$78="3º IPCA",'Ocorrências Mensais - FAT'!S66,IF(Dados!$D$78="4º IPCA",'Ocorrências Mensais - FAT'!T66,IF(Dados!$D$78="5º IPCA",'Ocorrências Mensais - FAT'!U66,))))))</f>
        <v>50.33</v>
      </c>
    </row>
    <row r="67" s="1" customFormat="true" ht="15" hidden="true" customHeight="true" outlineLevel="0" collapsed="false">
      <c r="A67" s="107" t="n">
        <v>35</v>
      </c>
      <c r="B67" s="100" t="s">
        <v>131</v>
      </c>
      <c r="C67" s="100"/>
      <c r="D67" s="100"/>
      <c r="E67" s="87" t="s">
        <v>86</v>
      </c>
      <c r="F67" s="87"/>
      <c r="G67" s="88" t="n">
        <f aca="false">IF($D$4="PLANILHA PARA LICITAÇÃO (PRECIFICAÇÃO)",L67,0)</f>
        <v>3.33333333333333</v>
      </c>
      <c r="H67" s="89" t="n">
        <f aca="false">G67*P67</f>
        <v>94.2333333333333</v>
      </c>
      <c r="I67" s="90" t="str">
        <f aca="false">IF(G67&lt;L67,"Fornecimento inferior ao estimado mensalmente",IF(G67=L67,"Fornecimento igual ao estimado mensalmente",IF(G67&gt;L67,"Fornecimento superior ao estimado mensalmente",)))</f>
        <v>Fornecimento igual ao estimado mensalmente</v>
      </c>
      <c r="J67" s="90"/>
      <c r="K67" s="90"/>
      <c r="L67" s="91" t="n">
        <f aca="false">M67/O67</f>
        <v>3.33333333333333</v>
      </c>
      <c r="M67" s="92" t="n">
        <f aca="false">Mat!J43</f>
        <v>10</v>
      </c>
      <c r="N67" s="93" t="str">
        <f aca="false">Mat!K43</f>
        <v>Trimestral</v>
      </c>
      <c r="O67" s="94" t="n">
        <f aca="false">IF(N67="MENSAL",1,IF(N67="BIMESTRAL",2,IF(N67="TRIMESTRAL",3,IF(N67="QUADRIMESTRAL",4,IF(N67="SEMESTRAL",6,IF(N67="ANUAL",12,IF(N67="BIENAL",24,"")))))))</f>
        <v>3</v>
      </c>
      <c r="P67" s="106" t="n">
        <v>28.27</v>
      </c>
      <c r="Q67" s="48" t="n">
        <f aca="false">ROUND(IF(Dados!$J$65="SIM",P67*Dados!$N$65,P67),2)</f>
        <v>28.27</v>
      </c>
      <c r="R67" s="48" t="n">
        <f aca="false">ROUND(IF(Dados!$J$66="SIM",Q67*Dados!$N$66,Q67),2)</f>
        <v>28.27</v>
      </c>
      <c r="S67" s="48" t="n">
        <f aca="false">ROUND(IF(Dados!$J$67="SIM",R67*Dados!$N$67,R67),2)</f>
        <v>28.27</v>
      </c>
      <c r="T67" s="48" t="n">
        <f aca="false">ROUND(IF(Dados!$J$68="SIM",S67*Dados!$N$68,S67),2)</f>
        <v>28.27</v>
      </c>
      <c r="U67" s="96" t="n">
        <f aca="false">ROUND(IF(Dados!$J$69="SIM",T67*Dados!$N$69,T67),2)</f>
        <v>28.27</v>
      </c>
      <c r="V67" s="71" t="n">
        <f aca="false">IF(Dados!$D$78="INICIAL",'Ocorrências Mensais - FAT'!P67,IF(Dados!$D$78="1º IPCA",'Ocorrências Mensais - FAT'!Q67,IF(Dados!$D$78="2º IPCA",'Ocorrências Mensais - FAT'!R67,IF(Dados!$D$78="3º IPCA",'Ocorrências Mensais - FAT'!S67,IF(Dados!$D$78="4º IPCA",'Ocorrências Mensais - FAT'!T67,IF(Dados!$D$78="5º IPCA",'Ocorrências Mensais - FAT'!U67,))))))</f>
        <v>28.27</v>
      </c>
    </row>
    <row r="68" s="1" customFormat="true" ht="15" hidden="true" customHeight="true" outlineLevel="0" collapsed="false">
      <c r="A68" s="107" t="n">
        <v>36</v>
      </c>
      <c r="B68" s="100" t="s">
        <v>132</v>
      </c>
      <c r="C68" s="100"/>
      <c r="D68" s="100"/>
      <c r="E68" s="87" t="s">
        <v>86</v>
      </c>
      <c r="F68" s="87"/>
      <c r="G68" s="88" t="n">
        <f aca="false">IF($D$4="PLANILHA PARA LICITAÇÃO (PRECIFICAÇÃO)",L68,0)</f>
        <v>3.33333333333333</v>
      </c>
      <c r="H68" s="89" t="n">
        <f aca="false">G68*P68</f>
        <v>101.2</v>
      </c>
      <c r="I68" s="90" t="str">
        <f aca="false">IF(G68&lt;L68,"Fornecimento inferior ao estimado mensalmente",IF(G68=L68,"Fornecimento igual ao estimado mensalmente",IF(G68&gt;L68,"Fornecimento superior ao estimado mensalmente",)))</f>
        <v>Fornecimento igual ao estimado mensalmente</v>
      </c>
      <c r="J68" s="90"/>
      <c r="K68" s="90"/>
      <c r="L68" s="91" t="n">
        <f aca="false">M68/O68</f>
        <v>3.33333333333333</v>
      </c>
      <c r="M68" s="92" t="n">
        <f aca="false">Mat!J44</f>
        <v>10</v>
      </c>
      <c r="N68" s="93" t="str">
        <f aca="false">Mat!K44</f>
        <v>Trimestral</v>
      </c>
      <c r="O68" s="94" t="n">
        <f aca="false">IF(N68="MENSAL",1,IF(N68="BIMESTRAL",2,IF(N68="TRIMESTRAL",3,IF(N68="QUADRIMESTRAL",4,IF(N68="SEMESTRAL",6,IF(N68="ANUAL",12,IF(N68="BIENAL",24,"")))))))</f>
        <v>3</v>
      </c>
      <c r="P68" s="106" t="n">
        <v>30.36</v>
      </c>
      <c r="Q68" s="48" t="n">
        <f aca="false">ROUND(IF(Dados!$J$65="SIM",P68*Dados!$N$65,P68),2)</f>
        <v>30.36</v>
      </c>
      <c r="R68" s="48" t="n">
        <f aca="false">ROUND(IF(Dados!$J$66="SIM",Q68*Dados!$N$66,Q68),2)</f>
        <v>30.36</v>
      </c>
      <c r="S68" s="48" t="n">
        <f aca="false">ROUND(IF(Dados!$J$67="SIM",R68*Dados!$N$67,R68),2)</f>
        <v>30.36</v>
      </c>
      <c r="T68" s="48" t="n">
        <f aca="false">ROUND(IF(Dados!$J$68="SIM",S68*Dados!$N$68,S68),2)</f>
        <v>30.36</v>
      </c>
      <c r="U68" s="96" t="n">
        <f aca="false">ROUND(IF(Dados!$J$69="SIM",T68*Dados!$N$69,T68),2)</f>
        <v>30.36</v>
      </c>
      <c r="V68" s="71" t="n">
        <f aca="false">IF(Dados!$D$78="INICIAL",'Ocorrências Mensais - FAT'!P68,IF(Dados!$D$78="1º IPCA",'Ocorrências Mensais - FAT'!Q68,IF(Dados!$D$78="2º IPCA",'Ocorrências Mensais - FAT'!R68,IF(Dados!$D$78="3º IPCA",'Ocorrências Mensais - FAT'!S68,IF(Dados!$D$78="4º IPCA",'Ocorrências Mensais - FAT'!T68,IF(Dados!$D$78="5º IPCA",'Ocorrências Mensais - FAT'!U68,))))))</f>
        <v>30.36</v>
      </c>
    </row>
    <row r="69" s="1" customFormat="true" ht="15" hidden="true" customHeight="true" outlineLevel="0" collapsed="false">
      <c r="A69" s="107" t="n">
        <v>37</v>
      </c>
      <c r="B69" s="100" t="s">
        <v>133</v>
      </c>
      <c r="C69" s="100"/>
      <c r="D69" s="100"/>
      <c r="E69" s="87" t="s">
        <v>134</v>
      </c>
      <c r="F69" s="87" t="s">
        <v>135</v>
      </c>
      <c r="G69" s="88" t="n">
        <f aca="false">IF($D$4="PLANILHA PARA LICITAÇÃO (PRECIFICAÇÃO)",L69,0)</f>
        <v>10</v>
      </c>
      <c r="H69" s="89" t="n">
        <f aca="false">G69*P69</f>
        <v>441.1</v>
      </c>
      <c r="I69" s="90" t="str">
        <f aca="false">IF(G69&lt;L69,"Fornecimento inferior ao estimado mensalmente",IF(G69=L69,"Fornecimento igual ao estimado mensalmente",IF(G69&gt;L69,"Fornecimento superior ao estimado mensalmente",)))</f>
        <v>Fornecimento igual ao estimado mensalmente</v>
      </c>
      <c r="J69" s="90"/>
      <c r="K69" s="90"/>
      <c r="L69" s="91" t="n">
        <f aca="false">M69/O69</f>
        <v>10</v>
      </c>
      <c r="M69" s="92" t="n">
        <f aca="false">Mat!J45</f>
        <v>10</v>
      </c>
      <c r="N69" s="93" t="str">
        <f aca="false">Mat!K45</f>
        <v>Mensal</v>
      </c>
      <c r="O69" s="94" t="n">
        <f aca="false">IF(N69="MENSAL",1,IF(N69="BIMESTRAL",2,IF(N69="TRIMESTRAL",3,IF(N69="QUADRIMESTRAL",4,IF(N69="SEMESTRAL",6,IF(N69="ANUAL",12,IF(N69="BIENAL",24,"")))))))</f>
        <v>1</v>
      </c>
      <c r="P69" s="106" t="n">
        <v>44.11</v>
      </c>
      <c r="Q69" s="48" t="n">
        <f aca="false">ROUND(IF(Dados!$J$65="SIM",P69*Dados!$N$65,P69),2)</f>
        <v>44.11</v>
      </c>
      <c r="R69" s="48" t="n">
        <f aca="false">ROUND(IF(Dados!$J$66="SIM",Q69*Dados!$N$66,Q69),2)</f>
        <v>44.11</v>
      </c>
      <c r="S69" s="48" t="n">
        <f aca="false">ROUND(IF(Dados!$J$67="SIM",R69*Dados!$N$67,R69),2)</f>
        <v>44.11</v>
      </c>
      <c r="T69" s="48" t="n">
        <f aca="false">ROUND(IF(Dados!$J$68="SIM",S69*Dados!$N$68,S69),2)</f>
        <v>44.11</v>
      </c>
      <c r="U69" s="96" t="n">
        <f aca="false">ROUND(IF(Dados!$J$69="SIM",T69*Dados!$N$69,T69),2)</f>
        <v>44.11</v>
      </c>
      <c r="V69" s="71" t="n">
        <f aca="false">IF(Dados!$D$78="INICIAL",'Ocorrências Mensais - FAT'!P69,IF(Dados!$D$78="1º IPCA",'Ocorrências Mensais - FAT'!Q69,IF(Dados!$D$78="2º IPCA",'Ocorrências Mensais - FAT'!R69,IF(Dados!$D$78="3º IPCA",'Ocorrências Mensais - FAT'!S69,IF(Dados!$D$78="4º IPCA",'Ocorrências Mensais - FAT'!T69,IF(Dados!$D$78="5º IPCA",'Ocorrências Mensais - FAT'!U69,))))))</f>
        <v>44.11</v>
      </c>
    </row>
    <row r="70" s="1" customFormat="true" ht="15" hidden="true" customHeight="true" outlineLevel="0" collapsed="false">
      <c r="A70" s="107" t="n">
        <v>38</v>
      </c>
      <c r="B70" s="100" t="s">
        <v>136</v>
      </c>
      <c r="C70" s="100"/>
      <c r="D70" s="100"/>
      <c r="E70" s="87" t="s">
        <v>86</v>
      </c>
      <c r="F70" s="87"/>
      <c r="G70" s="88" t="n">
        <f aca="false">IF($D$4="PLANILHA PARA LICITAÇÃO (PRECIFICAÇÃO)",L70,0)</f>
        <v>4</v>
      </c>
      <c r="H70" s="89" t="n">
        <f aca="false">G70*P70</f>
        <v>23.4</v>
      </c>
      <c r="I70" s="90" t="str">
        <f aca="false">IF(G70&lt;L70,"Fornecimento inferior ao estimado mensalmente",IF(G70=L70,"Fornecimento igual ao estimado mensalmente",IF(G70&gt;L70,"Fornecimento superior ao estimado mensalmente",)))</f>
        <v>Fornecimento igual ao estimado mensalmente</v>
      </c>
      <c r="J70" s="90"/>
      <c r="K70" s="90"/>
      <c r="L70" s="91" t="n">
        <f aca="false">M70/O70</f>
        <v>4</v>
      </c>
      <c r="M70" s="92" t="n">
        <f aca="false">Mat!J46</f>
        <v>8</v>
      </c>
      <c r="N70" s="93" t="str">
        <f aca="false">Mat!K46</f>
        <v>Bimestral</v>
      </c>
      <c r="O70" s="94" t="n">
        <f aca="false">IF(N70="MENSAL",1,IF(N70="BIMESTRAL",2,IF(N70="TRIMESTRAL",3,IF(N70="QUADRIMESTRAL",4,IF(N70="SEMESTRAL",6,IF(N70="ANUAL",12,IF(N70="BIENAL",24,"")))))))</f>
        <v>2</v>
      </c>
      <c r="P70" s="106" t="n">
        <v>5.85</v>
      </c>
      <c r="Q70" s="48" t="n">
        <f aca="false">ROUND(IF(Dados!$J$65="SIM",P70*Dados!$N$65,P70),2)</f>
        <v>5.85</v>
      </c>
      <c r="R70" s="48" t="n">
        <f aca="false">ROUND(IF(Dados!$J$66="SIM",Q70*Dados!$N$66,Q70),2)</f>
        <v>5.85</v>
      </c>
      <c r="S70" s="48" t="n">
        <f aca="false">ROUND(IF(Dados!$J$67="SIM",R70*Dados!$N$67,R70),2)</f>
        <v>5.85</v>
      </c>
      <c r="T70" s="48" t="n">
        <f aca="false">ROUND(IF(Dados!$J$68="SIM",S70*Dados!$N$68,S70),2)</f>
        <v>5.85</v>
      </c>
      <c r="U70" s="96" t="n">
        <f aca="false">ROUND(IF(Dados!$J$69="SIM",T70*Dados!$N$69,T70),2)</f>
        <v>5.85</v>
      </c>
      <c r="V70" s="71" t="n">
        <f aca="false">IF(Dados!$D$78="INICIAL",'Ocorrências Mensais - FAT'!P70,IF(Dados!$D$78="1º IPCA",'Ocorrências Mensais - FAT'!Q70,IF(Dados!$D$78="2º IPCA",'Ocorrências Mensais - FAT'!R70,IF(Dados!$D$78="3º IPCA",'Ocorrências Mensais - FAT'!S70,IF(Dados!$D$78="4º IPCA",'Ocorrências Mensais - FAT'!T70,IF(Dados!$D$78="5º IPCA",'Ocorrências Mensais - FAT'!U70,))))))</f>
        <v>5.85</v>
      </c>
    </row>
    <row r="71" s="1" customFormat="true" ht="15" hidden="true" customHeight="true" outlineLevel="0" collapsed="false">
      <c r="A71" s="107" t="n">
        <v>39</v>
      </c>
      <c r="B71" s="100" t="s">
        <v>137</v>
      </c>
      <c r="C71" s="100"/>
      <c r="D71" s="100"/>
      <c r="E71" s="87" t="s">
        <v>86</v>
      </c>
      <c r="F71" s="87"/>
      <c r="G71" s="88" t="n">
        <f aca="false">IF($D$4="PLANILHA PARA LICITAÇÃO (PRECIFICAÇÃO)",L71,0)</f>
        <v>4</v>
      </c>
      <c r="H71" s="89" t="n">
        <f aca="false">G71*P71</f>
        <v>71.2</v>
      </c>
      <c r="I71" s="90" t="str">
        <f aca="false">IF(G71&lt;L71,"Fornecimento inferior ao estimado mensalmente",IF(G71=L71,"Fornecimento igual ao estimado mensalmente",IF(G71&gt;L71,"Fornecimento superior ao estimado mensalmente",)))</f>
        <v>Fornecimento igual ao estimado mensalmente</v>
      </c>
      <c r="J71" s="90"/>
      <c r="K71" s="90"/>
      <c r="L71" s="91" t="n">
        <f aca="false">M71/O71</f>
        <v>4</v>
      </c>
      <c r="M71" s="92" t="n">
        <f aca="false">Mat!J47</f>
        <v>8</v>
      </c>
      <c r="N71" s="93" t="str">
        <f aca="false">Mat!K47</f>
        <v>Bimestral</v>
      </c>
      <c r="O71" s="94" t="n">
        <f aca="false">IF(N71="MENSAL",1,IF(N71="BIMESTRAL",2,IF(N71="TRIMESTRAL",3,IF(N71="QUADRIMESTRAL",4,IF(N71="SEMESTRAL",6,IF(N71="ANUAL",12,IF(N71="BIENAL",24,"")))))))</f>
        <v>2</v>
      </c>
      <c r="P71" s="106" t="n">
        <v>17.8</v>
      </c>
      <c r="Q71" s="48" t="n">
        <f aca="false">ROUND(IF(Dados!$J$65="SIM",P71*Dados!$N$65,P71),2)</f>
        <v>17.8</v>
      </c>
      <c r="R71" s="48" t="n">
        <f aca="false">ROUND(IF(Dados!$J$66="SIM",Q71*Dados!$N$66,Q71),2)</f>
        <v>17.8</v>
      </c>
      <c r="S71" s="48" t="n">
        <f aca="false">ROUND(IF(Dados!$J$67="SIM",R71*Dados!$N$67,R71),2)</f>
        <v>17.8</v>
      </c>
      <c r="T71" s="48" t="n">
        <f aca="false">ROUND(IF(Dados!$J$68="SIM",S71*Dados!$N$68,S71),2)</f>
        <v>17.8</v>
      </c>
      <c r="U71" s="96" t="n">
        <f aca="false">ROUND(IF(Dados!$J$69="SIM",T71*Dados!$N$69,T71),2)</f>
        <v>17.8</v>
      </c>
      <c r="V71" s="71" t="n">
        <f aca="false">IF(Dados!$D$78="INICIAL",'Ocorrências Mensais - FAT'!P71,IF(Dados!$D$78="1º IPCA",'Ocorrências Mensais - FAT'!Q71,IF(Dados!$D$78="2º IPCA",'Ocorrências Mensais - FAT'!R71,IF(Dados!$D$78="3º IPCA",'Ocorrências Mensais - FAT'!S71,IF(Dados!$D$78="4º IPCA",'Ocorrências Mensais - FAT'!T71,IF(Dados!$D$78="5º IPCA",'Ocorrências Mensais - FAT'!U71,))))))</f>
        <v>17.8</v>
      </c>
    </row>
    <row r="72" s="1" customFormat="true" ht="15" hidden="true" customHeight="true" outlineLevel="0" collapsed="false">
      <c r="A72" s="107" t="n">
        <v>40</v>
      </c>
      <c r="B72" s="100" t="s">
        <v>138</v>
      </c>
      <c r="C72" s="100"/>
      <c r="D72" s="100"/>
      <c r="E72" s="87" t="s">
        <v>86</v>
      </c>
      <c r="F72" s="87" t="s">
        <v>139</v>
      </c>
      <c r="G72" s="88" t="n">
        <f aca="false">IF($D$4="PLANILHA PARA LICITAÇÃO (PRECIFICAÇÃO)",L72,0)</f>
        <v>15</v>
      </c>
      <c r="H72" s="89" t="n">
        <f aca="false">G72*P72</f>
        <v>35.4</v>
      </c>
      <c r="I72" s="90" t="str">
        <f aca="false">IF(G72&lt;L72,"Fornecimento inferior ao estimado mensalmente",IF(G72=L72,"Fornecimento igual ao estimado mensalmente",IF(G72&gt;L72,"Fornecimento superior ao estimado mensalmente",)))</f>
        <v>Fornecimento igual ao estimado mensalmente</v>
      </c>
      <c r="J72" s="90"/>
      <c r="K72" s="90"/>
      <c r="L72" s="91" t="n">
        <f aca="false">M72/O72</f>
        <v>15</v>
      </c>
      <c r="M72" s="92" t="n">
        <f aca="false">Mat!J48</f>
        <v>15</v>
      </c>
      <c r="N72" s="93" t="str">
        <f aca="false">Mat!K48</f>
        <v>Mensal</v>
      </c>
      <c r="O72" s="94" t="n">
        <f aca="false">IF(N72="MENSAL",1,IF(N72="BIMESTRAL",2,IF(N72="TRIMESTRAL",3,IF(N72="QUADRIMESTRAL",4,IF(N72="SEMESTRAL",6,IF(N72="ANUAL",12,IF(N72="BIENAL",24,"")))))))</f>
        <v>1</v>
      </c>
      <c r="P72" s="106" t="n">
        <v>2.36</v>
      </c>
      <c r="Q72" s="48" t="n">
        <f aca="false">ROUND(IF(Dados!$J$65="SIM",P72*Dados!$N$65,P72),2)</f>
        <v>2.36</v>
      </c>
      <c r="R72" s="48" t="n">
        <f aca="false">ROUND(IF(Dados!$J$66="SIM",Q72*Dados!$N$66,Q72),2)</f>
        <v>2.36</v>
      </c>
      <c r="S72" s="48" t="n">
        <f aca="false">ROUND(IF(Dados!$J$67="SIM",R72*Dados!$N$67,R72),2)</f>
        <v>2.36</v>
      </c>
      <c r="T72" s="48" t="n">
        <f aca="false">ROUND(IF(Dados!$J$68="SIM",S72*Dados!$N$68,S72),2)</f>
        <v>2.36</v>
      </c>
      <c r="U72" s="96" t="n">
        <f aca="false">ROUND(IF(Dados!$J$69="SIM",T72*Dados!$N$69,T72),2)</f>
        <v>2.36</v>
      </c>
      <c r="V72" s="71" t="n">
        <f aca="false">IF(Dados!$D$78="INICIAL",'Ocorrências Mensais - FAT'!P72,IF(Dados!$D$78="1º IPCA",'Ocorrências Mensais - FAT'!Q72,IF(Dados!$D$78="2º IPCA",'Ocorrências Mensais - FAT'!R72,IF(Dados!$D$78="3º IPCA",'Ocorrências Mensais - FAT'!S72,IF(Dados!$D$78="4º IPCA",'Ocorrências Mensais - FAT'!T72,IF(Dados!$D$78="5º IPCA",'Ocorrências Mensais - FAT'!U72,))))))</f>
        <v>2.36</v>
      </c>
    </row>
    <row r="73" s="1" customFormat="true" ht="15" hidden="true" customHeight="true" outlineLevel="0" collapsed="false">
      <c r="A73" s="107" t="n">
        <v>41</v>
      </c>
      <c r="B73" s="100" t="s">
        <v>140</v>
      </c>
      <c r="C73" s="100"/>
      <c r="D73" s="100"/>
      <c r="E73" s="87" t="s">
        <v>86</v>
      </c>
      <c r="F73" s="87" t="s">
        <v>141</v>
      </c>
      <c r="G73" s="88" t="n">
        <f aca="false">IF($D$4="PLANILHA PARA LICITAÇÃO (PRECIFICAÇÃO)",L73,0)</f>
        <v>8</v>
      </c>
      <c r="H73" s="89" t="n">
        <f aca="false">G73*P73</f>
        <v>253.28</v>
      </c>
      <c r="I73" s="90" t="str">
        <f aca="false">IF(G73&lt;L73,"Fornecimento inferior ao estimado mensalmente",IF(G73=L73,"Fornecimento igual ao estimado mensalmente",IF(G73&gt;L73,"Fornecimento superior ao estimado mensalmente",)))</f>
        <v>Fornecimento igual ao estimado mensalmente</v>
      </c>
      <c r="J73" s="90"/>
      <c r="K73" s="90"/>
      <c r="L73" s="91" t="n">
        <f aca="false">M73/O73</f>
        <v>8</v>
      </c>
      <c r="M73" s="92" t="n">
        <f aca="false">Mat!J49</f>
        <v>8</v>
      </c>
      <c r="N73" s="93" t="str">
        <f aca="false">Mat!K49</f>
        <v>Mensal</v>
      </c>
      <c r="O73" s="94" t="n">
        <f aca="false">IF(N73="MENSAL",1,IF(N73="BIMESTRAL",2,IF(N73="TRIMESTRAL",3,IF(N73="QUADRIMESTRAL",4,IF(N73="SEMESTRAL",6,IF(N73="ANUAL",12,IF(N73="BIENAL",24,"")))))))</f>
        <v>1</v>
      </c>
      <c r="P73" s="106" t="n">
        <v>31.66</v>
      </c>
      <c r="Q73" s="48" t="n">
        <f aca="false">ROUND(IF(Dados!$J$65="SIM",P73*Dados!$N$65,P73),2)</f>
        <v>31.66</v>
      </c>
      <c r="R73" s="48" t="n">
        <f aca="false">ROUND(IF(Dados!$J$66="SIM",Q73*Dados!$N$66,Q73),2)</f>
        <v>31.66</v>
      </c>
      <c r="S73" s="48" t="n">
        <f aca="false">ROUND(IF(Dados!$J$67="SIM",R73*Dados!$N$67,R73),2)</f>
        <v>31.66</v>
      </c>
      <c r="T73" s="48" t="n">
        <f aca="false">ROUND(IF(Dados!$J$68="SIM",S73*Dados!$N$68,S73),2)</f>
        <v>31.66</v>
      </c>
      <c r="U73" s="96" t="n">
        <f aca="false">ROUND(IF(Dados!$J$69="SIM",T73*Dados!$N$69,T73),2)</f>
        <v>31.66</v>
      </c>
      <c r="V73" s="71" t="n">
        <f aca="false">IF(Dados!$D$78="INICIAL",'Ocorrências Mensais - FAT'!P73,IF(Dados!$D$78="1º IPCA",'Ocorrências Mensais - FAT'!Q73,IF(Dados!$D$78="2º IPCA",'Ocorrências Mensais - FAT'!R73,IF(Dados!$D$78="3º IPCA",'Ocorrências Mensais - FAT'!S73,IF(Dados!$D$78="4º IPCA",'Ocorrências Mensais - FAT'!T73,IF(Dados!$D$78="5º IPCA",'Ocorrências Mensais - FAT'!U73,))))))</f>
        <v>31.66</v>
      </c>
    </row>
    <row r="74" s="1" customFormat="true" ht="15" hidden="true" customHeight="true" outlineLevel="0" collapsed="false">
      <c r="A74" s="107" t="n">
        <v>42</v>
      </c>
      <c r="B74" s="100" t="s">
        <v>142</v>
      </c>
      <c r="C74" s="100"/>
      <c r="D74" s="100"/>
      <c r="E74" s="87" t="s">
        <v>86</v>
      </c>
      <c r="F74" s="87"/>
      <c r="G74" s="88" t="n">
        <f aca="false">IF($D$4="PLANILHA PARA LICITAÇÃO (PRECIFICAÇÃO)",L74,0)</f>
        <v>3</v>
      </c>
      <c r="H74" s="89" t="n">
        <f aca="false">G74*P74</f>
        <v>65.04</v>
      </c>
      <c r="I74" s="90" t="str">
        <f aca="false">IF(G74&lt;L74,"Fornecimento inferior ao estimado mensalmente",IF(G74=L74,"Fornecimento igual ao estimado mensalmente",IF(G74&gt;L74,"Fornecimento superior ao estimado mensalmente",)))</f>
        <v>Fornecimento igual ao estimado mensalmente</v>
      </c>
      <c r="J74" s="90"/>
      <c r="K74" s="90"/>
      <c r="L74" s="91" t="n">
        <f aca="false">M74/O74</f>
        <v>3</v>
      </c>
      <c r="M74" s="92" t="n">
        <f aca="false">Mat!J50</f>
        <v>3</v>
      </c>
      <c r="N74" s="93" t="str">
        <f aca="false">Mat!K50</f>
        <v>Mensal</v>
      </c>
      <c r="O74" s="94" t="n">
        <f aca="false">IF(N74="MENSAL",1,IF(N74="BIMESTRAL",2,IF(N74="TRIMESTRAL",3,IF(N74="QUADRIMESTRAL",4,IF(N74="SEMESTRAL",6,IF(N74="ANUAL",12,IF(N74="BIENAL",24,"")))))))</f>
        <v>1</v>
      </c>
      <c r="P74" s="106" t="n">
        <v>21.68</v>
      </c>
      <c r="Q74" s="48" t="n">
        <f aca="false">ROUND(IF(Dados!$J$65="SIM",P74*Dados!$N$65,P74),2)</f>
        <v>21.68</v>
      </c>
      <c r="R74" s="48" t="n">
        <f aca="false">ROUND(IF(Dados!$J$66="SIM",Q74*Dados!$N$66,Q74),2)</f>
        <v>21.68</v>
      </c>
      <c r="S74" s="48" t="n">
        <f aca="false">ROUND(IF(Dados!$J$67="SIM",R74*Dados!$N$67,R74),2)</f>
        <v>21.68</v>
      </c>
      <c r="T74" s="48" t="n">
        <f aca="false">ROUND(IF(Dados!$J$68="SIM",S74*Dados!$N$68,S74),2)</f>
        <v>21.68</v>
      </c>
      <c r="U74" s="96" t="n">
        <f aca="false">ROUND(IF(Dados!$J$69="SIM",T74*Dados!$N$69,T74),2)</f>
        <v>21.68</v>
      </c>
      <c r="V74" s="71" t="n">
        <f aca="false">IF(Dados!$D$78="INICIAL",'Ocorrências Mensais - FAT'!P74,IF(Dados!$D$78="1º IPCA",'Ocorrências Mensais - FAT'!Q74,IF(Dados!$D$78="2º IPCA",'Ocorrências Mensais - FAT'!R74,IF(Dados!$D$78="3º IPCA",'Ocorrências Mensais - FAT'!S74,IF(Dados!$D$78="4º IPCA",'Ocorrências Mensais - FAT'!T74,IF(Dados!$D$78="5º IPCA",'Ocorrências Mensais - FAT'!U74,))))))</f>
        <v>21.68</v>
      </c>
    </row>
    <row r="75" s="1" customFormat="true" ht="15" hidden="true" customHeight="true" outlineLevel="0" collapsed="false">
      <c r="A75" s="107" t="n">
        <v>43</v>
      </c>
      <c r="B75" s="100" t="s">
        <v>143</v>
      </c>
      <c r="C75" s="100"/>
      <c r="D75" s="100"/>
      <c r="E75" s="87" t="s">
        <v>86</v>
      </c>
      <c r="F75" s="87"/>
      <c r="G75" s="88" t="n">
        <f aca="false">IF($D$4="PLANILHA PARA LICITAÇÃO (PRECIFICAÇÃO)",L75,0)</f>
        <v>50</v>
      </c>
      <c r="H75" s="89" t="n">
        <f aca="false">G75*P75</f>
        <v>434.5</v>
      </c>
      <c r="I75" s="90" t="str">
        <f aca="false">IF(G75&lt;L75,"Fornecimento inferior ao estimado mensalmente",IF(G75=L75,"Fornecimento igual ao estimado mensalmente",IF(G75&gt;L75,"Fornecimento superior ao estimado mensalmente",)))</f>
        <v>Fornecimento igual ao estimado mensalmente</v>
      </c>
      <c r="J75" s="90"/>
      <c r="K75" s="90"/>
      <c r="L75" s="91" t="n">
        <f aca="false">M75/O75</f>
        <v>50</v>
      </c>
      <c r="M75" s="92" t="n">
        <f aca="false">Mat!J51</f>
        <v>50</v>
      </c>
      <c r="N75" s="93" t="str">
        <f aca="false">Mat!K51</f>
        <v>Mensal</v>
      </c>
      <c r="O75" s="94" t="n">
        <f aca="false">IF(N75="MENSAL",1,IF(N75="BIMESTRAL",2,IF(N75="TRIMESTRAL",3,IF(N75="QUADRIMESTRAL",4,IF(N75="SEMESTRAL",6,IF(N75="ANUAL",12,IF(N75="BIENAL",24,"")))))))</f>
        <v>1</v>
      </c>
      <c r="P75" s="106" t="n">
        <v>8.69</v>
      </c>
      <c r="Q75" s="48" t="n">
        <f aca="false">ROUND(IF(Dados!$J$65="SIM",P75*Dados!$N$65,P75),2)</f>
        <v>8.69</v>
      </c>
      <c r="R75" s="48" t="n">
        <f aca="false">ROUND(IF(Dados!$J$66="SIM",Q75*Dados!$N$66,Q75),2)</f>
        <v>8.69</v>
      </c>
      <c r="S75" s="48" t="n">
        <f aca="false">ROUND(IF(Dados!$J$67="SIM",R75*Dados!$N$67,R75),2)</f>
        <v>8.69</v>
      </c>
      <c r="T75" s="48" t="n">
        <f aca="false">ROUND(IF(Dados!$J$68="SIM",S75*Dados!$N$68,S75),2)</f>
        <v>8.69</v>
      </c>
      <c r="U75" s="96" t="n">
        <f aca="false">ROUND(IF(Dados!$J$69="SIM",T75*Dados!$N$69,T75),2)</f>
        <v>8.69</v>
      </c>
      <c r="V75" s="71" t="n">
        <f aca="false">IF(Dados!$D$78="INICIAL",'Ocorrências Mensais - FAT'!P75,IF(Dados!$D$78="1º IPCA",'Ocorrências Mensais - FAT'!Q75,IF(Dados!$D$78="2º IPCA",'Ocorrências Mensais - FAT'!R75,IF(Dados!$D$78="3º IPCA",'Ocorrências Mensais - FAT'!S75,IF(Dados!$D$78="4º IPCA",'Ocorrências Mensais - FAT'!T75,IF(Dados!$D$78="5º IPCA",'Ocorrências Mensais - FAT'!U75,))))))</f>
        <v>8.69</v>
      </c>
    </row>
    <row r="76" s="1" customFormat="true" ht="15" hidden="true" customHeight="true" outlineLevel="0" collapsed="false">
      <c r="A76" s="107" t="n">
        <v>44</v>
      </c>
      <c r="B76" s="100" t="s">
        <v>144</v>
      </c>
      <c r="C76" s="100"/>
      <c r="D76" s="100"/>
      <c r="E76" s="87" t="s">
        <v>86</v>
      </c>
      <c r="F76" s="87"/>
      <c r="G76" s="88" t="n">
        <f aca="false">IF($D$4="PLANILHA PARA LICITAÇÃO (PRECIFICAÇÃO)",L76,0)</f>
        <v>20</v>
      </c>
      <c r="H76" s="89" t="n">
        <f aca="false">G76*P76</f>
        <v>127.2</v>
      </c>
      <c r="I76" s="90" t="str">
        <f aca="false">IF(G76&lt;L76,"Fornecimento inferior ao estimado mensalmente",IF(G76=L76,"Fornecimento igual ao estimado mensalmente",IF(G76&gt;L76,"Fornecimento superior ao estimado mensalmente",)))</f>
        <v>Fornecimento igual ao estimado mensalmente</v>
      </c>
      <c r="J76" s="90"/>
      <c r="K76" s="90"/>
      <c r="L76" s="91" t="n">
        <f aca="false">M76/O76</f>
        <v>20</v>
      </c>
      <c r="M76" s="92" t="n">
        <f aca="false">Mat!J52</f>
        <v>40</v>
      </c>
      <c r="N76" s="93" t="str">
        <f aca="false">Mat!K52</f>
        <v>Bimestral</v>
      </c>
      <c r="O76" s="94" t="n">
        <f aca="false">IF(N76="MENSAL",1,IF(N76="BIMESTRAL",2,IF(N76="TRIMESTRAL",3,IF(N76="QUADRIMESTRAL",4,IF(N76="SEMESTRAL",6,IF(N76="ANUAL",12,IF(N76="BIENAL",24,"")))))))</f>
        <v>2</v>
      </c>
      <c r="P76" s="106" t="n">
        <v>6.36</v>
      </c>
      <c r="Q76" s="48" t="n">
        <f aca="false">ROUND(IF(Dados!$J$65="SIM",P76*Dados!$N$65,P76),2)</f>
        <v>6.36</v>
      </c>
      <c r="R76" s="48" t="n">
        <f aca="false">ROUND(IF(Dados!$J$66="SIM",Q76*Dados!$N$66,Q76),2)</f>
        <v>6.36</v>
      </c>
      <c r="S76" s="48" t="n">
        <f aca="false">ROUND(IF(Dados!$J$67="SIM",R76*Dados!$N$67,R76),2)</f>
        <v>6.36</v>
      </c>
      <c r="T76" s="48" t="n">
        <f aca="false">ROUND(IF(Dados!$J$68="SIM",S76*Dados!$N$68,S76),2)</f>
        <v>6.36</v>
      </c>
      <c r="U76" s="96" t="n">
        <f aca="false">ROUND(IF(Dados!$J$69="SIM",T76*Dados!$N$69,T76),2)</f>
        <v>6.36</v>
      </c>
      <c r="V76" s="71" t="n">
        <f aca="false">IF(Dados!$D$78="INICIAL",'Ocorrências Mensais - FAT'!P76,IF(Dados!$D$78="1º IPCA",'Ocorrências Mensais - FAT'!Q76,IF(Dados!$D$78="2º IPCA",'Ocorrências Mensais - FAT'!R76,IF(Dados!$D$78="3º IPCA",'Ocorrências Mensais - FAT'!S76,IF(Dados!$D$78="4º IPCA",'Ocorrências Mensais - FAT'!T76,IF(Dados!$D$78="5º IPCA",'Ocorrências Mensais - FAT'!U76,))))))</f>
        <v>6.36</v>
      </c>
    </row>
    <row r="77" s="1" customFormat="true" ht="15" hidden="true" customHeight="true" outlineLevel="0" collapsed="false">
      <c r="A77" s="107" t="n">
        <v>45</v>
      </c>
      <c r="B77" s="86" t="s">
        <v>145</v>
      </c>
      <c r="C77" s="86"/>
      <c r="D77" s="86"/>
      <c r="E77" s="87" t="s">
        <v>146</v>
      </c>
      <c r="F77" s="87"/>
      <c r="G77" s="88" t="n">
        <f aca="false">IF($D$4="PLANILHA PARA LICITAÇÃO (PRECIFICAÇÃO)",L77,0)</f>
        <v>10</v>
      </c>
      <c r="H77" s="89" t="n">
        <f aca="false">G77*P77</f>
        <v>370</v>
      </c>
      <c r="I77" s="90" t="str">
        <f aca="false">IF(G77&lt;L77,"Fornecimento inferior ao estimado mensalmente",IF(G77=L77,"Fornecimento igual ao estimado mensalmente",IF(G77&gt;L77,"Fornecimento superior ao estimado mensalmente",)))</f>
        <v>Fornecimento igual ao estimado mensalmente</v>
      </c>
      <c r="J77" s="90"/>
      <c r="K77" s="90"/>
      <c r="L77" s="91" t="n">
        <f aca="false">M77/O77</f>
        <v>10</v>
      </c>
      <c r="M77" s="92" t="n">
        <f aca="false">Mat!J53</f>
        <v>10</v>
      </c>
      <c r="N77" s="93" t="str">
        <f aca="false">Mat!K53</f>
        <v>Mensal</v>
      </c>
      <c r="O77" s="94" t="n">
        <f aca="false">IF(N77="MENSAL",1,IF(N77="BIMESTRAL",2,IF(N77="TRIMESTRAL",3,IF(N77="QUADRIMESTRAL",4,IF(N77="SEMESTRAL",6,IF(N77="ANUAL",12,IF(N77="BIENAL",24,"")))))))</f>
        <v>1</v>
      </c>
      <c r="P77" s="106" t="n">
        <v>37</v>
      </c>
      <c r="Q77" s="48" t="n">
        <f aca="false">ROUND(IF(Dados!$J$65="SIM",P77*Dados!$N$65,P77),2)</f>
        <v>37</v>
      </c>
      <c r="R77" s="48" t="n">
        <f aca="false">ROUND(IF(Dados!$J$66="SIM",Q77*Dados!$N$66,Q77),2)</f>
        <v>37</v>
      </c>
      <c r="S77" s="48" t="n">
        <f aca="false">ROUND(IF(Dados!$J$67="SIM",R77*Dados!$N$67,R77),2)</f>
        <v>37</v>
      </c>
      <c r="T77" s="48" t="n">
        <f aca="false">ROUND(IF(Dados!$J$68="SIM",S77*Dados!$N$68,S77),2)</f>
        <v>37</v>
      </c>
      <c r="U77" s="96" t="n">
        <f aca="false">ROUND(IF(Dados!$J$69="SIM",T77*Dados!$N$69,T77),2)</f>
        <v>37</v>
      </c>
      <c r="V77" s="71" t="n">
        <f aca="false">IF(Dados!$D$78="INICIAL",'Ocorrências Mensais - FAT'!P77,IF(Dados!$D$78="1º IPCA",'Ocorrências Mensais - FAT'!Q77,IF(Dados!$D$78="2º IPCA",'Ocorrências Mensais - FAT'!R77,IF(Dados!$D$78="3º IPCA",'Ocorrências Mensais - FAT'!S77,IF(Dados!$D$78="4º IPCA",'Ocorrências Mensais - FAT'!T77,IF(Dados!$D$78="5º IPCA",'Ocorrências Mensais - FAT'!U77,))))))</f>
        <v>37</v>
      </c>
    </row>
    <row r="78" s="1" customFormat="true" ht="15" hidden="true" customHeight="true" outlineLevel="0" collapsed="false">
      <c r="A78" s="107" t="n">
        <v>46</v>
      </c>
      <c r="B78" s="100" t="s">
        <v>147</v>
      </c>
      <c r="C78" s="100"/>
      <c r="D78" s="100"/>
      <c r="E78" s="87" t="s">
        <v>146</v>
      </c>
      <c r="F78" s="87"/>
      <c r="G78" s="88" t="n">
        <f aca="false">IF($D$4="PLANILHA PARA LICITAÇÃO (PRECIFICAÇÃO)",L78,0)</f>
        <v>8</v>
      </c>
      <c r="H78" s="89" t="n">
        <f aca="false">G78*P78</f>
        <v>111.92</v>
      </c>
      <c r="I78" s="90" t="str">
        <f aca="false">IF(G78&lt;L78,"Fornecimento inferior ao estimado mensalmente",IF(G78=L78,"Fornecimento igual ao estimado mensalmente",IF(G78&gt;L78,"Fornecimento superior ao estimado mensalmente",)))</f>
        <v>Fornecimento igual ao estimado mensalmente</v>
      </c>
      <c r="J78" s="90"/>
      <c r="K78" s="90"/>
      <c r="L78" s="91" t="n">
        <f aca="false">M78/O78</f>
        <v>8</v>
      </c>
      <c r="M78" s="92" t="n">
        <f aca="false">Mat!J54</f>
        <v>8</v>
      </c>
      <c r="N78" s="93" t="str">
        <f aca="false">Mat!K54</f>
        <v>Mensal</v>
      </c>
      <c r="O78" s="94" t="n">
        <f aca="false">IF(N78="MENSAL",1,IF(N78="BIMESTRAL",2,IF(N78="TRIMESTRAL",3,IF(N78="QUADRIMESTRAL",4,IF(N78="SEMESTRAL",6,IF(N78="ANUAL",12,IF(N78="BIENAL",24,"")))))))</f>
        <v>1</v>
      </c>
      <c r="P78" s="106" t="n">
        <v>13.99</v>
      </c>
      <c r="Q78" s="48" t="n">
        <f aca="false">ROUND(IF(Dados!$J$65="SIM",P78*Dados!$N$65,P78),2)</f>
        <v>13.99</v>
      </c>
      <c r="R78" s="48" t="n">
        <f aca="false">ROUND(IF(Dados!$J$66="SIM",Q78*Dados!$N$66,Q78),2)</f>
        <v>13.99</v>
      </c>
      <c r="S78" s="48" t="n">
        <f aca="false">ROUND(IF(Dados!$J$67="SIM",R78*Dados!$N$67,R78),2)</f>
        <v>13.99</v>
      </c>
      <c r="T78" s="48" t="n">
        <f aca="false">ROUND(IF(Dados!$J$68="SIM",S78*Dados!$N$68,S78),2)</f>
        <v>13.99</v>
      </c>
      <c r="U78" s="96" t="n">
        <f aca="false">ROUND(IF(Dados!$J$69="SIM",T78*Dados!$N$69,T78),2)</f>
        <v>13.99</v>
      </c>
      <c r="V78" s="71" t="n">
        <f aca="false">IF(Dados!$D$78="INICIAL",'Ocorrências Mensais - FAT'!P78,IF(Dados!$D$78="1º IPCA",'Ocorrências Mensais - FAT'!Q78,IF(Dados!$D$78="2º IPCA",'Ocorrências Mensais - FAT'!R78,IF(Dados!$D$78="3º IPCA",'Ocorrências Mensais - FAT'!S78,IF(Dados!$D$78="4º IPCA",'Ocorrências Mensais - FAT'!T78,IF(Dados!$D$78="5º IPCA",'Ocorrências Mensais - FAT'!U78,))))))</f>
        <v>13.99</v>
      </c>
    </row>
    <row r="79" s="1" customFormat="true" ht="15" hidden="true" customHeight="true" outlineLevel="0" collapsed="false">
      <c r="A79" s="107" t="n">
        <v>47</v>
      </c>
      <c r="B79" s="100" t="s">
        <v>148</v>
      </c>
      <c r="C79" s="100"/>
      <c r="D79" s="100"/>
      <c r="E79" s="87" t="s">
        <v>146</v>
      </c>
      <c r="F79" s="87"/>
      <c r="G79" s="88" t="n">
        <f aca="false">IF($D$4="PLANILHA PARA LICITAÇÃO (PRECIFICAÇÃO)",L79,0)</f>
        <v>6</v>
      </c>
      <c r="H79" s="89" t="n">
        <f aca="false">G79*P79</f>
        <v>110.4</v>
      </c>
      <c r="I79" s="90" t="str">
        <f aca="false">IF(G79&lt;L79,"Fornecimento inferior ao estimado mensalmente",IF(G79=L79,"Fornecimento igual ao estimado mensalmente",IF(G79&gt;L79,"Fornecimento superior ao estimado mensalmente",)))</f>
        <v>Fornecimento igual ao estimado mensalmente</v>
      </c>
      <c r="J79" s="90"/>
      <c r="K79" s="90"/>
      <c r="L79" s="91" t="n">
        <f aca="false">M79/O79</f>
        <v>6</v>
      </c>
      <c r="M79" s="92" t="n">
        <f aca="false">Mat!J55</f>
        <v>6</v>
      </c>
      <c r="N79" s="93" t="str">
        <f aca="false">Mat!K55</f>
        <v>Mensal</v>
      </c>
      <c r="O79" s="94" t="n">
        <f aca="false">IF(N79="MENSAL",1,IF(N79="BIMESTRAL",2,IF(N79="TRIMESTRAL",3,IF(N79="QUADRIMESTRAL",4,IF(N79="SEMESTRAL",6,IF(N79="ANUAL",12,IF(N79="BIENAL",24,"")))))))</f>
        <v>1</v>
      </c>
      <c r="P79" s="106" t="n">
        <v>18.4</v>
      </c>
      <c r="Q79" s="48" t="n">
        <f aca="false">ROUND(IF(Dados!$J$65="SIM",P79*Dados!$N$65,P79),2)</f>
        <v>18.4</v>
      </c>
      <c r="R79" s="48" t="n">
        <f aca="false">ROUND(IF(Dados!$J$66="SIM",Q79*Dados!$N$66,Q79),2)</f>
        <v>18.4</v>
      </c>
      <c r="S79" s="48" t="n">
        <f aca="false">ROUND(IF(Dados!$J$67="SIM",R79*Dados!$N$67,R79),2)</f>
        <v>18.4</v>
      </c>
      <c r="T79" s="48" t="n">
        <f aca="false">ROUND(IF(Dados!$J$68="SIM",S79*Dados!$N$68,S79),2)</f>
        <v>18.4</v>
      </c>
      <c r="U79" s="96" t="n">
        <f aca="false">ROUND(IF(Dados!$J$69="SIM",T79*Dados!$N$69,T79),2)</f>
        <v>18.4</v>
      </c>
      <c r="V79" s="71" t="n">
        <f aca="false">IF(Dados!$D$78="INICIAL",'Ocorrências Mensais - FAT'!P79,IF(Dados!$D$78="1º IPCA",'Ocorrências Mensais - FAT'!Q79,IF(Dados!$D$78="2º IPCA",'Ocorrências Mensais - FAT'!R79,IF(Dados!$D$78="3º IPCA",'Ocorrências Mensais - FAT'!S79,IF(Dados!$D$78="4º IPCA",'Ocorrências Mensais - FAT'!T79,IF(Dados!$D$78="5º IPCA",'Ocorrências Mensais - FAT'!U79,))))))</f>
        <v>18.4</v>
      </c>
    </row>
    <row r="80" s="1" customFormat="true" ht="15" hidden="true" customHeight="true" outlineLevel="0" collapsed="false">
      <c r="A80" s="107" t="n">
        <v>48</v>
      </c>
      <c r="B80" s="86" t="s">
        <v>149</v>
      </c>
      <c r="C80" s="86"/>
      <c r="D80" s="86"/>
      <c r="E80" s="87" t="s">
        <v>146</v>
      </c>
      <c r="F80" s="87"/>
      <c r="G80" s="88" t="n">
        <f aca="false">IF($D$4="PLANILHA PARA LICITAÇÃO (PRECIFICAÇÃO)",L80,0)</f>
        <v>7</v>
      </c>
      <c r="H80" s="89" t="n">
        <f aca="false">G80*P80</f>
        <v>189.77</v>
      </c>
      <c r="I80" s="90" t="str">
        <f aca="false">IF(G80&lt;L80,"Fornecimento inferior ao estimado mensalmente",IF(G80=L80,"Fornecimento igual ao estimado mensalmente",IF(G80&gt;L80,"Fornecimento superior ao estimado mensalmente",)))</f>
        <v>Fornecimento igual ao estimado mensalmente</v>
      </c>
      <c r="J80" s="90"/>
      <c r="K80" s="90"/>
      <c r="L80" s="91" t="n">
        <f aca="false">M80/O80</f>
        <v>7</v>
      </c>
      <c r="M80" s="92" t="n">
        <f aca="false">Mat!J56</f>
        <v>7</v>
      </c>
      <c r="N80" s="93" t="str">
        <f aca="false">Mat!K56</f>
        <v>Mensal</v>
      </c>
      <c r="O80" s="94" t="n">
        <f aca="false">IF(N80="MENSAL",1,IF(N80="BIMESTRAL",2,IF(N80="TRIMESTRAL",3,IF(N80="QUADRIMESTRAL",4,IF(N80="SEMESTRAL",6,IF(N80="ANUAL",12,IF(N80="BIENAL",24,"")))))))</f>
        <v>1</v>
      </c>
      <c r="P80" s="106" t="n">
        <v>27.11</v>
      </c>
      <c r="Q80" s="48" t="n">
        <f aca="false">ROUND(IF(Dados!$J$65="SIM",P80*Dados!$N$65,P80),2)</f>
        <v>27.11</v>
      </c>
      <c r="R80" s="48" t="n">
        <f aca="false">ROUND(IF(Dados!$J$66="SIM",Q80*Dados!$N$66,Q80),2)</f>
        <v>27.11</v>
      </c>
      <c r="S80" s="48" t="n">
        <f aca="false">ROUND(IF(Dados!$J$67="SIM",R80*Dados!$N$67,R80),2)</f>
        <v>27.11</v>
      </c>
      <c r="T80" s="48" t="n">
        <f aca="false">ROUND(IF(Dados!$J$68="SIM",S80*Dados!$N$68,S80),2)</f>
        <v>27.11</v>
      </c>
      <c r="U80" s="96" t="n">
        <f aca="false">ROUND(IF(Dados!$J$69="SIM",T80*Dados!$N$69,T80),2)</f>
        <v>27.11</v>
      </c>
      <c r="V80" s="71" t="n">
        <f aca="false">IF(Dados!$D$78="INICIAL",'Ocorrências Mensais - FAT'!P80,IF(Dados!$D$78="1º IPCA",'Ocorrências Mensais - FAT'!Q80,IF(Dados!$D$78="2º IPCA",'Ocorrências Mensais - FAT'!R80,IF(Dados!$D$78="3º IPCA",'Ocorrências Mensais - FAT'!S80,IF(Dados!$D$78="4º IPCA",'Ocorrências Mensais - FAT'!T80,IF(Dados!$D$78="5º IPCA",'Ocorrências Mensais - FAT'!U80,))))))</f>
        <v>27.11</v>
      </c>
    </row>
    <row r="81" s="1" customFormat="true" ht="15" hidden="true" customHeight="true" outlineLevel="0" collapsed="false">
      <c r="A81" s="107" t="n">
        <v>49</v>
      </c>
      <c r="B81" s="101" t="s">
        <v>150</v>
      </c>
      <c r="C81" s="101"/>
      <c r="D81" s="101"/>
      <c r="E81" s="87" t="s">
        <v>86</v>
      </c>
      <c r="F81" s="108"/>
      <c r="G81" s="88" t="n">
        <f aca="false">IF($D$4="PLANILHA PARA LICITAÇÃO (PRECIFICAÇÃO)",L81,0)</f>
        <v>0.333333333333333</v>
      </c>
      <c r="H81" s="89" t="n">
        <f aca="false">G81*P81</f>
        <v>9.73333333333333</v>
      </c>
      <c r="I81" s="90" t="str">
        <f aca="false">IF(G81&lt;L81,"Fornecimento inferior ao estimado mensalmente",IF(G81=L81,"Fornecimento igual ao estimado mensalmente",IF(G81&gt;L81,"Fornecimento superior ao estimado mensalmente",)))</f>
        <v>Fornecimento igual ao estimado mensalmente</v>
      </c>
      <c r="J81" s="90"/>
      <c r="K81" s="90"/>
      <c r="L81" s="91" t="n">
        <f aca="false">M81/O81</f>
        <v>0.333333333333333</v>
      </c>
      <c r="M81" s="92" t="n">
        <f aca="false">Mat!J57</f>
        <v>1</v>
      </c>
      <c r="N81" s="93" t="str">
        <f aca="false">Mat!K57</f>
        <v>Trimestral</v>
      </c>
      <c r="O81" s="94" t="n">
        <f aca="false">IF(N81="MENSAL",1,IF(N81="BIMESTRAL",2,IF(N81="TRIMESTRAL",3,IF(N81="QUADRIMESTRAL",4,IF(N81="SEMESTRAL",6,IF(N81="ANUAL",12,IF(N81="BIENAL",24,"")))))))</f>
        <v>3</v>
      </c>
      <c r="P81" s="106" t="n">
        <v>29.2</v>
      </c>
      <c r="Q81" s="48" t="n">
        <f aca="false">ROUND(IF(Dados!$J$65="SIM",P81*Dados!$N$65,P81),2)</f>
        <v>29.2</v>
      </c>
      <c r="R81" s="48" t="n">
        <f aca="false">ROUND(IF(Dados!$J$66="SIM",Q81*Dados!$N$66,Q81),2)</f>
        <v>29.2</v>
      </c>
      <c r="S81" s="48" t="n">
        <f aca="false">ROUND(IF(Dados!$J$67="SIM",R81*Dados!$N$67,R81),2)</f>
        <v>29.2</v>
      </c>
      <c r="T81" s="48" t="n">
        <f aca="false">ROUND(IF(Dados!$J$68="SIM",S81*Dados!$N$68,S81),2)</f>
        <v>29.2</v>
      </c>
      <c r="U81" s="96" t="n">
        <f aca="false">ROUND(IF(Dados!$J$69="SIM",T81*Dados!$N$69,T81),2)</f>
        <v>29.2</v>
      </c>
      <c r="V81" s="71" t="n">
        <f aca="false">IF(Dados!$D$78="INICIAL",'Ocorrências Mensais - FAT'!P81,IF(Dados!$D$78="1º IPCA",'Ocorrências Mensais - FAT'!Q81,IF(Dados!$D$78="2º IPCA",'Ocorrências Mensais - FAT'!R81,IF(Dados!$D$78="3º IPCA",'Ocorrências Mensais - FAT'!S81,IF(Dados!$D$78="4º IPCA",'Ocorrências Mensais - FAT'!T81,IF(Dados!$D$78="5º IPCA",'Ocorrências Mensais - FAT'!U81,))))))</f>
        <v>29.2</v>
      </c>
    </row>
    <row r="82" s="1" customFormat="true" ht="15" hidden="true" customHeight="true" outlineLevel="0" collapsed="false">
      <c r="A82" s="107" t="n">
        <v>50</v>
      </c>
      <c r="B82" s="100" t="s">
        <v>151</v>
      </c>
      <c r="C82" s="100"/>
      <c r="D82" s="100"/>
      <c r="E82" s="87" t="s">
        <v>86</v>
      </c>
      <c r="F82" s="87"/>
      <c r="G82" s="88" t="n">
        <f aca="false">IF($D$4="PLANILHA PARA LICITAÇÃO (PRECIFICAÇÃO)",L82,0)</f>
        <v>1.5</v>
      </c>
      <c r="H82" s="89" t="n">
        <f aca="false">G82*P82</f>
        <v>25.59</v>
      </c>
      <c r="I82" s="90" t="str">
        <f aca="false">IF(G82&lt;L82,"Fornecimento inferior ao estimado mensalmente",IF(G82=L82,"Fornecimento igual ao estimado mensalmente",IF(G82&gt;L82,"Fornecimento superior ao estimado mensalmente",)))</f>
        <v>Fornecimento igual ao estimado mensalmente</v>
      </c>
      <c r="J82" s="90"/>
      <c r="K82" s="90"/>
      <c r="L82" s="91" t="n">
        <f aca="false">M82/O82</f>
        <v>1.5</v>
      </c>
      <c r="M82" s="92" t="n">
        <f aca="false">Mat!J58</f>
        <v>6</v>
      </c>
      <c r="N82" s="93" t="str">
        <f aca="false">Mat!K58</f>
        <v>Quadrimestral</v>
      </c>
      <c r="O82" s="94" t="n">
        <f aca="false">IF(N82="MENSAL",1,IF(N82="BIMESTRAL",2,IF(N82="TRIMESTRAL",3,IF(N82="QUADRIMESTRAL",4,IF(N82="SEMESTRAL",6,IF(N82="ANUAL",12,IF(N82="BIENAL",24,"")))))))</f>
        <v>4</v>
      </c>
      <c r="P82" s="106" t="n">
        <v>17.06</v>
      </c>
      <c r="Q82" s="48" t="n">
        <f aca="false">ROUND(IF(Dados!$J$65="SIM",P82*Dados!$N$65,P82),2)</f>
        <v>17.06</v>
      </c>
      <c r="R82" s="48" t="n">
        <f aca="false">ROUND(IF(Dados!$J$66="SIM",Q82*Dados!$N$66,Q82),2)</f>
        <v>17.06</v>
      </c>
      <c r="S82" s="48" t="n">
        <f aca="false">ROUND(IF(Dados!$J$67="SIM",R82*Dados!$N$67,R82),2)</f>
        <v>17.06</v>
      </c>
      <c r="T82" s="48" t="n">
        <f aca="false">ROUND(IF(Dados!$J$68="SIM",S82*Dados!$N$68,S82),2)</f>
        <v>17.06</v>
      </c>
      <c r="U82" s="96" t="n">
        <f aca="false">ROUND(IF(Dados!$J$69="SIM",T82*Dados!$N$69,T82),2)</f>
        <v>17.06</v>
      </c>
      <c r="V82" s="71" t="n">
        <f aca="false">IF(Dados!$D$78="INICIAL",'Ocorrências Mensais - FAT'!P82,IF(Dados!$D$78="1º IPCA",'Ocorrências Mensais - FAT'!Q82,IF(Dados!$D$78="2º IPCA",'Ocorrências Mensais - FAT'!R82,IF(Dados!$D$78="3º IPCA",'Ocorrências Mensais - FAT'!S82,IF(Dados!$D$78="4º IPCA",'Ocorrências Mensais - FAT'!T82,IF(Dados!$D$78="5º IPCA",'Ocorrências Mensais - FAT'!U82,))))))</f>
        <v>17.06</v>
      </c>
    </row>
    <row r="83" s="1" customFormat="true" ht="15" hidden="true" customHeight="true" outlineLevel="0" collapsed="false">
      <c r="A83" s="107" t="n">
        <v>51</v>
      </c>
      <c r="B83" s="100" t="s">
        <v>152</v>
      </c>
      <c r="C83" s="100"/>
      <c r="D83" s="100"/>
      <c r="E83" s="87" t="s">
        <v>86</v>
      </c>
      <c r="F83" s="87"/>
      <c r="G83" s="88" t="n">
        <f aca="false">IF($D$4="PLANILHA PARA LICITAÇÃO (PRECIFICAÇÃO)",L83,0)</f>
        <v>1</v>
      </c>
      <c r="H83" s="89" t="n">
        <f aca="false">G83*P83</f>
        <v>24.27</v>
      </c>
      <c r="I83" s="90" t="str">
        <f aca="false">IF(G83&lt;L83,"Fornecimento inferior ao estimado mensalmente",IF(G83=L83,"Fornecimento igual ao estimado mensalmente",IF(G83&gt;L83,"Fornecimento superior ao estimado mensalmente",)))</f>
        <v>Fornecimento igual ao estimado mensalmente</v>
      </c>
      <c r="J83" s="90"/>
      <c r="K83" s="90"/>
      <c r="L83" s="91" t="n">
        <f aca="false">M83/O83</f>
        <v>1</v>
      </c>
      <c r="M83" s="92" t="n">
        <f aca="false">Mat!J59</f>
        <v>2</v>
      </c>
      <c r="N83" s="93" t="str">
        <f aca="false">Mat!K59</f>
        <v>Bimestral</v>
      </c>
      <c r="O83" s="94" t="n">
        <f aca="false">IF(N83="MENSAL",1,IF(N83="BIMESTRAL",2,IF(N83="TRIMESTRAL",3,IF(N83="QUADRIMESTRAL",4,IF(N83="SEMESTRAL",6,IF(N83="ANUAL",12,IF(N83="BIENAL",24,"")))))))</f>
        <v>2</v>
      </c>
      <c r="P83" s="106" t="n">
        <v>24.27</v>
      </c>
      <c r="Q83" s="48" t="n">
        <f aca="false">ROUND(IF(Dados!$J$65="SIM",P83*Dados!$N$65,P83),2)</f>
        <v>24.27</v>
      </c>
      <c r="R83" s="48" t="n">
        <f aca="false">ROUND(IF(Dados!$J$66="SIM",Q83*Dados!$N$66,Q83),2)</f>
        <v>24.27</v>
      </c>
      <c r="S83" s="48" t="n">
        <f aca="false">ROUND(IF(Dados!$J$67="SIM",R83*Dados!$N$67,R83),2)</f>
        <v>24.27</v>
      </c>
      <c r="T83" s="48" t="n">
        <f aca="false">ROUND(IF(Dados!$J$68="SIM",S83*Dados!$N$68,S83),2)</f>
        <v>24.27</v>
      </c>
      <c r="U83" s="96" t="n">
        <f aca="false">ROUND(IF(Dados!$J$69="SIM",T83*Dados!$N$69,T83),2)</f>
        <v>24.27</v>
      </c>
      <c r="V83" s="71" t="n">
        <f aca="false">IF(Dados!$D$78="INICIAL",'Ocorrências Mensais - FAT'!P83,IF(Dados!$D$78="1º IPCA",'Ocorrências Mensais - FAT'!Q83,IF(Dados!$D$78="2º IPCA",'Ocorrências Mensais - FAT'!R83,IF(Dados!$D$78="3º IPCA",'Ocorrências Mensais - FAT'!S83,IF(Dados!$D$78="4º IPCA",'Ocorrências Mensais - FAT'!T83,IF(Dados!$D$78="5º IPCA",'Ocorrências Mensais - FAT'!U83,))))))</f>
        <v>24.27</v>
      </c>
    </row>
    <row r="84" s="1" customFormat="true" ht="15" hidden="true" customHeight="true" outlineLevel="0" collapsed="false">
      <c r="A84" s="107" t="n">
        <v>52</v>
      </c>
      <c r="B84" s="100" t="s">
        <v>153</v>
      </c>
      <c r="C84" s="100"/>
      <c r="D84" s="100"/>
      <c r="E84" s="87" t="s">
        <v>86</v>
      </c>
      <c r="F84" s="87"/>
      <c r="G84" s="88" t="n">
        <f aca="false">IF($D$4="PLANILHA PARA LICITAÇÃO (PRECIFICAÇÃO)",L84,0)</f>
        <v>0.166666666666667</v>
      </c>
      <c r="H84" s="89" t="n">
        <f aca="false">G84*P84</f>
        <v>3.42833333333333</v>
      </c>
      <c r="I84" s="90" t="str">
        <f aca="false">IF(G84&lt;L84,"Fornecimento inferior ao estimado mensalmente",IF(G84=L84,"Fornecimento igual ao estimado mensalmente",IF(G84&gt;L84,"Fornecimento superior ao estimado mensalmente",)))</f>
        <v>Fornecimento igual ao estimado mensalmente</v>
      </c>
      <c r="J84" s="90"/>
      <c r="K84" s="90"/>
      <c r="L84" s="91" t="n">
        <f aca="false">M84/O84</f>
        <v>0.166666666666667</v>
      </c>
      <c r="M84" s="92" t="n">
        <f aca="false">Mat!J60</f>
        <v>2</v>
      </c>
      <c r="N84" s="93" t="str">
        <f aca="false">Mat!K60</f>
        <v>Anual</v>
      </c>
      <c r="O84" s="94" t="n">
        <f aca="false">IF(N84="MENSAL",1,IF(N84="BIMESTRAL",2,IF(N84="TRIMESTRAL",3,IF(N84="QUADRIMESTRAL",4,IF(N84="SEMESTRAL",6,IF(N84="ANUAL",12,IF(N84="BIENAL",24,"")))))))</f>
        <v>12</v>
      </c>
      <c r="P84" s="106" t="n">
        <v>20.57</v>
      </c>
      <c r="Q84" s="48" t="n">
        <f aca="false">ROUND(IF(Dados!$J$65="SIM",P84*Dados!$N$65,P84),2)</f>
        <v>20.57</v>
      </c>
      <c r="R84" s="48" t="n">
        <f aca="false">ROUND(IF(Dados!$J$66="SIM",Q84*Dados!$N$66,Q84),2)</f>
        <v>20.57</v>
      </c>
      <c r="S84" s="48" t="n">
        <f aca="false">ROUND(IF(Dados!$J$67="SIM",R84*Dados!$N$67,R84),2)</f>
        <v>20.57</v>
      </c>
      <c r="T84" s="48" t="n">
        <f aca="false">ROUND(IF(Dados!$J$68="SIM",S84*Dados!$N$68,S84),2)</f>
        <v>20.57</v>
      </c>
      <c r="U84" s="96" t="n">
        <f aca="false">ROUND(IF(Dados!$J$69="SIM",T84*Dados!$N$69,T84),2)</f>
        <v>20.57</v>
      </c>
      <c r="V84" s="71" t="n">
        <f aca="false">IF(Dados!$D$78="INICIAL",'Ocorrências Mensais - FAT'!P84,IF(Dados!$D$78="1º IPCA",'Ocorrências Mensais - FAT'!Q84,IF(Dados!$D$78="2º IPCA",'Ocorrências Mensais - FAT'!R84,IF(Dados!$D$78="3º IPCA",'Ocorrências Mensais - FAT'!S84,IF(Dados!$D$78="4º IPCA",'Ocorrências Mensais - FAT'!T84,IF(Dados!$D$78="5º IPCA",'Ocorrências Mensais - FAT'!U84,))))))</f>
        <v>20.57</v>
      </c>
    </row>
    <row r="85" s="1" customFormat="true" ht="15" hidden="true" customHeight="true" outlineLevel="0" collapsed="false">
      <c r="A85" s="107" t="n">
        <v>53</v>
      </c>
      <c r="B85" s="100" t="s">
        <v>154</v>
      </c>
      <c r="C85" s="100"/>
      <c r="D85" s="100"/>
      <c r="E85" s="87" t="s">
        <v>86</v>
      </c>
      <c r="F85" s="87"/>
      <c r="G85" s="88" t="n">
        <f aca="false">IF($D$4="PLANILHA PARA LICITAÇÃO (PRECIFICAÇÃO)",L85,0)</f>
        <v>15</v>
      </c>
      <c r="H85" s="89" t="n">
        <f aca="false">G85*P85</f>
        <v>165.15</v>
      </c>
      <c r="I85" s="90" t="str">
        <f aca="false">IF(G85&lt;L85,"Fornecimento inferior ao estimado mensalmente",IF(G85=L85,"Fornecimento igual ao estimado mensalmente",IF(G85&gt;L85,"Fornecimento superior ao estimado mensalmente",)))</f>
        <v>Fornecimento igual ao estimado mensalmente</v>
      </c>
      <c r="J85" s="90"/>
      <c r="K85" s="90"/>
      <c r="L85" s="91" t="n">
        <f aca="false">M85/O85</f>
        <v>15</v>
      </c>
      <c r="M85" s="92" t="n">
        <f aca="false">Mat!J61</f>
        <v>15</v>
      </c>
      <c r="N85" s="93" t="str">
        <f aca="false">Mat!K61</f>
        <v>Mensal</v>
      </c>
      <c r="O85" s="94" t="n">
        <f aca="false">IF(N85="MENSAL",1,IF(N85="BIMESTRAL",2,IF(N85="TRIMESTRAL",3,IF(N85="QUADRIMESTRAL",4,IF(N85="SEMESTRAL",6,IF(N85="ANUAL",12,IF(N85="BIENAL",24,"")))))))</f>
        <v>1</v>
      </c>
      <c r="P85" s="106" t="n">
        <v>11.01</v>
      </c>
      <c r="Q85" s="48" t="n">
        <f aca="false">ROUND(IF(Dados!$J$65="SIM",P85*Dados!$N$65,P85),2)</f>
        <v>11.01</v>
      </c>
      <c r="R85" s="48" t="n">
        <f aca="false">ROUND(IF(Dados!$J$66="SIM",Q85*Dados!$N$66,Q85),2)</f>
        <v>11.01</v>
      </c>
      <c r="S85" s="48" t="n">
        <f aca="false">ROUND(IF(Dados!$J$67="SIM",R85*Dados!$N$67,R85),2)</f>
        <v>11.01</v>
      </c>
      <c r="T85" s="48" t="n">
        <f aca="false">ROUND(IF(Dados!$J$68="SIM",S85*Dados!$N$68,S85),2)</f>
        <v>11.01</v>
      </c>
      <c r="U85" s="96" t="n">
        <f aca="false">ROUND(IF(Dados!$J$69="SIM",T85*Dados!$N$69,T85),2)</f>
        <v>11.01</v>
      </c>
      <c r="V85" s="71" t="n">
        <f aca="false">IF(Dados!$D$78="INICIAL",'Ocorrências Mensais - FAT'!P85,IF(Dados!$D$78="1º IPCA",'Ocorrências Mensais - FAT'!Q85,IF(Dados!$D$78="2º IPCA",'Ocorrências Mensais - FAT'!R85,IF(Dados!$D$78="3º IPCA",'Ocorrências Mensais - FAT'!S85,IF(Dados!$D$78="4º IPCA",'Ocorrências Mensais - FAT'!T85,IF(Dados!$D$78="5º IPCA",'Ocorrências Mensais - FAT'!U85,))))))</f>
        <v>11.01</v>
      </c>
    </row>
    <row r="86" s="1" customFormat="true" ht="15" hidden="true" customHeight="true" outlineLevel="0" collapsed="false">
      <c r="A86" s="107" t="n">
        <v>54</v>
      </c>
      <c r="B86" s="100" t="s">
        <v>155</v>
      </c>
      <c r="C86" s="100"/>
      <c r="D86" s="100"/>
      <c r="E86" s="87" t="s">
        <v>86</v>
      </c>
      <c r="F86" s="87"/>
      <c r="G86" s="88" t="n">
        <f aca="false">IF($D$4="PLANILHA PARA LICITAÇÃO (PRECIFICAÇÃO)",L86,0)</f>
        <v>3.33333333333333</v>
      </c>
      <c r="H86" s="89" t="n">
        <f aca="false">G86*P86</f>
        <v>28.8333333333333</v>
      </c>
      <c r="I86" s="90" t="str">
        <f aca="false">IF(G86&lt;L86,"Fornecimento inferior ao estimado mensalmente",IF(G86=L86,"Fornecimento igual ao estimado mensalmente",IF(G86&gt;L86,"Fornecimento superior ao estimado mensalmente",)))</f>
        <v>Fornecimento igual ao estimado mensalmente</v>
      </c>
      <c r="J86" s="90"/>
      <c r="K86" s="90"/>
      <c r="L86" s="91" t="n">
        <f aca="false">M86/O86</f>
        <v>3.33333333333333</v>
      </c>
      <c r="M86" s="92" t="n">
        <f aca="false">Mat!J62</f>
        <v>10</v>
      </c>
      <c r="N86" s="93" t="str">
        <f aca="false">Mat!K62</f>
        <v>Trimestral</v>
      </c>
      <c r="O86" s="94" t="n">
        <f aca="false">IF(N86="MENSAL",1,IF(N86="BIMESTRAL",2,IF(N86="TRIMESTRAL",3,IF(N86="QUADRIMESTRAL",4,IF(N86="SEMESTRAL",6,IF(N86="ANUAL",12,IF(N86="BIENAL",24,"")))))))</f>
        <v>3</v>
      </c>
      <c r="P86" s="106" t="n">
        <v>8.65</v>
      </c>
      <c r="Q86" s="48" t="n">
        <f aca="false">ROUND(IF(Dados!$J$65="SIM",P86*Dados!$N$65,P86),2)</f>
        <v>8.65</v>
      </c>
      <c r="R86" s="48" t="n">
        <f aca="false">ROUND(IF(Dados!$J$66="SIM",Q86*Dados!$N$66,Q86),2)</f>
        <v>8.65</v>
      </c>
      <c r="S86" s="48" t="n">
        <f aca="false">ROUND(IF(Dados!$J$67="SIM",R86*Dados!$N$67,R86),2)</f>
        <v>8.65</v>
      </c>
      <c r="T86" s="48" t="n">
        <f aca="false">ROUND(IF(Dados!$J$68="SIM",S86*Dados!$N$68,S86),2)</f>
        <v>8.65</v>
      </c>
      <c r="U86" s="96" t="n">
        <f aca="false">ROUND(IF(Dados!$J$69="SIM",T86*Dados!$N$69,T86),2)</f>
        <v>8.65</v>
      </c>
      <c r="V86" s="71" t="n">
        <f aca="false">IF(Dados!$D$78="INICIAL",'Ocorrências Mensais - FAT'!P86,IF(Dados!$D$78="1º IPCA",'Ocorrências Mensais - FAT'!Q86,IF(Dados!$D$78="2º IPCA",'Ocorrências Mensais - FAT'!R86,IF(Dados!$D$78="3º IPCA",'Ocorrências Mensais - FAT'!S86,IF(Dados!$D$78="4º IPCA",'Ocorrências Mensais - FAT'!T86,IF(Dados!$D$78="5º IPCA",'Ocorrências Mensais - FAT'!U86,))))))</f>
        <v>8.65</v>
      </c>
    </row>
    <row r="87" s="1" customFormat="true" ht="25.5" hidden="true" customHeight="true" outlineLevel="0" collapsed="false">
      <c r="A87" s="107" t="n">
        <v>55</v>
      </c>
      <c r="B87" s="100" t="s">
        <v>155</v>
      </c>
      <c r="C87" s="100"/>
      <c r="D87" s="100"/>
      <c r="E87" s="87" t="s">
        <v>86</v>
      </c>
      <c r="F87" s="87"/>
      <c r="G87" s="88" t="n">
        <f aca="false">IF($D$4="PLANILHA PARA LICITAÇÃO (PRECIFICAÇÃO)",L87,0)</f>
        <v>3.33333333333333</v>
      </c>
      <c r="H87" s="89" t="n">
        <f aca="false">G87*P87</f>
        <v>10.7333333333333</v>
      </c>
      <c r="I87" s="90" t="str">
        <f aca="false">IF(G87&lt;L87,"Fornecimento inferior ao estimado mensalmente",IF(G87=L87,"Fornecimento igual ao estimado mensalmente",IF(G87&gt;L87,"Fornecimento superior ao estimado mensalmente",)))</f>
        <v>Fornecimento igual ao estimado mensalmente</v>
      </c>
      <c r="J87" s="90"/>
      <c r="K87" s="90"/>
      <c r="L87" s="91" t="n">
        <f aca="false">M87/O87</f>
        <v>3.33333333333333</v>
      </c>
      <c r="M87" s="92" t="n">
        <f aca="false">Mat!J63</f>
        <v>10</v>
      </c>
      <c r="N87" s="93" t="str">
        <f aca="false">Mat!K63</f>
        <v>Trimestral</v>
      </c>
      <c r="O87" s="109" t="n">
        <f aca="false">IF(N87="MENSAL",1,IF(N87="BIMESTRAL",2,IF(N87="TRIMESTRAL",3,IF(N87="QUADRIMESTRAL",4,IF(N87="SEMESTRAL",6,IF(N87="ANUAL",12,IF(N87="BIENAL",24,"")))))))</f>
        <v>3</v>
      </c>
      <c r="P87" s="106" t="n">
        <v>3.22</v>
      </c>
      <c r="Q87" s="48" t="n">
        <f aca="false">ROUND(IF(Dados!$J$65="SIM",P87*Dados!$N$65,P87),2)</f>
        <v>3.22</v>
      </c>
      <c r="R87" s="48" t="n">
        <f aca="false">ROUND(IF(Dados!$J$66="SIM",Q87*Dados!$N$66,Q87),2)</f>
        <v>3.22</v>
      </c>
      <c r="S87" s="48" t="n">
        <f aca="false">ROUND(IF(Dados!$J$67="SIM",R87*Dados!$N$67,R87),2)</f>
        <v>3.22</v>
      </c>
      <c r="T87" s="48" t="n">
        <f aca="false">ROUND(IF(Dados!$J$68="SIM",S87*Dados!$N$68,S87),2)</f>
        <v>3.22</v>
      </c>
      <c r="U87" s="96" t="n">
        <f aca="false">ROUND(IF(Dados!$J$69="SIM",T87*Dados!$N$69,T87),2)</f>
        <v>3.22</v>
      </c>
      <c r="V87" s="71" t="n">
        <f aca="false">IF(Dados!$D$78="INICIAL",'Ocorrências Mensais - FAT'!P87,IF(Dados!$D$78="1º IPCA",'Ocorrências Mensais - FAT'!Q87,IF(Dados!$D$78="2º IPCA",'Ocorrências Mensais - FAT'!R87,IF(Dados!$D$78="3º IPCA",'Ocorrências Mensais - FAT'!S87,IF(Dados!$D$78="4º IPCA",'Ocorrências Mensais - FAT'!T87,IF(Dados!$D$78="5º IPCA",'Ocorrências Mensais - FAT'!U87,))))))</f>
        <v>3.22</v>
      </c>
    </row>
    <row r="88" customFormat="false" ht="15" hidden="true" customHeight="true" outlineLevel="0" collapsed="false">
      <c r="A88" s="31" t="s">
        <v>156</v>
      </c>
      <c r="B88" s="31"/>
      <c r="C88" s="31"/>
      <c r="D88" s="31"/>
      <c r="E88" s="31"/>
      <c r="F88" s="31"/>
      <c r="G88" s="31"/>
      <c r="H88" s="110" t="n">
        <f aca="false">ROUND(SUM(H33:H87),2)</f>
        <v>7905.36</v>
      </c>
      <c r="I88" s="111"/>
      <c r="J88" s="111"/>
      <c r="K88" s="1"/>
      <c r="L88" s="1"/>
      <c r="M88" s="1"/>
      <c r="N88" s="112"/>
      <c r="O88" s="76"/>
      <c r="P88" s="112"/>
    </row>
    <row r="89" customFormat="false" ht="15" hidden="true" customHeight="true" outlineLevel="0" collapsed="false">
      <c r="A89" s="113" t="s">
        <v>157</v>
      </c>
      <c r="B89" s="113"/>
      <c r="C89" s="113"/>
      <c r="D89" s="113"/>
      <c r="E89" s="113"/>
      <c r="F89" s="113"/>
      <c r="G89" s="114" t="n">
        <f aca="false">Dados!$G$51</f>
        <v>0.03</v>
      </c>
      <c r="H89" s="115" t="n">
        <f aca="false">ROUND((H88*G89),2)</f>
        <v>237.16</v>
      </c>
      <c r="I89" s="111"/>
      <c r="J89" s="111"/>
      <c r="K89" s="1"/>
      <c r="L89" s="1"/>
      <c r="M89" s="1"/>
      <c r="N89" s="112"/>
      <c r="O89" s="76"/>
      <c r="P89" s="112"/>
    </row>
    <row r="90" customFormat="false" ht="15" hidden="true" customHeight="true" outlineLevel="0" collapsed="false">
      <c r="A90" s="113" t="s">
        <v>158</v>
      </c>
      <c r="B90" s="113"/>
      <c r="C90" s="113"/>
      <c r="D90" s="113"/>
      <c r="E90" s="113"/>
      <c r="F90" s="113"/>
      <c r="G90" s="114" t="n">
        <f aca="false">Dados!$G$52</f>
        <v>0.0679</v>
      </c>
      <c r="H90" s="115" t="n">
        <f aca="false">ROUND((SUM(H88:H89)*G90),2)</f>
        <v>552.88</v>
      </c>
      <c r="I90" s="111"/>
      <c r="J90" s="111"/>
      <c r="K90" s="1"/>
      <c r="L90" s="1"/>
      <c r="M90" s="1"/>
      <c r="N90" s="112"/>
      <c r="O90" s="76"/>
      <c r="P90" s="112"/>
    </row>
    <row r="91" customFormat="false" ht="15" hidden="true" customHeight="true" outlineLevel="0" collapsed="false">
      <c r="A91" s="113" t="s">
        <v>159</v>
      </c>
      <c r="B91" s="113"/>
      <c r="C91" s="113"/>
      <c r="D91" s="113"/>
      <c r="E91" s="113"/>
      <c r="F91" s="113"/>
      <c r="G91" s="114" t="n">
        <f aca="false">Dados!$G$64</f>
        <v>0.1725</v>
      </c>
      <c r="H91" s="115" t="n">
        <f aca="false">ROUND((H92*G91),2)</f>
        <v>1812.64</v>
      </c>
      <c r="I91" s="111"/>
      <c r="J91" s="111"/>
      <c r="K91" s="1"/>
      <c r="L91" s="1"/>
      <c r="M91" s="1"/>
      <c r="N91" s="112"/>
      <c r="O91" s="76"/>
      <c r="P91" s="112"/>
    </row>
    <row r="92" customFormat="false" ht="15.75" hidden="true" customHeight="true" outlineLevel="0" collapsed="false">
      <c r="A92" s="116" t="s">
        <v>160</v>
      </c>
      <c r="B92" s="116"/>
      <c r="C92" s="116"/>
      <c r="D92" s="116"/>
      <c r="E92" s="116"/>
      <c r="F92" s="116"/>
      <c r="G92" s="116"/>
      <c r="H92" s="117" t="n">
        <f aca="false">ROUND((SUM(H88:H90)/(1-G91)),2)</f>
        <v>10508.04</v>
      </c>
      <c r="I92" s="111"/>
      <c r="J92" s="111"/>
      <c r="K92" s="1"/>
      <c r="L92" s="1"/>
      <c r="M92" s="1"/>
      <c r="N92" s="112"/>
      <c r="O92" s="76"/>
      <c r="P92" s="112"/>
    </row>
    <row r="93" customFormat="false" ht="15" hidden="true" customHeight="false" outlineLevel="0" collapsed="false">
      <c r="A93" s="118"/>
      <c r="B93" s="76"/>
      <c r="C93" s="76"/>
      <c r="D93" s="76"/>
      <c r="E93" s="76"/>
      <c r="F93" s="76"/>
      <c r="G93" s="118"/>
      <c r="H93" s="76"/>
      <c r="I93" s="112"/>
      <c r="J93" s="112"/>
      <c r="K93" s="1"/>
      <c r="L93" s="1"/>
      <c r="M93" s="1"/>
      <c r="N93" s="76"/>
      <c r="O93" s="76"/>
      <c r="P93" s="76"/>
    </row>
    <row r="94" s="1" customFormat="true" ht="51.75" hidden="true" customHeight="true" outlineLevel="0" collapsed="false">
      <c r="A94" s="77" t="s">
        <v>61</v>
      </c>
      <c r="B94" s="119" t="s">
        <v>161</v>
      </c>
      <c r="C94" s="119"/>
      <c r="D94" s="119"/>
      <c r="E94" s="119"/>
      <c r="F94" s="120" t="s">
        <v>63</v>
      </c>
      <c r="G94" s="120"/>
      <c r="H94" s="120"/>
      <c r="I94" s="80" t="s">
        <v>64</v>
      </c>
      <c r="J94" s="80"/>
      <c r="K94" s="80"/>
      <c r="L94" s="121" t="s">
        <v>65</v>
      </c>
      <c r="M94" s="121"/>
      <c r="N94" s="121"/>
      <c r="O94" s="121"/>
      <c r="P94" s="81" t="s">
        <v>66</v>
      </c>
      <c r="Q94" s="81"/>
      <c r="R94" s="81"/>
      <c r="S94" s="81"/>
      <c r="T94" s="81"/>
      <c r="U94" s="81"/>
    </row>
    <row r="95" s="1" customFormat="true" ht="63.75" hidden="true" customHeight="true" outlineLevel="0" collapsed="false">
      <c r="A95" s="77"/>
      <c r="B95" s="70" t="s">
        <v>67</v>
      </c>
      <c r="C95" s="70"/>
      <c r="D95" s="70"/>
      <c r="E95" s="70" t="s">
        <v>68</v>
      </c>
      <c r="F95" s="70" t="s">
        <v>69</v>
      </c>
      <c r="G95" s="70" t="s">
        <v>70</v>
      </c>
      <c r="H95" s="82" t="s">
        <v>71</v>
      </c>
      <c r="I95" s="80"/>
      <c r="J95" s="80"/>
      <c r="K95" s="80"/>
      <c r="L95" s="77" t="s">
        <v>72</v>
      </c>
      <c r="M95" s="78" t="s">
        <v>73</v>
      </c>
      <c r="N95" s="78" t="s">
        <v>74</v>
      </c>
      <c r="O95" s="122" t="s">
        <v>75</v>
      </c>
      <c r="P95" s="84" t="s">
        <v>76</v>
      </c>
      <c r="Q95" s="70" t="s">
        <v>77</v>
      </c>
      <c r="R95" s="70" t="s">
        <v>78</v>
      </c>
      <c r="S95" s="70" t="s">
        <v>79</v>
      </c>
      <c r="T95" s="70" t="s">
        <v>80</v>
      </c>
      <c r="U95" s="82" t="s">
        <v>81</v>
      </c>
    </row>
    <row r="96" s="1" customFormat="true" ht="15" hidden="true" customHeight="true" outlineLevel="0" collapsed="false">
      <c r="A96" s="123" t="n">
        <v>1</v>
      </c>
      <c r="B96" s="124" t="s">
        <v>162</v>
      </c>
      <c r="C96" s="124"/>
      <c r="D96" s="124"/>
      <c r="E96" s="125" t="s">
        <v>163</v>
      </c>
      <c r="F96" s="124"/>
      <c r="G96" s="88" t="n">
        <f aca="false">IF($D$4="PLANILHA PARA LICITAÇÃO (PRECIFICAÇÃO)",L96,0)</f>
        <v>1.33333333333333</v>
      </c>
      <c r="H96" s="89" t="n">
        <f aca="false">G96*P96</f>
        <v>46.72</v>
      </c>
      <c r="I96" s="90" t="str">
        <f aca="false">IF(G96&lt;L96,"Fornecimento inferior ao estimado mensalmente",IF(G96=L96,"Fornecimento igual ao estimado mensalmente",IF(G96&gt;L96,"Fornecimento superior ao estimado mensalmente",)))</f>
        <v>Fornecimento igual ao estimado mensalmente</v>
      </c>
      <c r="J96" s="90"/>
      <c r="K96" s="90"/>
      <c r="L96" s="126" t="n">
        <f aca="false">M96/O96</f>
        <v>1.33333333333333</v>
      </c>
      <c r="M96" s="127" t="n">
        <f aca="false">Mat!J70</f>
        <v>8</v>
      </c>
      <c r="N96" s="128" t="str">
        <f aca="false">Mat!K70</f>
        <v>Semestral</v>
      </c>
      <c r="O96" s="109" t="n">
        <f aca="false">IF(N96="MENSAL",1,IF(N96="BIMESTRAL",2,IF(N96="TRIMESTRAL",3,IF(N96="QUADRIMESTRAL",4,IF(N96="SEMESTRAL",6,IF(N96="ANUAL",12,IF(N96="BIENAL",24,"")))))))</f>
        <v>6</v>
      </c>
      <c r="P96" s="95" t="n">
        <v>35.04</v>
      </c>
      <c r="Q96" s="48" t="n">
        <f aca="false">ROUND(IF(Dados!$J$65="SIM",P96*Dados!$N$65,P96),2)</f>
        <v>35.04</v>
      </c>
      <c r="R96" s="48" t="n">
        <f aca="false">ROUND(IF(Dados!$J$66="SIM",Q96*Dados!$N$66,Q96),2)</f>
        <v>35.04</v>
      </c>
      <c r="S96" s="48" t="n">
        <f aca="false">ROUND(IF(Dados!$J$67="SIM",R96*Dados!$N$67,R96),2)</f>
        <v>35.04</v>
      </c>
      <c r="T96" s="48" t="n">
        <f aca="false">ROUND(IF(Dados!$J$68="SIM",S96*Dados!$N$68,S96),2)</f>
        <v>35.04</v>
      </c>
      <c r="U96" s="96" t="n">
        <f aca="false">ROUND(IF(Dados!$J$69="SIM",T96*Dados!$N$69,T96),2)</f>
        <v>35.04</v>
      </c>
      <c r="V96" s="3" t="n">
        <f aca="false">IF(Dados!$D$78="INICIAL",'Ocorrências Mensais - FAT'!P96,IF(Dados!$D$78="1º IPCA",'Ocorrências Mensais - FAT'!Q96,IF(Dados!$D$78="2º IPCA",'Ocorrências Mensais - FAT'!R96,IF(Dados!$D$78="3º IPCA",'Ocorrências Mensais - FAT'!S96,IF(Dados!$D$78="4º IPCA",'Ocorrências Mensais - FAT'!T96,IF(Dados!$D$78="5º IPCA",'Ocorrências Mensais - FAT'!U96,))))))</f>
        <v>35.04</v>
      </c>
    </row>
    <row r="97" s="1" customFormat="true" ht="15" hidden="true" customHeight="true" outlineLevel="0" collapsed="false">
      <c r="A97" s="123" t="n">
        <v>2</v>
      </c>
      <c r="B97" s="124" t="s">
        <v>164</v>
      </c>
      <c r="C97" s="124"/>
      <c r="D97" s="124"/>
      <c r="E97" s="125" t="s">
        <v>163</v>
      </c>
      <c r="F97" s="124" t="s">
        <v>165</v>
      </c>
      <c r="G97" s="88" t="n">
        <f aca="false">IF($D$4="PLANILHA PARA LICITAÇÃO (PRECIFICAÇÃO)",L97,0)</f>
        <v>0.333333333333333</v>
      </c>
      <c r="H97" s="89" t="n">
        <f aca="false">G97*P97</f>
        <v>43.79</v>
      </c>
      <c r="I97" s="90" t="str">
        <f aca="false">IF(G97&lt;L97,"Fornecimento inferior ao estimado mensalmente",IF(G97=L97,"Fornecimento igual ao estimado mensalmente",IF(G97&gt;L97,"Fornecimento superior ao estimado mensalmente",)))</f>
        <v>Fornecimento igual ao estimado mensalmente</v>
      </c>
      <c r="J97" s="90"/>
      <c r="K97" s="90"/>
      <c r="L97" s="126" t="n">
        <f aca="false">M97/O97</f>
        <v>0.333333333333333</v>
      </c>
      <c r="M97" s="127" t="n">
        <f aca="false">Mat!J71</f>
        <v>2</v>
      </c>
      <c r="N97" s="128" t="str">
        <f aca="false">Mat!K71</f>
        <v>Semestral</v>
      </c>
      <c r="O97" s="109" t="n">
        <f aca="false">IF(N97="MENSAL",1,IF(N97="BIMESTRAL",2,IF(N97="TRIMESTRAL",3,IF(N97="QUADRIMESTRAL",4,IF(N97="SEMESTRAL",6,IF(N97="ANUAL",12,IF(N97="BIENAL",24,"")))))))</f>
        <v>6</v>
      </c>
      <c r="P97" s="95" t="n">
        <v>131.37</v>
      </c>
      <c r="Q97" s="48" t="n">
        <f aca="false">ROUND(IF(Dados!$J$65="SIM",P97*Dados!$N$65,P97),2)</f>
        <v>131.37</v>
      </c>
      <c r="R97" s="48" t="n">
        <f aca="false">ROUND(IF(Dados!$J$66="SIM",Q97*Dados!$N$66,Q97),2)</f>
        <v>131.37</v>
      </c>
      <c r="S97" s="48" t="n">
        <f aca="false">ROUND(IF(Dados!$J$67="SIM",R97*Dados!$N$67,R97),2)</f>
        <v>131.37</v>
      </c>
      <c r="T97" s="48" t="n">
        <f aca="false">ROUND(IF(Dados!$J$68="SIM",S97*Dados!$N$68,S97),2)</f>
        <v>131.37</v>
      </c>
      <c r="U97" s="96" t="n">
        <f aca="false">ROUND(IF(Dados!$J$69="SIM",T97*Dados!$N$69,T97),2)</f>
        <v>131.37</v>
      </c>
      <c r="V97" s="3" t="n">
        <f aca="false">IF(Dados!$D$78="INICIAL",'Ocorrências Mensais - FAT'!P97,IF(Dados!$D$78="1º IPCA",'Ocorrências Mensais - FAT'!Q97,IF(Dados!$D$78="2º IPCA",'Ocorrências Mensais - FAT'!R97,IF(Dados!$D$78="3º IPCA",'Ocorrências Mensais - FAT'!S97,IF(Dados!$D$78="4º IPCA",'Ocorrências Mensais - FAT'!T97,IF(Dados!$D$78="5º IPCA",'Ocorrências Mensais - FAT'!U97,))))))</f>
        <v>131.37</v>
      </c>
    </row>
    <row r="98" s="1" customFormat="true" ht="15" hidden="true" customHeight="true" outlineLevel="0" collapsed="false">
      <c r="A98" s="123" t="n">
        <v>3</v>
      </c>
      <c r="B98" s="129" t="s">
        <v>166</v>
      </c>
      <c r="C98" s="129"/>
      <c r="D98" s="129"/>
      <c r="E98" s="125" t="s">
        <v>163</v>
      </c>
      <c r="F98" s="130" t="s">
        <v>167</v>
      </c>
      <c r="G98" s="88" t="n">
        <f aca="false">IF($D$4="PLANILHA PARA LICITAÇÃO (PRECIFICAÇÃO)",L98,0)</f>
        <v>1</v>
      </c>
      <c r="H98" s="89" t="n">
        <f aca="false">G98*P98</f>
        <v>19.87</v>
      </c>
      <c r="I98" s="90" t="str">
        <f aca="false">IF(G98&lt;L98,"Fornecimento inferior ao estimado mensalmente",IF(G98=L98,"Fornecimento igual ao estimado mensalmente",IF(G98&gt;L98,"Fornecimento superior ao estimado mensalmente",)))</f>
        <v>Fornecimento igual ao estimado mensalmente</v>
      </c>
      <c r="J98" s="90"/>
      <c r="K98" s="90"/>
      <c r="L98" s="126" t="n">
        <f aca="false">M98/O98</f>
        <v>1</v>
      </c>
      <c r="M98" s="127" t="n">
        <f aca="false">Mat!J72</f>
        <v>1</v>
      </c>
      <c r="N98" s="128" t="str">
        <f aca="false">Mat!K72</f>
        <v>Mensal</v>
      </c>
      <c r="O98" s="109" t="n">
        <f aca="false">IF(N98="MENSAL",1,IF(N98="BIMESTRAL",2,IF(N98="TRIMESTRAL",3,IF(N98="QUADRIMESTRAL",4,IF(N98="SEMESTRAL",6,IF(N98="ANUAL",12,IF(N98="BIENAL",24,"")))))))</f>
        <v>1</v>
      </c>
      <c r="P98" s="95" t="n">
        <v>19.87</v>
      </c>
      <c r="Q98" s="48" t="n">
        <f aca="false">ROUND(IF(Dados!$J$65="SIM",P98*Dados!$N$65,P98),2)</f>
        <v>19.87</v>
      </c>
      <c r="R98" s="48" t="n">
        <f aca="false">ROUND(IF(Dados!$J$66="SIM",Q98*Dados!$N$66,Q98),2)</f>
        <v>19.87</v>
      </c>
      <c r="S98" s="48" t="n">
        <f aca="false">ROUND(IF(Dados!$J$67="SIM",R98*Dados!$N$67,R98),2)</f>
        <v>19.87</v>
      </c>
      <c r="T98" s="48" t="n">
        <f aca="false">ROUND(IF(Dados!$J$68="SIM",S98*Dados!$N$68,S98),2)</f>
        <v>19.87</v>
      </c>
      <c r="U98" s="96" t="n">
        <f aca="false">ROUND(IF(Dados!$J$69="SIM",T98*Dados!$N$69,T98),2)</f>
        <v>19.87</v>
      </c>
      <c r="V98" s="3" t="n">
        <f aca="false">IF(Dados!$D$78="INICIAL",'Ocorrências Mensais - FAT'!P98,IF(Dados!$D$78="1º IPCA",'Ocorrências Mensais - FAT'!Q98,IF(Dados!$D$78="2º IPCA",'Ocorrências Mensais - FAT'!R98,IF(Dados!$D$78="3º IPCA",'Ocorrências Mensais - FAT'!S98,IF(Dados!$D$78="4º IPCA",'Ocorrências Mensais - FAT'!T98,IF(Dados!$D$78="5º IPCA",'Ocorrências Mensais - FAT'!U98,))))))</f>
        <v>19.87</v>
      </c>
    </row>
    <row r="99" customFormat="false" ht="15" hidden="true" customHeight="true" outlineLevel="0" collapsed="false">
      <c r="A99" s="77" t="s">
        <v>156</v>
      </c>
      <c r="B99" s="77"/>
      <c r="C99" s="77"/>
      <c r="D99" s="77"/>
      <c r="E99" s="77"/>
      <c r="F99" s="77"/>
      <c r="G99" s="77"/>
      <c r="H99" s="131" t="n">
        <f aca="false">SUM(H96:H98)</f>
        <v>110.38</v>
      </c>
      <c r="I99" s="111"/>
      <c r="J99" s="111"/>
      <c r="K99" s="1"/>
      <c r="L99" s="112"/>
      <c r="M99" s="76"/>
      <c r="N99" s="112"/>
      <c r="P99" s="3"/>
      <c r="Q99" s="3"/>
      <c r="V99" s="1"/>
      <c r="W99" s="1"/>
    </row>
    <row r="100" customFormat="false" ht="15" hidden="true" customHeight="true" outlineLevel="0" collapsed="false">
      <c r="A100" s="113" t="s">
        <v>157</v>
      </c>
      <c r="B100" s="113"/>
      <c r="C100" s="113"/>
      <c r="D100" s="113"/>
      <c r="E100" s="113"/>
      <c r="F100" s="113"/>
      <c r="G100" s="114" t="n">
        <f aca="false">Dados!$G$51</f>
        <v>0.03</v>
      </c>
      <c r="H100" s="115" t="n">
        <f aca="false">ROUND((H99*G100),2)</f>
        <v>3.31</v>
      </c>
      <c r="I100" s="112"/>
      <c r="J100" s="112"/>
      <c r="K100" s="1"/>
      <c r="L100" s="112"/>
      <c r="M100" s="112"/>
      <c r="N100" s="112"/>
      <c r="P100" s="3"/>
      <c r="Q100" s="3"/>
      <c r="V100" s="1"/>
      <c r="W100" s="1"/>
    </row>
    <row r="101" customFormat="false" ht="15" hidden="true" customHeight="true" outlineLevel="0" collapsed="false">
      <c r="A101" s="113" t="s">
        <v>158</v>
      </c>
      <c r="B101" s="113"/>
      <c r="C101" s="113"/>
      <c r="D101" s="113"/>
      <c r="E101" s="113"/>
      <c r="F101" s="113"/>
      <c r="G101" s="114" t="n">
        <f aca="false">Dados!$G$52</f>
        <v>0.0679</v>
      </c>
      <c r="H101" s="115" t="n">
        <f aca="false">ROUND((SUM(H99:H100)*G101),2)</f>
        <v>7.72</v>
      </c>
      <c r="I101" s="112"/>
      <c r="J101" s="112"/>
      <c r="K101" s="1"/>
      <c r="L101" s="112"/>
      <c r="M101" s="112"/>
      <c r="N101" s="112"/>
      <c r="P101" s="3"/>
      <c r="Q101" s="3"/>
      <c r="V101" s="1"/>
      <c r="W101" s="1"/>
    </row>
    <row r="102" customFormat="false" ht="15" hidden="true" customHeight="true" outlineLevel="0" collapsed="false">
      <c r="A102" s="113" t="s">
        <v>159</v>
      </c>
      <c r="B102" s="113"/>
      <c r="C102" s="113"/>
      <c r="D102" s="113"/>
      <c r="E102" s="113"/>
      <c r="F102" s="113"/>
      <c r="G102" s="114" t="n">
        <f aca="false">Dados!$G$64</f>
        <v>0.1725</v>
      </c>
      <c r="H102" s="115" t="n">
        <f aca="false">ROUND((H103*G102),2)</f>
        <v>25.31</v>
      </c>
      <c r="I102" s="112"/>
      <c r="J102" s="112"/>
      <c r="K102" s="1"/>
      <c r="L102" s="112"/>
      <c r="M102" s="112"/>
      <c r="N102" s="112"/>
      <c r="P102" s="3"/>
      <c r="Q102" s="3"/>
      <c r="V102" s="1"/>
      <c r="W102" s="1"/>
    </row>
    <row r="103" customFormat="false" ht="15.75" hidden="true" customHeight="true" outlineLevel="0" collapsed="false">
      <c r="A103" s="116" t="s">
        <v>168</v>
      </c>
      <c r="B103" s="116"/>
      <c r="C103" s="116"/>
      <c r="D103" s="116"/>
      <c r="E103" s="116"/>
      <c r="F103" s="116"/>
      <c r="G103" s="116"/>
      <c r="H103" s="117" t="n">
        <f aca="false">ROUND((SUM(H99:H101)/(1-G102)),2)</f>
        <v>146.72</v>
      </c>
      <c r="I103" s="112"/>
      <c r="J103" s="112"/>
      <c r="K103" s="1"/>
      <c r="L103" s="112"/>
      <c r="M103" s="112"/>
      <c r="N103" s="112"/>
      <c r="P103" s="3"/>
      <c r="Q103" s="3"/>
      <c r="V103" s="1"/>
      <c r="W103" s="1"/>
    </row>
    <row r="104" customFormat="false" ht="15" hidden="true" customHeight="false" outlineLevel="0" collapsed="false">
      <c r="A104" s="118"/>
      <c r="B104" s="76"/>
      <c r="C104" s="76"/>
      <c r="D104" s="76"/>
      <c r="E104" s="76"/>
      <c r="F104" s="76"/>
      <c r="G104" s="118"/>
      <c r="H104" s="76"/>
      <c r="I104" s="112"/>
      <c r="J104" s="112"/>
      <c r="K104" s="1"/>
      <c r="L104" s="112"/>
      <c r="M104" s="112"/>
      <c r="N104" s="112"/>
      <c r="P104" s="3"/>
      <c r="Q104" s="3"/>
      <c r="V104" s="1"/>
      <c r="W104" s="1"/>
    </row>
    <row r="105" s="1" customFormat="true" ht="40.5" hidden="true" customHeight="true" outlineLevel="0" collapsed="false">
      <c r="A105" s="77" t="s">
        <v>61</v>
      </c>
      <c r="B105" s="119" t="s">
        <v>169</v>
      </c>
      <c r="C105" s="119"/>
      <c r="D105" s="119"/>
      <c r="E105" s="119"/>
      <c r="F105" s="120" t="s">
        <v>63</v>
      </c>
      <c r="G105" s="120"/>
      <c r="H105" s="120"/>
      <c r="I105" s="80" t="s">
        <v>64</v>
      </c>
      <c r="J105" s="80"/>
      <c r="K105" s="80"/>
      <c r="L105" s="121" t="s">
        <v>65</v>
      </c>
      <c r="M105" s="121"/>
      <c r="N105" s="121"/>
      <c r="O105" s="121"/>
      <c r="P105" s="81" t="s">
        <v>66</v>
      </c>
      <c r="Q105" s="81"/>
      <c r="R105" s="81"/>
      <c r="S105" s="81"/>
      <c r="T105" s="81"/>
      <c r="U105" s="81"/>
    </row>
    <row r="106" s="1" customFormat="true" ht="51" hidden="true" customHeight="true" outlineLevel="0" collapsed="false">
      <c r="A106" s="77"/>
      <c r="B106" s="70" t="s">
        <v>67</v>
      </c>
      <c r="C106" s="70"/>
      <c r="D106" s="70"/>
      <c r="E106" s="70" t="s">
        <v>68</v>
      </c>
      <c r="F106" s="70" t="s">
        <v>69</v>
      </c>
      <c r="G106" s="70" t="s">
        <v>70</v>
      </c>
      <c r="H106" s="82" t="s">
        <v>71</v>
      </c>
      <c r="I106" s="80"/>
      <c r="J106" s="80"/>
      <c r="K106" s="80"/>
      <c r="L106" s="77" t="s">
        <v>72</v>
      </c>
      <c r="M106" s="78" t="s">
        <v>73</v>
      </c>
      <c r="N106" s="78" t="s">
        <v>74</v>
      </c>
      <c r="O106" s="122" t="s">
        <v>75</v>
      </c>
      <c r="P106" s="84" t="s">
        <v>76</v>
      </c>
      <c r="Q106" s="70" t="s">
        <v>77</v>
      </c>
      <c r="R106" s="70" t="s">
        <v>78</v>
      </c>
      <c r="S106" s="70" t="s">
        <v>79</v>
      </c>
      <c r="T106" s="70" t="s">
        <v>80</v>
      </c>
      <c r="U106" s="82" t="s">
        <v>81</v>
      </c>
    </row>
    <row r="107" s="1" customFormat="true" ht="15" hidden="true" customHeight="false" outlineLevel="0" collapsed="false">
      <c r="A107" s="123" t="n">
        <v>1</v>
      </c>
      <c r="B107" s="101" t="s">
        <v>170</v>
      </c>
      <c r="C107" s="101"/>
      <c r="D107" s="101"/>
      <c r="E107" s="102" t="s">
        <v>86</v>
      </c>
      <c r="F107" s="124"/>
      <c r="G107" s="88" t="n">
        <f aca="false">IF($D$4="PLANILHA PARA LICITAÇÃO (PRECIFICAÇÃO)",L107,0)</f>
        <v>3</v>
      </c>
      <c r="H107" s="89" t="n">
        <f aca="false">G107*P107</f>
        <v>10.14</v>
      </c>
      <c r="I107" s="90" t="str">
        <f aca="false">IF(G107&lt;L107,"Fornecimento inferior ao estimado mensalmente",IF(G107=L107,"Fornecimento igual ao estimado mensalmente",IF(G107&gt;L107,"Fornecimento superior ao estimado mensalmente",)))</f>
        <v>Fornecimento igual ao estimado mensalmente</v>
      </c>
      <c r="J107" s="90"/>
      <c r="K107" s="90"/>
      <c r="L107" s="126" t="n">
        <f aca="false">M107/O107</f>
        <v>3</v>
      </c>
      <c r="M107" s="127" t="n">
        <f aca="false">Mat!J79</f>
        <v>3</v>
      </c>
      <c r="N107" s="128" t="str">
        <f aca="false">Mat!K79</f>
        <v>Mensal</v>
      </c>
      <c r="O107" s="109" t="n">
        <f aca="false">IF(N107="MENSAL",1,IF(N107="BIMESTRAL",2,IF(N107="TRIMESTRAL",3,IF(N107="QUADRIMESTRAL",4,IF(N107="SEMESTRAL",6,IF(N107="ANUAL",12,IF(N107="BIENAL",24,"")))))))</f>
        <v>1</v>
      </c>
      <c r="P107" s="95" t="n">
        <v>3.38</v>
      </c>
      <c r="Q107" s="48" t="n">
        <f aca="false">ROUND(IF(Dados!$J$65="SIM",P107*Dados!$N$65,P107),2)</f>
        <v>3.38</v>
      </c>
      <c r="R107" s="48" t="n">
        <f aca="false">ROUND(IF(Dados!$J$66="SIM",Q107*Dados!$N$66,Q107),2)</f>
        <v>3.38</v>
      </c>
      <c r="S107" s="48" t="n">
        <f aca="false">ROUND(IF(Dados!$J$67="SIM",R107*Dados!$N$67,R107),2)</f>
        <v>3.38</v>
      </c>
      <c r="T107" s="48" t="n">
        <f aca="false">ROUND(IF(Dados!$J$68="SIM",S107*Dados!$N$68,S107),2)</f>
        <v>3.38</v>
      </c>
      <c r="U107" s="96" t="n">
        <f aca="false">ROUND(IF(Dados!$J$69="SIM",T107*Dados!$N$69,T107),2)</f>
        <v>3.38</v>
      </c>
      <c r="V107" s="3" t="n">
        <f aca="false">IF(Dados!$D$78="INICIAL",'Ocorrências Mensais - FAT'!P107,IF(Dados!$D$78="1º IPCA",'Ocorrências Mensais - FAT'!Q107,IF(Dados!$D$78="2º IPCA",'Ocorrências Mensais - FAT'!R107,IF(Dados!$D$78="3º IPCA",'Ocorrências Mensais - FAT'!S107,IF(Dados!$D$78="4º IPCA",'Ocorrências Mensais - FAT'!T107,IF(Dados!$D$78="5º IPCA",'Ocorrências Mensais - FAT'!U107,))))))</f>
        <v>3.38</v>
      </c>
    </row>
    <row r="108" s="1" customFormat="true" ht="14.25" hidden="true" customHeight="true" outlineLevel="0" collapsed="false">
      <c r="A108" s="123" t="n">
        <v>2</v>
      </c>
      <c r="B108" s="132" t="s">
        <v>171</v>
      </c>
      <c r="C108" s="132"/>
      <c r="D108" s="132"/>
      <c r="E108" s="102" t="s">
        <v>86</v>
      </c>
      <c r="F108" s="124"/>
      <c r="G108" s="88" t="n">
        <f aca="false">IF($D$4="PLANILHA PARA LICITAÇÃO (PRECIFICAÇÃO)",L108,0)</f>
        <v>1</v>
      </c>
      <c r="H108" s="89" t="n">
        <f aca="false">G108*P108</f>
        <v>8.49</v>
      </c>
      <c r="I108" s="90" t="str">
        <f aca="false">IF(G108&lt;L108,"Fornecimento inferior ao estimado mensalmente",IF(G108=L108,"Fornecimento igual ao estimado mensalmente",IF(G108&gt;L108,"Fornecimento superior ao estimado mensalmente",)))</f>
        <v>Fornecimento igual ao estimado mensalmente</v>
      </c>
      <c r="J108" s="90"/>
      <c r="K108" s="90"/>
      <c r="L108" s="126" t="n">
        <f aca="false">M108/O108</f>
        <v>1</v>
      </c>
      <c r="M108" s="127" t="n">
        <f aca="false">Mat!J80</f>
        <v>1</v>
      </c>
      <c r="N108" s="128" t="str">
        <f aca="false">Mat!K80</f>
        <v>Mensal</v>
      </c>
      <c r="O108" s="109" t="n">
        <f aca="false">IF(N108="MENSAL",1,IF(N108="BIMESTRAL",2,IF(N108="TRIMESTRAL",3,IF(N108="QUADRIMESTRAL",4,IF(N108="SEMESTRAL",6,IF(N108="ANUAL",12,IF(N108="BIENAL",24,"")))))))</f>
        <v>1</v>
      </c>
      <c r="P108" s="95" t="n">
        <v>8.49</v>
      </c>
      <c r="Q108" s="48" t="n">
        <f aca="false">ROUND(IF(Dados!$J$65="SIM",P108*Dados!$N$65,P108),2)</f>
        <v>8.49</v>
      </c>
      <c r="R108" s="48" t="n">
        <f aca="false">ROUND(IF(Dados!$J$66="SIM",Q108*Dados!$N$66,Q108),2)</f>
        <v>8.49</v>
      </c>
      <c r="S108" s="48" t="n">
        <f aca="false">ROUND(IF(Dados!$J$67="SIM",R108*Dados!$N$67,R108),2)</f>
        <v>8.49</v>
      </c>
      <c r="T108" s="48" t="n">
        <f aca="false">ROUND(IF(Dados!$J$68="SIM",S108*Dados!$N$68,S108),2)</f>
        <v>8.49</v>
      </c>
      <c r="U108" s="96" t="n">
        <f aca="false">ROUND(IF(Dados!$J$69="SIM",T108*Dados!$N$69,T108),2)</f>
        <v>8.49</v>
      </c>
      <c r="V108" s="3" t="n">
        <f aca="false">IF(Dados!$D$78="INICIAL",'Ocorrências Mensais - FAT'!P108,IF(Dados!$D$78="1º IPCA",'Ocorrências Mensais - FAT'!Q108,IF(Dados!$D$78="2º IPCA",'Ocorrências Mensais - FAT'!R108,IF(Dados!$D$78="3º IPCA",'Ocorrências Mensais - FAT'!S108,IF(Dados!$D$78="4º IPCA",'Ocorrências Mensais - FAT'!T108,IF(Dados!$D$78="5º IPCA",'Ocorrências Mensais - FAT'!U108,))))))</f>
        <v>8.49</v>
      </c>
    </row>
    <row r="109" s="1" customFormat="true" ht="15" hidden="true" customHeight="false" outlineLevel="0" collapsed="false">
      <c r="A109" s="123" t="n">
        <v>3</v>
      </c>
      <c r="B109" s="101" t="s">
        <v>172</v>
      </c>
      <c r="C109" s="101"/>
      <c r="D109" s="101"/>
      <c r="E109" s="102" t="s">
        <v>108</v>
      </c>
      <c r="F109" s="124"/>
      <c r="G109" s="88" t="n">
        <f aca="false">IF($D$4="PLANILHA PARA LICITAÇÃO (PRECIFICAÇÃO)",L109,0)</f>
        <v>20</v>
      </c>
      <c r="H109" s="89" t="n">
        <f aca="false">G109*P109</f>
        <v>72</v>
      </c>
      <c r="I109" s="90" t="str">
        <f aca="false">IF(G109&lt;L109,"Fornecimento inferior ao estimado mensalmente",IF(G109=L109,"Fornecimento igual ao estimado mensalmente",IF(G109&gt;L109,"Fornecimento superior ao estimado mensalmente",)))</f>
        <v>Fornecimento igual ao estimado mensalmente</v>
      </c>
      <c r="J109" s="90"/>
      <c r="K109" s="90"/>
      <c r="L109" s="126" t="n">
        <f aca="false">M109/O109</f>
        <v>20</v>
      </c>
      <c r="M109" s="127" t="n">
        <f aca="false">Mat!J81</f>
        <v>20</v>
      </c>
      <c r="N109" s="128" t="str">
        <f aca="false">Mat!K81</f>
        <v>Mensal</v>
      </c>
      <c r="O109" s="109" t="n">
        <f aca="false">IF(N109="MENSAL",1,IF(N109="BIMESTRAL",2,IF(N109="TRIMESTRAL",3,IF(N109="QUADRIMESTRAL",4,IF(N109="SEMESTRAL",6,IF(N109="ANUAL",12,IF(N109="BIENAL",24,"")))))))</f>
        <v>1</v>
      </c>
      <c r="P109" s="95" t="n">
        <v>3.6</v>
      </c>
      <c r="Q109" s="48" t="n">
        <f aca="false">ROUND(IF(Dados!$J$65="SIM",P109*Dados!$N$65,P109),2)</f>
        <v>3.6</v>
      </c>
      <c r="R109" s="48" t="n">
        <f aca="false">ROUND(IF(Dados!$J$66="SIM",Q109*Dados!$N$66,Q109),2)</f>
        <v>3.6</v>
      </c>
      <c r="S109" s="48" t="n">
        <f aca="false">ROUND(IF(Dados!$J$67="SIM",R109*Dados!$N$67,R109),2)</f>
        <v>3.6</v>
      </c>
      <c r="T109" s="48" t="n">
        <f aca="false">ROUND(IF(Dados!$J$68="SIM",S109*Dados!$N$68,S109),2)</f>
        <v>3.6</v>
      </c>
      <c r="U109" s="96" t="n">
        <f aca="false">ROUND(IF(Dados!$J$69="SIM",T109*Dados!$N$69,T109),2)</f>
        <v>3.6</v>
      </c>
      <c r="V109" s="3" t="n">
        <f aca="false">IF(Dados!$D$78="INICIAL",'Ocorrências Mensais - FAT'!P109,IF(Dados!$D$78="1º IPCA",'Ocorrências Mensais - FAT'!Q109,IF(Dados!$D$78="2º IPCA",'Ocorrências Mensais - FAT'!R109,IF(Dados!$D$78="3º IPCA",'Ocorrências Mensais - FAT'!S109,IF(Dados!$D$78="4º IPCA",'Ocorrências Mensais - FAT'!T109,IF(Dados!$D$78="5º IPCA",'Ocorrências Mensais - FAT'!U109,))))))</f>
        <v>3.6</v>
      </c>
    </row>
    <row r="110" s="1" customFormat="true" ht="15" hidden="true" customHeight="false" outlineLevel="0" collapsed="false">
      <c r="A110" s="123" t="n">
        <v>4</v>
      </c>
      <c r="B110" s="101" t="s">
        <v>173</v>
      </c>
      <c r="C110" s="101"/>
      <c r="D110" s="101"/>
      <c r="E110" s="102" t="s">
        <v>86</v>
      </c>
      <c r="F110" s="124"/>
      <c r="G110" s="88" t="n">
        <f aca="false">IF($D$4="PLANILHA PARA LICITAÇÃO (PRECIFICAÇÃO)",L110,0)</f>
        <v>1</v>
      </c>
      <c r="H110" s="89" t="n">
        <f aca="false">G110*P110</f>
        <v>8.35</v>
      </c>
      <c r="I110" s="90" t="str">
        <f aca="false">IF(G110&lt;L110,"Fornecimento inferior ao estimado mensalmente",IF(G110=L110,"Fornecimento igual ao estimado mensalmente",IF(G110&gt;L110,"Fornecimento superior ao estimado mensalmente",)))</f>
        <v>Fornecimento igual ao estimado mensalmente</v>
      </c>
      <c r="J110" s="90"/>
      <c r="K110" s="90"/>
      <c r="L110" s="126" t="n">
        <f aca="false">M110/O110</f>
        <v>1</v>
      </c>
      <c r="M110" s="127" t="n">
        <f aca="false">Mat!J82</f>
        <v>1</v>
      </c>
      <c r="N110" s="128" t="str">
        <f aca="false">Mat!K82</f>
        <v>Mensal</v>
      </c>
      <c r="O110" s="109" t="n">
        <f aca="false">IF(N110="MENSAL",1,IF(N110="BIMESTRAL",2,IF(N110="TRIMESTRAL",3,IF(N110="QUADRIMESTRAL",4,IF(N110="SEMESTRAL",6,IF(N110="ANUAL",12,IF(N110="BIENAL",24,"")))))))</f>
        <v>1</v>
      </c>
      <c r="P110" s="95" t="n">
        <v>8.35</v>
      </c>
      <c r="Q110" s="48" t="n">
        <f aca="false">ROUND(IF(Dados!$J$65="SIM",P110*Dados!$N$65,P110),2)</f>
        <v>8.35</v>
      </c>
      <c r="R110" s="48" t="n">
        <f aca="false">ROUND(IF(Dados!$J$66="SIM",Q110*Dados!$N$66,Q110),2)</f>
        <v>8.35</v>
      </c>
      <c r="S110" s="48" t="n">
        <f aca="false">ROUND(IF(Dados!$J$67="SIM",R110*Dados!$N$67,R110),2)</f>
        <v>8.35</v>
      </c>
      <c r="T110" s="48" t="n">
        <f aca="false">ROUND(IF(Dados!$J$68="SIM",S110*Dados!$N$68,S110),2)</f>
        <v>8.35</v>
      </c>
      <c r="U110" s="96" t="n">
        <f aca="false">ROUND(IF(Dados!$J$69="SIM",T110*Dados!$N$69,T110),2)</f>
        <v>8.35</v>
      </c>
      <c r="V110" s="3" t="n">
        <f aca="false">IF(Dados!$D$78="INICIAL",'Ocorrências Mensais - FAT'!P110,IF(Dados!$D$78="1º IPCA",'Ocorrências Mensais - FAT'!Q110,IF(Dados!$D$78="2º IPCA",'Ocorrências Mensais - FAT'!R110,IF(Dados!$D$78="3º IPCA",'Ocorrências Mensais - FAT'!S110,IF(Dados!$D$78="4º IPCA",'Ocorrências Mensais - FAT'!T110,IF(Dados!$D$78="5º IPCA",'Ocorrências Mensais - FAT'!U110,))))))</f>
        <v>8.35</v>
      </c>
    </row>
    <row r="111" s="1" customFormat="true" ht="15" hidden="true" customHeight="false" outlineLevel="0" collapsed="false">
      <c r="A111" s="123" t="n">
        <v>5</v>
      </c>
      <c r="B111" s="101" t="s">
        <v>174</v>
      </c>
      <c r="C111" s="101"/>
      <c r="D111" s="101"/>
      <c r="E111" s="102" t="s">
        <v>86</v>
      </c>
      <c r="F111" s="124"/>
      <c r="G111" s="88" t="n">
        <f aca="false">IF($D$4="PLANILHA PARA LICITAÇÃO (PRECIFICAÇÃO)",L111,0)</f>
        <v>6.66666666666667</v>
      </c>
      <c r="H111" s="89" t="n">
        <f aca="false">G111*P111</f>
        <v>31.0666666666667</v>
      </c>
      <c r="I111" s="90" t="str">
        <f aca="false">IF(G111&lt;L111,"Fornecimento inferior ao estimado mensalmente",IF(G111=L111,"Fornecimento igual ao estimado mensalmente",IF(G111&gt;L111,"Fornecimento superior ao estimado mensalmente",)))</f>
        <v>Fornecimento igual ao estimado mensalmente</v>
      </c>
      <c r="J111" s="90"/>
      <c r="K111" s="90"/>
      <c r="L111" s="126" t="n">
        <f aca="false">M111/O111</f>
        <v>6.66666666666667</v>
      </c>
      <c r="M111" s="127" t="n">
        <f aca="false">Mat!J83</f>
        <v>20</v>
      </c>
      <c r="N111" s="128" t="str">
        <f aca="false">Mat!K83</f>
        <v>Trimestral</v>
      </c>
      <c r="O111" s="109" t="n">
        <f aca="false">IF(N111="MENSAL",1,IF(N111="BIMESTRAL",2,IF(N111="TRIMESTRAL",3,IF(N111="QUADRIMESTRAL",4,IF(N111="SEMESTRAL",6,IF(N111="ANUAL",12,IF(N111="BIENAL",24,"")))))))</f>
        <v>3</v>
      </c>
      <c r="P111" s="95" t="n">
        <v>4.66</v>
      </c>
      <c r="Q111" s="48" t="n">
        <f aca="false">ROUND(IF(Dados!$J$65="SIM",P111*Dados!$N$65,P111),2)</f>
        <v>4.66</v>
      </c>
      <c r="R111" s="48" t="n">
        <f aca="false">ROUND(IF(Dados!$J$66="SIM",Q111*Dados!$N$66,Q111),2)</f>
        <v>4.66</v>
      </c>
      <c r="S111" s="48" t="n">
        <f aca="false">ROUND(IF(Dados!$J$67="SIM",R111*Dados!$N$67,R111),2)</f>
        <v>4.66</v>
      </c>
      <c r="T111" s="48" t="n">
        <f aca="false">ROUND(IF(Dados!$J$68="SIM",S111*Dados!$N$68,S111),2)</f>
        <v>4.66</v>
      </c>
      <c r="U111" s="96" t="n">
        <f aca="false">ROUND(IF(Dados!$J$69="SIM",T111*Dados!$N$69,T111),2)</f>
        <v>4.66</v>
      </c>
      <c r="V111" s="3" t="n">
        <f aca="false">IF(Dados!$D$78="INICIAL",'Ocorrências Mensais - FAT'!P111,IF(Dados!$D$78="1º IPCA",'Ocorrências Mensais - FAT'!Q111,IF(Dados!$D$78="2º IPCA",'Ocorrências Mensais - FAT'!R111,IF(Dados!$D$78="3º IPCA",'Ocorrências Mensais - FAT'!S111,IF(Dados!$D$78="4º IPCA",'Ocorrências Mensais - FAT'!T111,IF(Dados!$D$78="5º IPCA",'Ocorrências Mensais - FAT'!U111,))))))</f>
        <v>4.66</v>
      </c>
    </row>
    <row r="112" s="1" customFormat="true" ht="15" hidden="true" customHeight="false" outlineLevel="0" collapsed="false">
      <c r="A112" s="123" t="n">
        <v>6</v>
      </c>
      <c r="B112" s="133" t="s">
        <v>175</v>
      </c>
      <c r="C112" s="133"/>
      <c r="D112" s="133"/>
      <c r="E112" s="102" t="s">
        <v>108</v>
      </c>
      <c r="F112" s="130"/>
      <c r="G112" s="88" t="n">
        <f aca="false">IF($D$4="PLANILHA PARA LICITAÇÃO (PRECIFICAÇÃO)",L112,0)</f>
        <v>0.333333333333333</v>
      </c>
      <c r="H112" s="89" t="n">
        <f aca="false">G112*P112</f>
        <v>4.42333333333333</v>
      </c>
      <c r="I112" s="90" t="str">
        <f aca="false">IF(G112&lt;L112,"Fornecimento inferior ao estimado mensalmente",IF(G112=L112,"Fornecimento igual ao estimado mensalmente",IF(G112&gt;L112,"Fornecimento superior ao estimado mensalmente",)))</f>
        <v>Fornecimento igual ao estimado mensalmente</v>
      </c>
      <c r="J112" s="90"/>
      <c r="K112" s="90"/>
      <c r="L112" s="126" t="n">
        <f aca="false">M112/O112</f>
        <v>0.333333333333333</v>
      </c>
      <c r="M112" s="127" t="n">
        <f aca="false">Mat!J84</f>
        <v>1</v>
      </c>
      <c r="N112" s="128" t="str">
        <f aca="false">Mat!K84</f>
        <v>Trimestral</v>
      </c>
      <c r="O112" s="109" t="n">
        <f aca="false">IF(N112="MENSAL",1,IF(N112="BIMESTRAL",2,IF(N112="TRIMESTRAL",3,IF(N112="QUADRIMESTRAL",4,IF(N112="SEMESTRAL",6,IF(N112="ANUAL",12,IF(N112="BIENAL",24,"")))))))</f>
        <v>3</v>
      </c>
      <c r="P112" s="95" t="n">
        <v>13.27</v>
      </c>
      <c r="Q112" s="48" t="n">
        <f aca="false">ROUND(IF(Dados!$J$65="SIM",P112*Dados!$N$65,P112),2)</f>
        <v>13.27</v>
      </c>
      <c r="R112" s="48" t="n">
        <f aca="false">ROUND(IF(Dados!$J$66="SIM",Q112*Dados!$N$66,Q112),2)</f>
        <v>13.27</v>
      </c>
      <c r="S112" s="48" t="n">
        <f aca="false">ROUND(IF(Dados!$J$67="SIM",R112*Dados!$N$67,R112),2)</f>
        <v>13.27</v>
      </c>
      <c r="T112" s="48" t="n">
        <f aca="false">ROUND(IF(Dados!$J$68="SIM",S112*Dados!$N$68,S112),2)</f>
        <v>13.27</v>
      </c>
      <c r="U112" s="96" t="n">
        <f aca="false">ROUND(IF(Dados!$J$69="SIM",T112*Dados!$N$69,T112),2)</f>
        <v>13.27</v>
      </c>
      <c r="V112" s="3" t="n">
        <f aca="false">IF(Dados!$D$78="INICIAL",'Ocorrências Mensais - FAT'!P112,IF(Dados!$D$78="1º IPCA",'Ocorrências Mensais - FAT'!Q112,IF(Dados!$D$78="2º IPCA",'Ocorrências Mensais - FAT'!R112,IF(Dados!$D$78="3º IPCA",'Ocorrências Mensais - FAT'!S112,IF(Dados!$D$78="4º IPCA",'Ocorrências Mensais - FAT'!T112,IF(Dados!$D$78="5º IPCA",'Ocorrências Mensais - FAT'!U112,))))))</f>
        <v>13.27</v>
      </c>
    </row>
    <row r="113" customFormat="false" ht="15" hidden="true" customHeight="true" outlineLevel="0" collapsed="false">
      <c r="A113" s="77" t="s">
        <v>156</v>
      </c>
      <c r="B113" s="77"/>
      <c r="C113" s="77"/>
      <c r="D113" s="77"/>
      <c r="E113" s="77"/>
      <c r="F113" s="77"/>
      <c r="G113" s="77"/>
      <c r="H113" s="131" t="n">
        <f aca="false">SUM(H107:H112)</f>
        <v>134.47</v>
      </c>
      <c r="I113" s="111"/>
      <c r="J113" s="111"/>
      <c r="K113" s="1"/>
      <c r="L113" s="112"/>
      <c r="M113" s="76"/>
      <c r="N113" s="112"/>
      <c r="P113" s="3"/>
      <c r="Q113" s="3"/>
      <c r="V113" s="1"/>
      <c r="W113" s="1"/>
    </row>
    <row r="114" customFormat="false" ht="15" hidden="true" customHeight="true" outlineLevel="0" collapsed="false">
      <c r="A114" s="113" t="s">
        <v>157</v>
      </c>
      <c r="B114" s="113"/>
      <c r="C114" s="113"/>
      <c r="D114" s="113"/>
      <c r="E114" s="113"/>
      <c r="F114" s="113"/>
      <c r="G114" s="114" t="n">
        <f aca="false">Dados!$G$51</f>
        <v>0.03</v>
      </c>
      <c r="H114" s="115" t="n">
        <f aca="false">ROUND((H113*G114),2)</f>
        <v>4.03</v>
      </c>
      <c r="I114" s="112"/>
      <c r="J114" s="112"/>
      <c r="K114" s="1"/>
      <c r="L114" s="112"/>
      <c r="M114" s="112"/>
      <c r="N114" s="112"/>
      <c r="P114" s="3"/>
      <c r="Q114" s="3"/>
      <c r="V114" s="1"/>
      <c r="W114" s="1"/>
    </row>
    <row r="115" customFormat="false" ht="15" hidden="true" customHeight="true" outlineLevel="0" collapsed="false">
      <c r="A115" s="113" t="s">
        <v>158</v>
      </c>
      <c r="B115" s="113"/>
      <c r="C115" s="113"/>
      <c r="D115" s="113"/>
      <c r="E115" s="113"/>
      <c r="F115" s="113"/>
      <c r="G115" s="114" t="n">
        <f aca="false">Dados!$G$52</f>
        <v>0.0679</v>
      </c>
      <c r="H115" s="115" t="n">
        <f aca="false">ROUND((SUM(H113:H114)*G115),2)</f>
        <v>9.4</v>
      </c>
      <c r="I115" s="112"/>
      <c r="J115" s="112"/>
      <c r="K115" s="1"/>
      <c r="L115" s="112"/>
      <c r="M115" s="112"/>
      <c r="N115" s="112"/>
      <c r="P115" s="3"/>
      <c r="Q115" s="3"/>
      <c r="V115" s="1"/>
      <c r="W115" s="1"/>
    </row>
    <row r="116" customFormat="false" ht="15" hidden="true" customHeight="true" outlineLevel="0" collapsed="false">
      <c r="A116" s="113" t="s">
        <v>159</v>
      </c>
      <c r="B116" s="113"/>
      <c r="C116" s="113"/>
      <c r="D116" s="113"/>
      <c r="E116" s="113"/>
      <c r="F116" s="113"/>
      <c r="G116" s="114" t="n">
        <f aca="false">Dados!$G$64</f>
        <v>0.1725</v>
      </c>
      <c r="H116" s="115" t="n">
        <f aca="false">ROUND((H117*G116),2)</f>
        <v>30.83</v>
      </c>
      <c r="I116" s="112"/>
      <c r="J116" s="112"/>
      <c r="K116" s="1"/>
      <c r="L116" s="112"/>
      <c r="M116" s="112"/>
      <c r="N116" s="112"/>
      <c r="P116" s="3"/>
      <c r="Q116" s="3"/>
      <c r="V116" s="1"/>
      <c r="W116" s="1"/>
    </row>
    <row r="117" customFormat="false" ht="15.75" hidden="true" customHeight="true" outlineLevel="0" collapsed="false">
      <c r="A117" s="116" t="s">
        <v>176</v>
      </c>
      <c r="B117" s="116"/>
      <c r="C117" s="116"/>
      <c r="D117" s="116"/>
      <c r="E117" s="116"/>
      <c r="F117" s="116"/>
      <c r="G117" s="116"/>
      <c r="H117" s="117" t="n">
        <f aca="false">ROUND((SUM(H113:H115)/(1-G116)),2)</f>
        <v>178.73</v>
      </c>
      <c r="I117" s="112"/>
      <c r="J117" s="112"/>
      <c r="K117" s="1"/>
      <c r="L117" s="112"/>
      <c r="M117" s="112"/>
      <c r="N117" s="112"/>
      <c r="P117" s="3"/>
      <c r="Q117" s="3"/>
      <c r="V117" s="1"/>
      <c r="W117" s="1"/>
    </row>
    <row r="118" customFormat="false" ht="15" hidden="true" customHeight="false" outlineLevel="0" collapsed="false">
      <c r="A118" s="118"/>
      <c r="B118" s="76"/>
      <c r="C118" s="76"/>
      <c r="D118" s="76"/>
      <c r="E118" s="76"/>
      <c r="F118" s="76"/>
      <c r="G118" s="118"/>
      <c r="H118" s="76"/>
      <c r="I118" s="112"/>
      <c r="J118" s="112"/>
      <c r="K118" s="1"/>
      <c r="L118" s="112"/>
      <c r="M118" s="112"/>
      <c r="N118" s="112"/>
      <c r="P118" s="3"/>
      <c r="Q118" s="3"/>
      <c r="V118" s="1"/>
      <c r="W118" s="1"/>
    </row>
    <row r="119" s="1" customFormat="true" ht="49.5" hidden="true" customHeight="true" outlineLevel="0" collapsed="false">
      <c r="A119" s="77" t="s">
        <v>61</v>
      </c>
      <c r="B119" s="119" t="s">
        <v>177</v>
      </c>
      <c r="C119" s="119"/>
      <c r="D119" s="119"/>
      <c r="E119" s="119"/>
      <c r="F119" s="120" t="s">
        <v>63</v>
      </c>
      <c r="G119" s="120"/>
      <c r="H119" s="120"/>
      <c r="I119" s="80" t="s">
        <v>64</v>
      </c>
      <c r="J119" s="80"/>
      <c r="K119" s="80"/>
      <c r="L119" s="121" t="s">
        <v>65</v>
      </c>
      <c r="M119" s="121"/>
      <c r="N119" s="121"/>
      <c r="O119" s="121"/>
      <c r="P119" s="81" t="s">
        <v>66</v>
      </c>
      <c r="Q119" s="81"/>
      <c r="R119" s="81"/>
      <c r="S119" s="81"/>
      <c r="T119" s="81"/>
      <c r="U119" s="81"/>
    </row>
    <row r="120" s="1" customFormat="true" ht="51" hidden="true" customHeight="true" outlineLevel="0" collapsed="false">
      <c r="A120" s="77"/>
      <c r="B120" s="70" t="s">
        <v>67</v>
      </c>
      <c r="C120" s="70"/>
      <c r="D120" s="70"/>
      <c r="E120" s="70" t="s">
        <v>68</v>
      </c>
      <c r="F120" s="70" t="s">
        <v>69</v>
      </c>
      <c r="G120" s="70" t="s">
        <v>70</v>
      </c>
      <c r="H120" s="82" t="s">
        <v>71</v>
      </c>
      <c r="I120" s="80"/>
      <c r="J120" s="80"/>
      <c r="K120" s="80"/>
      <c r="L120" s="77" t="s">
        <v>72</v>
      </c>
      <c r="M120" s="78" t="s">
        <v>73</v>
      </c>
      <c r="N120" s="78" t="s">
        <v>74</v>
      </c>
      <c r="O120" s="122" t="s">
        <v>75</v>
      </c>
      <c r="P120" s="84" t="s">
        <v>76</v>
      </c>
      <c r="Q120" s="70" t="s">
        <v>77</v>
      </c>
      <c r="R120" s="70" t="s">
        <v>78</v>
      </c>
      <c r="S120" s="70" t="s">
        <v>79</v>
      </c>
      <c r="T120" s="70" t="s">
        <v>80</v>
      </c>
      <c r="U120" s="82" t="s">
        <v>81</v>
      </c>
    </row>
    <row r="121" s="1" customFormat="true" ht="15" hidden="true" customHeight="false" outlineLevel="0" collapsed="false">
      <c r="A121" s="123" t="n">
        <v>1</v>
      </c>
      <c r="B121" s="101" t="s">
        <v>178</v>
      </c>
      <c r="C121" s="101"/>
      <c r="D121" s="101"/>
      <c r="E121" s="102" t="s">
        <v>86</v>
      </c>
      <c r="F121" s="124"/>
      <c r="G121" s="88" t="n">
        <f aca="false">IF($D$4="PLANILHA PARA LICITAÇÃO (PRECIFICAÇÃO)",L121,0)</f>
        <v>0.166666666666667</v>
      </c>
      <c r="H121" s="89" t="n">
        <f aca="false">G121*P121</f>
        <v>35.71885</v>
      </c>
      <c r="I121" s="90" t="str">
        <f aca="false">IF(G121&lt;L121,"Fornecimento inferior ao estimado mensalmente",IF(G121=L121,"Fornecimento igual ao estimado mensalmente",IF(G121&gt;L121,"Fornecimento superior ao estimado mensalmente",)))</f>
        <v>Fornecimento igual ao estimado mensalmente</v>
      </c>
      <c r="J121" s="90"/>
      <c r="K121" s="90"/>
      <c r="L121" s="126" t="n">
        <f aca="false">M121/O121</f>
        <v>0.166666666666667</v>
      </c>
      <c r="M121" s="127" t="n">
        <f aca="false">Mat!J91</f>
        <v>1</v>
      </c>
      <c r="N121" s="128" t="str">
        <f aca="false">Mat!K91</f>
        <v>Semestral</v>
      </c>
      <c r="O121" s="109" t="n">
        <f aca="false">IF(N121="MENSAL",1,IF(N121="BIMESTRAL",2,IF(N121="TRIMESTRAL",3,IF(N121="QUADRIMESTRAL",4,IF(N121="SEMESTRAL",6,IF(N121="ANUAL",12,IF(N121="BIENAL",24,"")))))))</f>
        <v>6</v>
      </c>
      <c r="P121" s="95" t="n">
        <v>214.3131</v>
      </c>
      <c r="Q121" s="48" t="n">
        <f aca="false">ROUND(IF(Dados!$J$65="SIM",P121*Dados!$N$65,P121),2)</f>
        <v>214.31</v>
      </c>
      <c r="R121" s="48" t="n">
        <f aca="false">ROUND(IF(Dados!$J$66="SIM",Q121*Dados!$N$66,Q121),2)</f>
        <v>214.31</v>
      </c>
      <c r="S121" s="48" t="n">
        <f aca="false">ROUND(IF(Dados!$J$67="SIM",R121*Dados!$N$67,R121),2)</f>
        <v>214.31</v>
      </c>
      <c r="T121" s="48" t="n">
        <f aca="false">ROUND(IF(Dados!$J$68="SIM",S121*Dados!$N$68,S121),2)</f>
        <v>214.31</v>
      </c>
      <c r="U121" s="96" t="n">
        <f aca="false">ROUND(IF(Dados!$J$69="SIM",T121*Dados!$N$69,T121),2)</f>
        <v>214.31</v>
      </c>
      <c r="V121" s="3" t="n">
        <f aca="false">IF(Dados!$D$78="INICIAL",'Ocorrências Mensais - FAT'!P121,IF(Dados!$D$78="1º IPCA",'Ocorrências Mensais - FAT'!Q121,IF(Dados!$D$78="2º IPCA",'Ocorrências Mensais - FAT'!R121,IF(Dados!$D$78="3º IPCA",'Ocorrências Mensais - FAT'!S121,IF(Dados!$D$78="4º IPCA",'Ocorrências Mensais - FAT'!T121,IF(Dados!$D$78="5º IPCA",'Ocorrências Mensais - FAT'!U121,))))))</f>
        <v>214.3131</v>
      </c>
    </row>
    <row r="122" s="1" customFormat="true" ht="14.25" hidden="true" customHeight="true" outlineLevel="0" collapsed="false">
      <c r="A122" s="123" t="n">
        <v>2</v>
      </c>
      <c r="B122" s="101" t="s">
        <v>179</v>
      </c>
      <c r="C122" s="101"/>
      <c r="D122" s="101"/>
      <c r="E122" s="102" t="s">
        <v>86</v>
      </c>
      <c r="F122" s="124"/>
      <c r="G122" s="88" t="n">
        <f aca="false">IF($D$4="PLANILHA PARA LICITAÇÃO (PRECIFICAÇÃO)",L122,0)</f>
        <v>0.166666666666667</v>
      </c>
      <c r="H122" s="89" t="n">
        <f aca="false">G122*P122</f>
        <v>6.01833333333333</v>
      </c>
      <c r="I122" s="90" t="str">
        <f aca="false">IF(G122&lt;L122,"Fornecimento inferior ao estimado mensalmente",IF(G122=L122,"Fornecimento igual ao estimado mensalmente",IF(G122&gt;L122,"Fornecimento superior ao estimado mensalmente",)))</f>
        <v>Fornecimento igual ao estimado mensalmente</v>
      </c>
      <c r="J122" s="90"/>
      <c r="K122" s="90"/>
      <c r="L122" s="126" t="n">
        <f aca="false">M122/O122</f>
        <v>0.166666666666667</v>
      </c>
      <c r="M122" s="127" t="n">
        <f aca="false">Mat!J92</f>
        <v>1</v>
      </c>
      <c r="N122" s="128" t="str">
        <f aca="false">Mat!K92</f>
        <v>Semestral</v>
      </c>
      <c r="O122" s="109" t="n">
        <f aca="false">IF(N122="MENSAL",1,IF(N122="BIMESTRAL",2,IF(N122="TRIMESTRAL",3,IF(N122="QUADRIMESTRAL",4,IF(N122="SEMESTRAL",6,IF(N122="ANUAL",12,IF(N122="BIENAL",24,"")))))))</f>
        <v>6</v>
      </c>
      <c r="P122" s="95" t="n">
        <v>36.11</v>
      </c>
      <c r="Q122" s="48" t="n">
        <f aca="false">ROUND(IF(Dados!$J$65="SIM",P122*Dados!$N$65,P122),2)</f>
        <v>36.11</v>
      </c>
      <c r="R122" s="48" t="n">
        <f aca="false">ROUND(IF(Dados!$J$66="SIM",Q122*Dados!$N$66,Q122),2)</f>
        <v>36.11</v>
      </c>
      <c r="S122" s="48" t="n">
        <f aca="false">ROUND(IF(Dados!$J$67="SIM",R122*Dados!$N$67,R122),2)</f>
        <v>36.11</v>
      </c>
      <c r="T122" s="48" t="n">
        <f aca="false">ROUND(IF(Dados!$J$68="SIM",S122*Dados!$N$68,S122),2)</f>
        <v>36.11</v>
      </c>
      <c r="U122" s="96" t="n">
        <f aca="false">ROUND(IF(Dados!$J$69="SIM",T122*Dados!$N$69,T122),2)</f>
        <v>36.11</v>
      </c>
      <c r="V122" s="3" t="n">
        <f aca="false">IF(Dados!$D$78="INICIAL",'Ocorrências Mensais - FAT'!P122,IF(Dados!$D$78="1º IPCA",'Ocorrências Mensais - FAT'!Q122,IF(Dados!$D$78="2º IPCA",'Ocorrências Mensais - FAT'!R122,IF(Dados!$D$78="3º IPCA",'Ocorrências Mensais - FAT'!S122,IF(Dados!$D$78="4º IPCA",'Ocorrências Mensais - FAT'!T122,IF(Dados!$D$78="5º IPCA",'Ocorrências Mensais - FAT'!U122,))))))</f>
        <v>36.11</v>
      </c>
    </row>
    <row r="123" s="1" customFormat="true" ht="14.25" hidden="true" customHeight="true" outlineLevel="0" collapsed="false">
      <c r="A123" s="123" t="n">
        <v>3</v>
      </c>
      <c r="B123" s="132" t="s">
        <v>180</v>
      </c>
      <c r="C123" s="132"/>
      <c r="D123" s="132"/>
      <c r="E123" s="102" t="s">
        <v>86</v>
      </c>
      <c r="F123" s="124"/>
      <c r="G123" s="88" t="n">
        <f aca="false">IF($D$4="PLANILHA PARA LICITAÇÃO (PRECIFICAÇÃO)",L123,0)</f>
        <v>0.166666666666667</v>
      </c>
      <c r="H123" s="89" t="n">
        <f aca="false">G123*P123</f>
        <v>3.99666666666667</v>
      </c>
      <c r="I123" s="90" t="str">
        <f aca="false">IF(G123&lt;L123,"Fornecimento inferior ao estimado mensalmente",IF(G123=L123,"Fornecimento igual ao estimado mensalmente",IF(G123&gt;L123,"Fornecimento superior ao estimado mensalmente",)))</f>
        <v>Fornecimento igual ao estimado mensalmente</v>
      </c>
      <c r="J123" s="90"/>
      <c r="K123" s="90"/>
      <c r="L123" s="126" t="n">
        <f aca="false">M123/O123</f>
        <v>0.166666666666667</v>
      </c>
      <c r="M123" s="127" t="n">
        <f aca="false">Mat!J93</f>
        <v>1</v>
      </c>
      <c r="N123" s="128" t="str">
        <f aca="false">Mat!K93</f>
        <v>Semestral</v>
      </c>
      <c r="O123" s="109" t="n">
        <f aca="false">IF(N123="MENSAL",1,IF(N123="BIMESTRAL",2,IF(N123="TRIMESTRAL",3,IF(N123="QUADRIMESTRAL",4,IF(N123="SEMESTRAL",6,IF(N123="ANUAL",12,IF(N123="BIENAL",24,"")))))))</f>
        <v>6</v>
      </c>
      <c r="P123" s="95" t="n">
        <v>23.98</v>
      </c>
      <c r="Q123" s="48" t="n">
        <f aca="false">ROUND(IF(Dados!$J$65="SIM",P123*Dados!$N$65,P123),2)</f>
        <v>23.98</v>
      </c>
      <c r="R123" s="48" t="n">
        <f aca="false">ROUND(IF(Dados!$J$66="SIM",Q123*Dados!$N$66,Q123),2)</f>
        <v>23.98</v>
      </c>
      <c r="S123" s="48" t="n">
        <f aca="false">ROUND(IF(Dados!$J$67="SIM",R123*Dados!$N$67,R123),2)</f>
        <v>23.98</v>
      </c>
      <c r="T123" s="48" t="n">
        <f aca="false">ROUND(IF(Dados!$J$68="SIM",S123*Dados!$N$68,S123),2)</f>
        <v>23.98</v>
      </c>
      <c r="U123" s="96" t="n">
        <f aca="false">ROUND(IF(Dados!$J$69="SIM",T123*Dados!$N$69,T123),2)</f>
        <v>23.98</v>
      </c>
      <c r="V123" s="3" t="n">
        <f aca="false">IF(Dados!$D$78="INICIAL",'Ocorrências Mensais - FAT'!P123,IF(Dados!$D$78="1º IPCA",'Ocorrências Mensais - FAT'!Q123,IF(Dados!$D$78="2º IPCA",'Ocorrências Mensais - FAT'!R123,IF(Dados!$D$78="3º IPCA",'Ocorrências Mensais - FAT'!S123,IF(Dados!$D$78="4º IPCA",'Ocorrências Mensais - FAT'!T123,IF(Dados!$D$78="5º IPCA",'Ocorrências Mensais - FAT'!U123,))))))</f>
        <v>23.98</v>
      </c>
    </row>
    <row r="124" s="1" customFormat="true" ht="15" hidden="true" customHeight="false" outlineLevel="0" collapsed="false">
      <c r="A124" s="123" t="n">
        <v>4</v>
      </c>
      <c r="B124" s="101" t="s">
        <v>181</v>
      </c>
      <c r="C124" s="101"/>
      <c r="D124" s="101"/>
      <c r="E124" s="102" t="s">
        <v>134</v>
      </c>
      <c r="F124" s="124"/>
      <c r="G124" s="88" t="n">
        <f aca="false">IF($D$4="PLANILHA PARA LICITAÇÃO (PRECIFICAÇÃO)",L124,0)</f>
        <v>5</v>
      </c>
      <c r="H124" s="89" t="n">
        <f aca="false">G124*P124</f>
        <v>27.1</v>
      </c>
      <c r="I124" s="90" t="str">
        <f aca="false">IF(G124&lt;L124,"Fornecimento inferior ao estimado mensalmente",IF(G124=L124,"Fornecimento igual ao estimado mensalmente",IF(G124&gt;L124,"Fornecimento superior ao estimado mensalmente",)))</f>
        <v>Fornecimento igual ao estimado mensalmente</v>
      </c>
      <c r="J124" s="90"/>
      <c r="K124" s="90"/>
      <c r="L124" s="126" t="n">
        <f aca="false">M124/O124</f>
        <v>5</v>
      </c>
      <c r="M124" s="127" t="n">
        <f aca="false">Mat!J94</f>
        <v>30</v>
      </c>
      <c r="N124" s="128" t="str">
        <f aca="false">Mat!K94</f>
        <v>Semestral</v>
      </c>
      <c r="O124" s="109" t="n">
        <f aca="false">IF(N124="MENSAL",1,IF(N124="BIMESTRAL",2,IF(N124="TRIMESTRAL",3,IF(N124="QUADRIMESTRAL",4,IF(N124="SEMESTRAL",6,IF(N124="ANUAL",12,IF(N124="BIENAL",24,"")))))))</f>
        <v>6</v>
      </c>
      <c r="P124" s="95" t="n">
        <v>5.42</v>
      </c>
      <c r="Q124" s="48" t="n">
        <f aca="false">ROUND(IF(Dados!$J$65="SIM",P124*Dados!$N$65,P124),2)</f>
        <v>5.42</v>
      </c>
      <c r="R124" s="48" t="n">
        <f aca="false">ROUND(IF(Dados!$J$66="SIM",Q124*Dados!$N$66,Q124),2)</f>
        <v>5.42</v>
      </c>
      <c r="S124" s="48" t="n">
        <f aca="false">ROUND(IF(Dados!$J$67="SIM",R124*Dados!$N$67,R124),2)</f>
        <v>5.42</v>
      </c>
      <c r="T124" s="48" t="n">
        <f aca="false">ROUND(IF(Dados!$J$68="SIM",S124*Dados!$N$68,S124),2)</f>
        <v>5.42</v>
      </c>
      <c r="U124" s="96" t="n">
        <f aca="false">ROUND(IF(Dados!$J$69="SIM",T124*Dados!$N$69,T124),2)</f>
        <v>5.42</v>
      </c>
      <c r="V124" s="3" t="n">
        <f aca="false">IF(Dados!$D$78="INICIAL",'Ocorrências Mensais - FAT'!P124,IF(Dados!$D$78="1º IPCA",'Ocorrências Mensais - FAT'!Q124,IF(Dados!$D$78="2º IPCA",'Ocorrências Mensais - FAT'!R124,IF(Dados!$D$78="3º IPCA",'Ocorrências Mensais - FAT'!S124,IF(Dados!$D$78="4º IPCA",'Ocorrências Mensais - FAT'!T124,IF(Dados!$D$78="5º IPCA",'Ocorrências Mensais - FAT'!U124,))))))</f>
        <v>5.42</v>
      </c>
    </row>
    <row r="125" s="1" customFormat="true" ht="15" hidden="true" customHeight="false" outlineLevel="0" collapsed="false">
      <c r="A125" s="123" t="n">
        <v>5</v>
      </c>
      <c r="B125" s="101" t="s">
        <v>182</v>
      </c>
      <c r="C125" s="101"/>
      <c r="D125" s="101"/>
      <c r="E125" s="102" t="s">
        <v>86</v>
      </c>
      <c r="F125" s="124"/>
      <c r="G125" s="88" t="n">
        <f aca="false">IF($D$4="PLANILHA PARA LICITAÇÃO (PRECIFICAÇÃO)",L125,0)</f>
        <v>0.666666666666667</v>
      </c>
      <c r="H125" s="89" t="n">
        <f aca="false">G125*P125</f>
        <v>6.52666666666667</v>
      </c>
      <c r="I125" s="90" t="str">
        <f aca="false">IF(G125&lt;L125,"Fornecimento inferior ao estimado mensalmente",IF(G125=L125,"Fornecimento igual ao estimado mensalmente",IF(G125&gt;L125,"Fornecimento superior ao estimado mensalmente",)))</f>
        <v>Fornecimento igual ao estimado mensalmente</v>
      </c>
      <c r="J125" s="90"/>
      <c r="K125" s="90"/>
      <c r="L125" s="126" t="n">
        <f aca="false">M125/O125</f>
        <v>0.666666666666667</v>
      </c>
      <c r="M125" s="127" t="n">
        <f aca="false">Mat!J95</f>
        <v>4</v>
      </c>
      <c r="N125" s="128" t="str">
        <f aca="false">Mat!K95</f>
        <v>Semestral</v>
      </c>
      <c r="O125" s="109" t="n">
        <f aca="false">IF(N125="MENSAL",1,IF(N125="BIMESTRAL",2,IF(N125="TRIMESTRAL",3,IF(N125="QUADRIMESTRAL",4,IF(N125="SEMESTRAL",6,IF(N125="ANUAL",12,IF(N125="BIENAL",24,"")))))))</f>
        <v>6</v>
      </c>
      <c r="P125" s="95" t="n">
        <v>9.79</v>
      </c>
      <c r="Q125" s="48" t="n">
        <f aca="false">ROUND(IF(Dados!$J$65="SIM",P125*Dados!$N$65,P125),2)</f>
        <v>9.79</v>
      </c>
      <c r="R125" s="48" t="n">
        <f aca="false">ROUND(IF(Dados!$J$66="SIM",Q125*Dados!$N$66,Q125),2)</f>
        <v>9.79</v>
      </c>
      <c r="S125" s="48" t="n">
        <f aca="false">ROUND(IF(Dados!$J$67="SIM",R125*Dados!$N$67,R125),2)</f>
        <v>9.79</v>
      </c>
      <c r="T125" s="48" t="n">
        <f aca="false">ROUND(IF(Dados!$J$68="SIM",S125*Dados!$N$68,S125),2)</f>
        <v>9.79</v>
      </c>
      <c r="U125" s="96" t="n">
        <f aca="false">ROUND(IF(Dados!$J$69="SIM",T125*Dados!$N$69,T125),2)</f>
        <v>9.79</v>
      </c>
      <c r="V125" s="3" t="n">
        <f aca="false">IF(Dados!$D$78="INICIAL",'Ocorrências Mensais - FAT'!P125,IF(Dados!$D$78="1º IPCA",'Ocorrências Mensais - FAT'!Q125,IF(Dados!$D$78="2º IPCA",'Ocorrências Mensais - FAT'!R125,IF(Dados!$D$78="3º IPCA",'Ocorrências Mensais - FAT'!S125,IF(Dados!$D$78="4º IPCA",'Ocorrências Mensais - FAT'!T125,IF(Dados!$D$78="5º IPCA",'Ocorrências Mensais - FAT'!U125,))))))</f>
        <v>9.79</v>
      </c>
    </row>
    <row r="126" s="1" customFormat="true" ht="15" hidden="true" customHeight="false" outlineLevel="0" collapsed="false">
      <c r="A126" s="123" t="n">
        <v>6</v>
      </c>
      <c r="B126" s="101" t="s">
        <v>183</v>
      </c>
      <c r="C126" s="101"/>
      <c r="D126" s="101"/>
      <c r="E126" s="102" t="s">
        <v>184</v>
      </c>
      <c r="F126" s="124"/>
      <c r="G126" s="88" t="n">
        <f aca="false">IF($D$4="PLANILHA PARA LICITAÇÃO (PRECIFICAÇÃO)",L126,0)</f>
        <v>0.5</v>
      </c>
      <c r="H126" s="89" t="n">
        <f aca="false">G126*P126</f>
        <v>8.895</v>
      </c>
      <c r="I126" s="90" t="str">
        <f aca="false">IF(G126&lt;L126,"Fornecimento inferior ao estimado mensalmente",IF(G126=L126,"Fornecimento igual ao estimado mensalmente",IF(G126&gt;L126,"Fornecimento superior ao estimado mensalmente",)))</f>
        <v>Fornecimento igual ao estimado mensalmente</v>
      </c>
      <c r="J126" s="90"/>
      <c r="K126" s="90"/>
      <c r="L126" s="126" t="n">
        <f aca="false">M126/O126</f>
        <v>0.5</v>
      </c>
      <c r="M126" s="127" t="n">
        <f aca="false">Mat!J96</f>
        <v>3</v>
      </c>
      <c r="N126" s="128" t="str">
        <f aca="false">Mat!K96</f>
        <v>Semestral</v>
      </c>
      <c r="O126" s="109" t="n">
        <f aca="false">IF(N126="MENSAL",1,IF(N126="BIMESTRAL",2,IF(N126="TRIMESTRAL",3,IF(N126="QUADRIMESTRAL",4,IF(N126="SEMESTRAL",6,IF(N126="ANUAL",12,IF(N126="BIENAL",24,"")))))))</f>
        <v>6</v>
      </c>
      <c r="P126" s="95" t="n">
        <v>17.79</v>
      </c>
      <c r="Q126" s="48" t="n">
        <f aca="false">ROUND(IF(Dados!$J$65="SIM",P126*Dados!$N$65,P126),2)</f>
        <v>17.79</v>
      </c>
      <c r="R126" s="48" t="n">
        <f aca="false">ROUND(IF(Dados!$J$66="SIM",Q126*Dados!$N$66,Q126),2)</f>
        <v>17.79</v>
      </c>
      <c r="S126" s="48" t="n">
        <f aca="false">ROUND(IF(Dados!$J$67="SIM",R126*Dados!$N$67,R126),2)</f>
        <v>17.79</v>
      </c>
      <c r="T126" s="48" t="n">
        <f aca="false">ROUND(IF(Dados!$J$68="SIM",S126*Dados!$N$68,S126),2)</f>
        <v>17.79</v>
      </c>
      <c r="U126" s="96" t="n">
        <f aca="false">ROUND(IF(Dados!$J$69="SIM",T126*Dados!$N$69,T126),2)</f>
        <v>17.79</v>
      </c>
      <c r="V126" s="3" t="n">
        <f aca="false">IF(Dados!$D$78="INICIAL",'Ocorrências Mensais - FAT'!P126,IF(Dados!$D$78="1º IPCA",'Ocorrências Mensais - FAT'!Q126,IF(Dados!$D$78="2º IPCA",'Ocorrências Mensais - FAT'!R126,IF(Dados!$D$78="3º IPCA",'Ocorrências Mensais - FAT'!S126,IF(Dados!$D$78="4º IPCA",'Ocorrências Mensais - FAT'!T126,IF(Dados!$D$78="5º IPCA",'Ocorrências Mensais - FAT'!U126,))))))</f>
        <v>17.79</v>
      </c>
    </row>
    <row r="127" s="1" customFormat="true" ht="15" hidden="true" customHeight="false" outlineLevel="0" collapsed="false">
      <c r="A127" s="123" t="n">
        <v>7</v>
      </c>
      <c r="B127" s="101" t="s">
        <v>185</v>
      </c>
      <c r="C127" s="101"/>
      <c r="D127" s="101"/>
      <c r="E127" s="102" t="s">
        <v>134</v>
      </c>
      <c r="F127" s="124"/>
      <c r="G127" s="88" t="n">
        <f aca="false">IF($D$4="PLANILHA PARA LICITAÇÃO (PRECIFICAÇÃO)",L127,0)</f>
        <v>0.166666666666667</v>
      </c>
      <c r="H127" s="89" t="n">
        <f aca="false">G127*P127</f>
        <v>4.41333333333333</v>
      </c>
      <c r="I127" s="90" t="str">
        <f aca="false">IF(G127&lt;L127,"Fornecimento inferior ao estimado mensalmente",IF(G127=L127,"Fornecimento igual ao estimado mensalmente",IF(G127&gt;L127,"Fornecimento superior ao estimado mensalmente",)))</f>
        <v>Fornecimento igual ao estimado mensalmente</v>
      </c>
      <c r="J127" s="90"/>
      <c r="K127" s="90"/>
      <c r="L127" s="126" t="n">
        <f aca="false">M127/O127</f>
        <v>0.166666666666667</v>
      </c>
      <c r="M127" s="127" t="n">
        <f aca="false">Mat!J97</f>
        <v>1</v>
      </c>
      <c r="N127" s="128" t="str">
        <f aca="false">Mat!K97</f>
        <v>Semestral</v>
      </c>
      <c r="O127" s="109" t="n">
        <f aca="false">IF(N127="MENSAL",1,IF(N127="BIMESTRAL",2,IF(N127="TRIMESTRAL",3,IF(N127="QUADRIMESTRAL",4,IF(N127="SEMESTRAL",6,IF(N127="ANUAL",12,IF(N127="BIENAL",24,"")))))))</f>
        <v>6</v>
      </c>
      <c r="P127" s="95" t="n">
        <v>26.48</v>
      </c>
      <c r="Q127" s="48" t="n">
        <f aca="false">ROUND(IF(Dados!$J$65="SIM",P127*Dados!$N$65,P127),2)</f>
        <v>26.48</v>
      </c>
      <c r="R127" s="48" t="n">
        <f aca="false">ROUND(IF(Dados!$J$66="SIM",Q127*Dados!$N$66,Q127),2)</f>
        <v>26.48</v>
      </c>
      <c r="S127" s="48" t="n">
        <f aca="false">ROUND(IF(Dados!$J$67="SIM",R127*Dados!$N$67,R127),2)</f>
        <v>26.48</v>
      </c>
      <c r="T127" s="48" t="n">
        <f aca="false">ROUND(IF(Dados!$J$68="SIM",S127*Dados!$N$68,S127),2)</f>
        <v>26.48</v>
      </c>
      <c r="U127" s="96" t="n">
        <f aca="false">ROUND(IF(Dados!$J$69="SIM",T127*Dados!$N$69,T127),2)</f>
        <v>26.48</v>
      </c>
      <c r="V127" s="3" t="n">
        <f aca="false">IF(Dados!$D$78="INICIAL",'Ocorrências Mensais - FAT'!P127,IF(Dados!$D$78="1º IPCA",'Ocorrências Mensais - FAT'!Q127,IF(Dados!$D$78="2º IPCA",'Ocorrências Mensais - FAT'!R127,IF(Dados!$D$78="3º IPCA",'Ocorrências Mensais - FAT'!S127,IF(Dados!$D$78="4º IPCA",'Ocorrências Mensais - FAT'!T127,IF(Dados!$D$78="5º IPCA",'Ocorrências Mensais - FAT'!U127,))))))</f>
        <v>26.48</v>
      </c>
    </row>
    <row r="128" s="1" customFormat="true" ht="15" hidden="true" customHeight="false" outlineLevel="0" collapsed="false">
      <c r="A128" s="123" t="n">
        <v>8</v>
      </c>
      <c r="B128" s="101" t="s">
        <v>186</v>
      </c>
      <c r="C128" s="101"/>
      <c r="D128" s="101"/>
      <c r="E128" s="102" t="s">
        <v>86</v>
      </c>
      <c r="F128" s="124"/>
      <c r="G128" s="88" t="n">
        <f aca="false">IF($D$4="PLANILHA PARA LICITAÇÃO (PRECIFICAÇÃO)",L128,0)</f>
        <v>1</v>
      </c>
      <c r="H128" s="89" t="n">
        <f aca="false">G128*P128</f>
        <v>8.35</v>
      </c>
      <c r="I128" s="90" t="str">
        <f aca="false">IF(G128&lt;L128,"Fornecimento inferior ao estimado mensalmente",IF(G128=L128,"Fornecimento igual ao estimado mensalmente",IF(G128&gt;L128,"Fornecimento superior ao estimado mensalmente",)))</f>
        <v>Fornecimento igual ao estimado mensalmente</v>
      </c>
      <c r="J128" s="90"/>
      <c r="K128" s="90"/>
      <c r="L128" s="126" t="n">
        <f aca="false">M128/O128</f>
        <v>1</v>
      </c>
      <c r="M128" s="127" t="n">
        <f aca="false">Mat!J98</f>
        <v>1</v>
      </c>
      <c r="N128" s="128" t="str">
        <f aca="false">Mat!K98</f>
        <v>Mensal</v>
      </c>
      <c r="O128" s="109" t="n">
        <f aca="false">IF(N128="MENSAL",1,IF(N128="BIMESTRAL",2,IF(N128="TRIMESTRAL",3,IF(N128="QUADRIMESTRAL",4,IF(N128="SEMESTRAL",6,IF(N128="ANUAL",12,IF(N128="BIENAL",24,"")))))))</f>
        <v>1</v>
      </c>
      <c r="P128" s="95" t="n">
        <v>8.35</v>
      </c>
      <c r="Q128" s="48" t="n">
        <f aca="false">ROUND(IF(Dados!$J$65="SIM",P128*Dados!$N$65,P128),2)</f>
        <v>8.35</v>
      </c>
      <c r="R128" s="48" t="n">
        <f aca="false">ROUND(IF(Dados!$J$66="SIM",Q128*Dados!$N$66,Q128),2)</f>
        <v>8.35</v>
      </c>
      <c r="S128" s="48" t="n">
        <f aca="false">ROUND(IF(Dados!$J$67="SIM",R128*Dados!$N$67,R128),2)</f>
        <v>8.35</v>
      </c>
      <c r="T128" s="48" t="n">
        <f aca="false">ROUND(IF(Dados!$J$68="SIM",S128*Dados!$N$68,S128),2)</f>
        <v>8.35</v>
      </c>
      <c r="U128" s="96" t="n">
        <f aca="false">ROUND(IF(Dados!$J$69="SIM",T128*Dados!$N$69,T128),2)</f>
        <v>8.35</v>
      </c>
      <c r="V128" s="3" t="n">
        <f aca="false">IF(Dados!$D$78="INICIAL",'Ocorrências Mensais - FAT'!P128,IF(Dados!$D$78="1º IPCA",'Ocorrências Mensais - FAT'!Q128,IF(Dados!$D$78="2º IPCA",'Ocorrências Mensais - FAT'!R128,IF(Dados!$D$78="3º IPCA",'Ocorrências Mensais - FAT'!S128,IF(Dados!$D$78="4º IPCA",'Ocorrências Mensais - FAT'!T128,IF(Dados!$D$78="5º IPCA",'Ocorrências Mensais - FAT'!U128,))))))</f>
        <v>8.35</v>
      </c>
    </row>
    <row r="129" s="1" customFormat="true" ht="15" hidden="true" customHeight="false" outlineLevel="0" collapsed="false">
      <c r="A129" s="123" t="n">
        <v>9</v>
      </c>
      <c r="B129" s="101" t="s">
        <v>187</v>
      </c>
      <c r="C129" s="101"/>
      <c r="D129" s="101"/>
      <c r="E129" s="102" t="s">
        <v>86</v>
      </c>
      <c r="F129" s="124"/>
      <c r="G129" s="88" t="n">
        <f aca="false">IF($D$4="PLANILHA PARA LICITAÇÃO (PRECIFICAÇÃO)",L129,0)</f>
        <v>1</v>
      </c>
      <c r="H129" s="89" t="n">
        <f aca="false">G129*P129</f>
        <v>21.59</v>
      </c>
      <c r="I129" s="90" t="str">
        <f aca="false">IF(G129&lt;L129,"Fornecimento inferior ao estimado mensalmente",IF(G129=L129,"Fornecimento igual ao estimado mensalmente",IF(G129&gt;L129,"Fornecimento superior ao estimado mensalmente",)))</f>
        <v>Fornecimento igual ao estimado mensalmente</v>
      </c>
      <c r="J129" s="90"/>
      <c r="K129" s="90"/>
      <c r="L129" s="126" t="n">
        <f aca="false">M129/O129</f>
        <v>1</v>
      </c>
      <c r="M129" s="127" t="n">
        <f aca="false">Mat!J99</f>
        <v>6</v>
      </c>
      <c r="N129" s="128" t="str">
        <f aca="false">Mat!K99</f>
        <v>Semestral</v>
      </c>
      <c r="O129" s="109" t="n">
        <f aca="false">IF(N129="MENSAL",1,IF(N129="BIMESTRAL",2,IF(N129="TRIMESTRAL",3,IF(N129="QUADRIMESTRAL",4,IF(N129="SEMESTRAL",6,IF(N129="ANUAL",12,IF(N129="BIENAL",24,"")))))))</f>
        <v>6</v>
      </c>
      <c r="P129" s="95" t="n">
        <v>21.59</v>
      </c>
      <c r="Q129" s="48" t="n">
        <f aca="false">ROUND(IF(Dados!$J$65="SIM",P129*Dados!$N$65,P129),2)</f>
        <v>21.59</v>
      </c>
      <c r="R129" s="48" t="n">
        <f aca="false">ROUND(IF(Dados!$J$66="SIM",Q129*Dados!$N$66,Q129),2)</f>
        <v>21.59</v>
      </c>
      <c r="S129" s="48" t="n">
        <f aca="false">ROUND(IF(Dados!$J$67="SIM",R129*Dados!$N$67,R129),2)</f>
        <v>21.59</v>
      </c>
      <c r="T129" s="48" t="n">
        <f aca="false">ROUND(IF(Dados!$J$68="SIM",S129*Dados!$N$68,S129),2)</f>
        <v>21.59</v>
      </c>
      <c r="U129" s="96" t="n">
        <f aca="false">ROUND(IF(Dados!$J$69="SIM",T129*Dados!$N$69,T129),2)</f>
        <v>21.59</v>
      </c>
      <c r="V129" s="3" t="n">
        <f aca="false">IF(Dados!$D$78="INICIAL",'Ocorrências Mensais - FAT'!P129,IF(Dados!$D$78="1º IPCA",'Ocorrências Mensais - FAT'!Q129,IF(Dados!$D$78="2º IPCA",'Ocorrências Mensais - FAT'!R129,IF(Dados!$D$78="3º IPCA",'Ocorrências Mensais - FAT'!S129,IF(Dados!$D$78="4º IPCA",'Ocorrências Mensais - FAT'!T129,IF(Dados!$D$78="5º IPCA",'Ocorrências Mensais - FAT'!U129,))))))</f>
        <v>21.59</v>
      </c>
    </row>
    <row r="130" s="1" customFormat="true" ht="15" hidden="true" customHeight="false" outlineLevel="0" collapsed="false">
      <c r="A130" s="123" t="n">
        <v>10</v>
      </c>
      <c r="B130" s="101" t="s">
        <v>188</v>
      </c>
      <c r="C130" s="101"/>
      <c r="D130" s="101"/>
      <c r="E130" s="102" t="s">
        <v>134</v>
      </c>
      <c r="F130" s="124"/>
      <c r="G130" s="88" t="n">
        <f aca="false">IF($D$4="PLANILHA PARA LICITAÇÃO (PRECIFICAÇÃO)",L130,0)</f>
        <v>0.166666666666667</v>
      </c>
      <c r="H130" s="89" t="n">
        <f aca="false">G130*P130</f>
        <v>7.25333333333333</v>
      </c>
      <c r="I130" s="90" t="str">
        <f aca="false">IF(G130&lt;L130,"Fornecimento inferior ao estimado mensalmente",IF(G130=L130,"Fornecimento igual ao estimado mensalmente",IF(G130&gt;L130,"Fornecimento superior ao estimado mensalmente",)))</f>
        <v>Fornecimento igual ao estimado mensalmente</v>
      </c>
      <c r="J130" s="90"/>
      <c r="K130" s="90"/>
      <c r="L130" s="126" t="n">
        <f aca="false">M130/O130</f>
        <v>0.166666666666667</v>
      </c>
      <c r="M130" s="127" t="n">
        <f aca="false">Mat!J100</f>
        <v>1</v>
      </c>
      <c r="N130" s="128" t="str">
        <f aca="false">Mat!K100</f>
        <v>Semestral</v>
      </c>
      <c r="O130" s="109" t="n">
        <f aca="false">IF(N130="MENSAL",1,IF(N130="BIMESTRAL",2,IF(N130="TRIMESTRAL",3,IF(N130="QUADRIMESTRAL",4,IF(N130="SEMESTRAL",6,IF(N130="ANUAL",12,IF(N130="BIENAL",24,"")))))))</f>
        <v>6</v>
      </c>
      <c r="P130" s="95" t="n">
        <v>43.52</v>
      </c>
      <c r="Q130" s="48" t="n">
        <f aca="false">ROUND(IF(Dados!$J$65="SIM",P130*Dados!$N$65,P130),2)</f>
        <v>43.52</v>
      </c>
      <c r="R130" s="48" t="n">
        <f aca="false">ROUND(IF(Dados!$J$66="SIM",Q130*Dados!$N$66,Q130),2)</f>
        <v>43.52</v>
      </c>
      <c r="S130" s="48" t="n">
        <f aca="false">ROUND(IF(Dados!$J$67="SIM",R130*Dados!$N$67,R130),2)</f>
        <v>43.52</v>
      </c>
      <c r="T130" s="48" t="n">
        <f aca="false">ROUND(IF(Dados!$J$68="SIM",S130*Dados!$N$68,S130),2)</f>
        <v>43.52</v>
      </c>
      <c r="U130" s="96" t="n">
        <f aca="false">ROUND(IF(Dados!$J$69="SIM",T130*Dados!$N$69,T130),2)</f>
        <v>43.52</v>
      </c>
      <c r="V130" s="3" t="n">
        <f aca="false">IF(Dados!$D$78="INICIAL",'Ocorrências Mensais - FAT'!P130,IF(Dados!$D$78="1º IPCA",'Ocorrências Mensais - FAT'!Q130,IF(Dados!$D$78="2º IPCA",'Ocorrências Mensais - FAT'!R130,IF(Dados!$D$78="3º IPCA",'Ocorrências Mensais - FAT'!S130,IF(Dados!$D$78="4º IPCA",'Ocorrências Mensais - FAT'!T130,IF(Dados!$D$78="5º IPCA",'Ocorrências Mensais - FAT'!U130,))))))</f>
        <v>43.52</v>
      </c>
    </row>
    <row r="131" s="1" customFormat="true" ht="15" hidden="true" customHeight="false" outlineLevel="0" collapsed="false">
      <c r="A131" s="123" t="n">
        <v>11</v>
      </c>
      <c r="B131" s="133" t="s">
        <v>189</v>
      </c>
      <c r="C131" s="133"/>
      <c r="D131" s="133"/>
      <c r="E131" s="102" t="s">
        <v>86</v>
      </c>
      <c r="F131" s="130"/>
      <c r="G131" s="88" t="n">
        <f aca="false">IF($D$4="PLANILHA PARA LICITAÇÃO (PRECIFICAÇÃO)",L131,0)</f>
        <v>1.33333333333333</v>
      </c>
      <c r="H131" s="89" t="n">
        <f aca="false">G131*P131</f>
        <v>27.24</v>
      </c>
      <c r="I131" s="90" t="str">
        <f aca="false">IF(G131&lt;L131,"Fornecimento inferior ao estimado mensalmente",IF(G131=L131,"Fornecimento igual ao estimado mensalmente",IF(G131&gt;L131,"Fornecimento superior ao estimado mensalmente",)))</f>
        <v>Fornecimento igual ao estimado mensalmente</v>
      </c>
      <c r="J131" s="90"/>
      <c r="K131" s="90"/>
      <c r="L131" s="126" t="n">
        <f aca="false">M131/O131</f>
        <v>1.33333333333333</v>
      </c>
      <c r="M131" s="127" t="n">
        <f aca="false">Mat!J101</f>
        <v>8</v>
      </c>
      <c r="N131" s="128" t="str">
        <f aca="false">Mat!K101</f>
        <v>Semestral</v>
      </c>
      <c r="O131" s="109" t="n">
        <f aca="false">IF(N131="MENSAL",1,IF(N131="BIMESTRAL",2,IF(N131="TRIMESTRAL",3,IF(N131="QUADRIMESTRAL",4,IF(N131="SEMESTRAL",6,IF(N131="ANUAL",12,IF(N131="BIENAL",24,"")))))))</f>
        <v>6</v>
      </c>
      <c r="P131" s="95" t="n">
        <v>20.43</v>
      </c>
      <c r="Q131" s="48" t="n">
        <f aca="false">ROUND(IF(Dados!$J$65="SIM",P131*Dados!$N$65,P131),2)</f>
        <v>20.43</v>
      </c>
      <c r="R131" s="48" t="n">
        <f aca="false">ROUND(IF(Dados!$J$66="SIM",Q131*Dados!$N$66,Q131),2)</f>
        <v>20.43</v>
      </c>
      <c r="S131" s="48" t="n">
        <f aca="false">ROUND(IF(Dados!$J$67="SIM",R131*Dados!$N$67,R131),2)</f>
        <v>20.43</v>
      </c>
      <c r="T131" s="48" t="n">
        <f aca="false">ROUND(IF(Dados!$J$68="SIM",S131*Dados!$N$68,S131),2)</f>
        <v>20.43</v>
      </c>
      <c r="U131" s="96" t="n">
        <f aca="false">ROUND(IF(Dados!$J$69="SIM",T131*Dados!$N$69,T131),2)</f>
        <v>20.43</v>
      </c>
      <c r="V131" s="3" t="n">
        <f aca="false">IF(Dados!$D$78="INICIAL",'Ocorrências Mensais - FAT'!P131,IF(Dados!$D$78="1º IPCA",'Ocorrências Mensais - FAT'!Q131,IF(Dados!$D$78="2º IPCA",'Ocorrências Mensais - FAT'!R131,IF(Dados!$D$78="3º IPCA",'Ocorrências Mensais - FAT'!S131,IF(Dados!$D$78="4º IPCA",'Ocorrências Mensais - FAT'!T131,IF(Dados!$D$78="5º IPCA",'Ocorrências Mensais - FAT'!U131,))))))</f>
        <v>20.43</v>
      </c>
    </row>
    <row r="132" customFormat="false" ht="15" hidden="true" customHeight="true" outlineLevel="0" collapsed="false">
      <c r="A132" s="77" t="s">
        <v>156</v>
      </c>
      <c r="B132" s="77"/>
      <c r="C132" s="77"/>
      <c r="D132" s="77"/>
      <c r="E132" s="77"/>
      <c r="F132" s="77"/>
      <c r="G132" s="77"/>
      <c r="H132" s="131" t="n">
        <f aca="false">SUM(H121:H131)</f>
        <v>157.102183333333</v>
      </c>
      <c r="I132" s="111"/>
      <c r="J132" s="111"/>
      <c r="K132" s="1"/>
      <c r="L132" s="112"/>
      <c r="M132" s="76"/>
      <c r="N132" s="112"/>
      <c r="P132" s="3"/>
      <c r="Q132" s="3"/>
      <c r="V132" s="1"/>
      <c r="W132" s="1"/>
    </row>
    <row r="133" customFormat="false" ht="15" hidden="true" customHeight="true" outlineLevel="0" collapsed="false">
      <c r="A133" s="113" t="s">
        <v>157</v>
      </c>
      <c r="B133" s="113"/>
      <c r="C133" s="113"/>
      <c r="D133" s="113"/>
      <c r="E133" s="113"/>
      <c r="F133" s="113"/>
      <c r="G133" s="114" t="n">
        <f aca="false">Dados!$G$51</f>
        <v>0.03</v>
      </c>
      <c r="H133" s="115" t="n">
        <f aca="false">ROUND((H132*G133),2)</f>
        <v>4.71</v>
      </c>
      <c r="I133" s="112"/>
      <c r="J133" s="112"/>
      <c r="K133" s="1"/>
      <c r="L133" s="112"/>
      <c r="M133" s="112"/>
      <c r="N133" s="112"/>
      <c r="P133" s="3"/>
      <c r="Q133" s="3"/>
      <c r="V133" s="1"/>
      <c r="W133" s="1"/>
    </row>
    <row r="134" customFormat="false" ht="15" hidden="true" customHeight="true" outlineLevel="0" collapsed="false">
      <c r="A134" s="113" t="s">
        <v>158</v>
      </c>
      <c r="B134" s="113"/>
      <c r="C134" s="113"/>
      <c r="D134" s="113"/>
      <c r="E134" s="113"/>
      <c r="F134" s="113"/>
      <c r="G134" s="114" t="n">
        <f aca="false">Dados!$G$52</f>
        <v>0.0679</v>
      </c>
      <c r="H134" s="115" t="n">
        <f aca="false">ROUND((SUM(H132:H133)*G134),2)</f>
        <v>10.99</v>
      </c>
      <c r="I134" s="112"/>
      <c r="J134" s="112"/>
      <c r="K134" s="1"/>
      <c r="L134" s="112"/>
      <c r="M134" s="112"/>
      <c r="N134" s="112"/>
      <c r="P134" s="3"/>
      <c r="Q134" s="3"/>
      <c r="V134" s="1"/>
      <c r="W134" s="1"/>
    </row>
    <row r="135" customFormat="false" ht="15" hidden="true" customHeight="true" outlineLevel="0" collapsed="false">
      <c r="A135" s="113" t="s">
        <v>159</v>
      </c>
      <c r="B135" s="113"/>
      <c r="C135" s="113"/>
      <c r="D135" s="113"/>
      <c r="E135" s="113"/>
      <c r="F135" s="113"/>
      <c r="G135" s="114" t="n">
        <f aca="false">Dados!$G$64</f>
        <v>0.1725</v>
      </c>
      <c r="H135" s="115" t="n">
        <f aca="false">ROUND((H136*G135),2)</f>
        <v>36.02</v>
      </c>
      <c r="I135" s="112"/>
      <c r="J135" s="112"/>
      <c r="K135" s="1"/>
      <c r="L135" s="112"/>
      <c r="M135" s="112"/>
      <c r="N135" s="112"/>
      <c r="P135" s="3"/>
      <c r="Q135" s="3"/>
      <c r="V135" s="1"/>
      <c r="W135" s="1"/>
    </row>
    <row r="136" customFormat="false" ht="15.75" hidden="true" customHeight="true" outlineLevel="0" collapsed="false">
      <c r="A136" s="116" t="s">
        <v>190</v>
      </c>
      <c r="B136" s="116"/>
      <c r="C136" s="116"/>
      <c r="D136" s="116"/>
      <c r="E136" s="116"/>
      <c r="F136" s="116"/>
      <c r="G136" s="116"/>
      <c r="H136" s="117" t="n">
        <f aca="false">ROUND((SUM(H132:H134)/(1-G135)),2)</f>
        <v>208.82</v>
      </c>
      <c r="I136" s="112"/>
      <c r="J136" s="112"/>
      <c r="K136" s="1"/>
      <c r="L136" s="112"/>
      <c r="M136" s="112"/>
      <c r="N136" s="112"/>
      <c r="P136" s="3"/>
      <c r="Q136" s="3"/>
      <c r="V136" s="1"/>
      <c r="W136" s="1"/>
    </row>
    <row r="137" customFormat="false" ht="15" hidden="true" customHeight="false" outlineLevel="0" collapsed="false">
      <c r="A137" s="118"/>
      <c r="B137" s="76"/>
      <c r="C137" s="76"/>
      <c r="D137" s="76"/>
      <c r="E137" s="76"/>
      <c r="F137" s="76"/>
      <c r="G137" s="118"/>
      <c r="H137" s="76"/>
      <c r="I137" s="112"/>
      <c r="J137" s="112"/>
      <c r="K137" s="1"/>
      <c r="L137" s="112"/>
      <c r="M137" s="112"/>
      <c r="N137" s="112"/>
      <c r="P137" s="3"/>
      <c r="Q137" s="3"/>
      <c r="V137" s="1"/>
      <c r="W137" s="1"/>
    </row>
    <row r="138" s="1" customFormat="true" ht="42" hidden="true" customHeight="true" outlineLevel="0" collapsed="false">
      <c r="A138" s="77" t="s">
        <v>61</v>
      </c>
      <c r="B138" s="119" t="s">
        <v>191</v>
      </c>
      <c r="C138" s="119"/>
      <c r="D138" s="119"/>
      <c r="E138" s="119"/>
      <c r="F138" s="120" t="s">
        <v>63</v>
      </c>
      <c r="G138" s="120"/>
      <c r="H138" s="120"/>
      <c r="I138" s="80" t="s">
        <v>64</v>
      </c>
      <c r="J138" s="80"/>
      <c r="K138" s="80"/>
      <c r="L138" s="121" t="s">
        <v>65</v>
      </c>
      <c r="M138" s="121"/>
      <c r="N138" s="121"/>
      <c r="O138" s="121"/>
      <c r="P138" s="81" t="s">
        <v>66</v>
      </c>
      <c r="Q138" s="81"/>
      <c r="R138" s="81"/>
      <c r="S138" s="81"/>
      <c r="T138" s="81"/>
      <c r="U138" s="81"/>
    </row>
    <row r="139" s="1" customFormat="true" ht="51" hidden="true" customHeight="true" outlineLevel="0" collapsed="false">
      <c r="A139" s="77"/>
      <c r="B139" s="70" t="s">
        <v>67</v>
      </c>
      <c r="C139" s="70"/>
      <c r="D139" s="70"/>
      <c r="E139" s="70" t="s">
        <v>68</v>
      </c>
      <c r="F139" s="70" t="s">
        <v>69</v>
      </c>
      <c r="G139" s="70" t="s">
        <v>70</v>
      </c>
      <c r="H139" s="82" t="s">
        <v>71</v>
      </c>
      <c r="I139" s="80"/>
      <c r="J139" s="80"/>
      <c r="K139" s="80"/>
      <c r="L139" s="77" t="s">
        <v>72</v>
      </c>
      <c r="M139" s="78" t="s">
        <v>73</v>
      </c>
      <c r="N139" s="78" t="s">
        <v>74</v>
      </c>
      <c r="O139" s="122" t="s">
        <v>75</v>
      </c>
      <c r="P139" s="84" t="s">
        <v>76</v>
      </c>
      <c r="Q139" s="70" t="s">
        <v>77</v>
      </c>
      <c r="R139" s="70" t="s">
        <v>78</v>
      </c>
      <c r="S139" s="70" t="s">
        <v>79</v>
      </c>
      <c r="T139" s="70" t="s">
        <v>80</v>
      </c>
      <c r="U139" s="82" t="s">
        <v>81</v>
      </c>
    </row>
    <row r="140" customFormat="false" ht="15" hidden="true" customHeight="false" outlineLevel="0" collapsed="false">
      <c r="A140" s="123" t="n">
        <v>1</v>
      </c>
      <c r="B140" s="134" t="s">
        <v>192</v>
      </c>
      <c r="C140" s="134"/>
      <c r="D140" s="134"/>
      <c r="E140" s="135" t="s">
        <v>86</v>
      </c>
      <c r="F140" s="124"/>
      <c r="G140" s="88" t="n">
        <f aca="false">IF($D$4="PLANILHA PARA LICITAÇÃO (PRECIFICAÇÃO)",L140,0)</f>
        <v>1</v>
      </c>
      <c r="H140" s="89" t="n">
        <f aca="false">G140*P140</f>
        <v>16.78</v>
      </c>
      <c r="I140" s="90" t="str">
        <f aca="false">IF(G140&lt;L140,"Fornecimento inferior ao estimado mensalmente",IF(G140=L140,"Fornecimento igual ao estimado mensalmente",IF(G140&gt;L140,"Fornecimento superior ao estimado mensalmente",)))</f>
        <v>Fornecimento igual ao estimado mensalmente</v>
      </c>
      <c r="J140" s="90"/>
      <c r="K140" s="90"/>
      <c r="L140" s="126" t="n">
        <f aca="false">M140/O140</f>
        <v>1</v>
      </c>
      <c r="M140" s="127" t="n">
        <f aca="false">Mat!J108</f>
        <v>1</v>
      </c>
      <c r="N140" s="128" t="str">
        <f aca="false">Mat!K108</f>
        <v>Mensal</v>
      </c>
      <c r="O140" s="109" t="n">
        <f aca="false">IF(N140="MENSAL",1,IF(N140="BIMESTRAL",2,IF(N140="TRIMESTRAL",3,IF(N140="QUADRIMESTRAL",4,IF(N140="SEMESTRAL",6,IF(N140="ANUAL",12,IF(N140="BIENAL",24,"")))))))</f>
        <v>1</v>
      </c>
      <c r="P140" s="95" t="n">
        <v>16.78</v>
      </c>
      <c r="Q140" s="48" t="n">
        <f aca="false">ROUND(IF(Dados!$J$65="SIM",P140*Dados!$N$65,P140),2)</f>
        <v>16.78</v>
      </c>
      <c r="R140" s="48" t="n">
        <f aca="false">ROUND(IF(Dados!$J$66="SIM",Q140*Dados!$N$66,Q140),2)</f>
        <v>16.78</v>
      </c>
      <c r="S140" s="48" t="n">
        <f aca="false">ROUND(IF(Dados!$J$67="SIM",R140*Dados!$N$67,R140),2)</f>
        <v>16.78</v>
      </c>
      <c r="T140" s="48" t="n">
        <f aca="false">ROUND(IF(Dados!$J$68="SIM",S140*Dados!$N$68,S140),2)</f>
        <v>16.78</v>
      </c>
      <c r="U140" s="96" t="n">
        <f aca="false">ROUND(IF(Dados!$J$69="SIM",T140*Dados!$N$69,T140),2)</f>
        <v>16.78</v>
      </c>
      <c r="V140" s="3" t="n">
        <f aca="false">IF(Dados!$D$78="INICIAL",'Ocorrências Mensais - FAT'!P140,IF(Dados!$D$78="1º IPCA",'Ocorrências Mensais - FAT'!Q140,IF(Dados!$D$78="2º IPCA",'Ocorrências Mensais - FAT'!R140,IF(Dados!$D$78="3º IPCA",'Ocorrências Mensais - FAT'!S140,IF(Dados!$D$78="4º IPCA",'Ocorrências Mensais - FAT'!T140,IF(Dados!$D$78="5º IPCA",'Ocorrências Mensais - FAT'!U140,))))))</f>
        <v>16.78</v>
      </c>
    </row>
    <row r="141" customFormat="false" ht="15" hidden="true" customHeight="false" outlineLevel="0" collapsed="false">
      <c r="A141" s="123" t="n">
        <v>2</v>
      </c>
      <c r="B141" s="134" t="s">
        <v>193</v>
      </c>
      <c r="C141" s="134"/>
      <c r="D141" s="134"/>
      <c r="E141" s="135" t="s">
        <v>86</v>
      </c>
      <c r="F141" s="124"/>
      <c r="G141" s="88" t="n">
        <f aca="false">IF($D$4="PLANILHA PARA LICITAÇÃO (PRECIFICAÇÃO)",L141,0)</f>
        <v>2</v>
      </c>
      <c r="H141" s="89" t="n">
        <f aca="false">G141*P141</f>
        <v>25.44</v>
      </c>
      <c r="I141" s="90" t="str">
        <f aca="false">IF(G141&lt;L141,"Fornecimento inferior ao estimado mensalmente",IF(G141=L141,"Fornecimento igual ao estimado mensalmente",IF(G141&gt;L141,"Fornecimento superior ao estimado mensalmente",)))</f>
        <v>Fornecimento igual ao estimado mensalmente</v>
      </c>
      <c r="J141" s="90"/>
      <c r="K141" s="90"/>
      <c r="L141" s="126" t="n">
        <f aca="false">M141/O141</f>
        <v>2</v>
      </c>
      <c r="M141" s="127" t="n">
        <f aca="false">Mat!J109</f>
        <v>2</v>
      </c>
      <c r="N141" s="128" t="str">
        <f aca="false">Mat!K109</f>
        <v>Mensal</v>
      </c>
      <c r="O141" s="109" t="n">
        <f aca="false">IF(N141="MENSAL",1,IF(N141="BIMESTRAL",2,IF(N141="TRIMESTRAL",3,IF(N141="QUADRIMESTRAL",4,IF(N141="SEMESTRAL",6,IF(N141="ANUAL",12,IF(N141="BIENAL",24,"")))))))</f>
        <v>1</v>
      </c>
      <c r="P141" s="95" t="n">
        <v>12.72</v>
      </c>
      <c r="Q141" s="48" t="n">
        <f aca="false">ROUND(IF(Dados!$J$65="SIM",P141*Dados!$N$65,P141),2)</f>
        <v>12.72</v>
      </c>
      <c r="R141" s="48" t="n">
        <f aca="false">ROUND(IF(Dados!$J$66="SIM",Q141*Dados!$N$66,Q141),2)</f>
        <v>12.72</v>
      </c>
      <c r="S141" s="48" t="n">
        <f aca="false">ROUND(IF(Dados!$J$67="SIM",R141*Dados!$N$67,R141),2)</f>
        <v>12.72</v>
      </c>
      <c r="T141" s="48" t="n">
        <f aca="false">ROUND(IF(Dados!$J$68="SIM",S141*Dados!$N$68,S141),2)</f>
        <v>12.72</v>
      </c>
      <c r="U141" s="96" t="n">
        <f aca="false">ROUND(IF(Dados!$J$69="SIM",T141*Dados!$N$69,T141),2)</f>
        <v>12.72</v>
      </c>
      <c r="V141" s="3" t="n">
        <f aca="false">IF(Dados!$D$78="INICIAL",'Ocorrências Mensais - FAT'!P141,IF(Dados!$D$78="1º IPCA",'Ocorrências Mensais - FAT'!Q141,IF(Dados!$D$78="2º IPCA",'Ocorrências Mensais - FAT'!R141,IF(Dados!$D$78="3º IPCA",'Ocorrências Mensais - FAT'!S141,IF(Dados!$D$78="4º IPCA",'Ocorrências Mensais - FAT'!T141,IF(Dados!$D$78="5º IPCA",'Ocorrências Mensais - FAT'!U141,))))))</f>
        <v>12.72</v>
      </c>
    </row>
    <row r="142" customFormat="false" ht="14.25" hidden="true" customHeight="true" outlineLevel="0" collapsed="false">
      <c r="A142" s="123" t="n">
        <v>3</v>
      </c>
      <c r="B142" s="134" t="s">
        <v>194</v>
      </c>
      <c r="C142" s="134"/>
      <c r="D142" s="134"/>
      <c r="E142" s="135" t="s">
        <v>134</v>
      </c>
      <c r="F142" s="124"/>
      <c r="G142" s="88" t="n">
        <f aca="false">IF($D$4="PLANILHA PARA LICITAÇÃO (PRECIFICAÇÃO)",L142,0)</f>
        <v>1</v>
      </c>
      <c r="H142" s="89" t="n">
        <f aca="false">G142*P142</f>
        <v>24.15</v>
      </c>
      <c r="I142" s="90" t="str">
        <f aca="false">IF(G142&lt;L142,"Fornecimento inferior ao estimado mensalmente",IF(G142=L142,"Fornecimento igual ao estimado mensalmente",IF(G142&gt;L142,"Fornecimento superior ao estimado mensalmente",)))</f>
        <v>Fornecimento igual ao estimado mensalmente</v>
      </c>
      <c r="J142" s="90"/>
      <c r="K142" s="90"/>
      <c r="L142" s="126" t="n">
        <f aca="false">M142/O142</f>
        <v>1</v>
      </c>
      <c r="M142" s="127" t="n">
        <f aca="false">Mat!J110</f>
        <v>1</v>
      </c>
      <c r="N142" s="128" t="str">
        <f aca="false">Mat!K110</f>
        <v>Mensal</v>
      </c>
      <c r="O142" s="109" t="n">
        <f aca="false">IF(N142="MENSAL",1,IF(N142="BIMESTRAL",2,IF(N142="TRIMESTRAL",3,IF(N142="QUADRIMESTRAL",4,IF(N142="SEMESTRAL",6,IF(N142="ANUAL",12,IF(N142="BIENAL",24,"")))))))</f>
        <v>1</v>
      </c>
      <c r="P142" s="95" t="n">
        <v>24.15</v>
      </c>
      <c r="Q142" s="48" t="n">
        <f aca="false">ROUND(IF(Dados!$J$65="SIM",P142*Dados!$N$65,P142),2)</f>
        <v>24.15</v>
      </c>
      <c r="R142" s="48" t="n">
        <f aca="false">ROUND(IF(Dados!$J$66="SIM",Q142*Dados!$N$66,Q142),2)</f>
        <v>24.15</v>
      </c>
      <c r="S142" s="48" t="n">
        <f aca="false">ROUND(IF(Dados!$J$67="SIM",R142*Dados!$N$67,R142),2)</f>
        <v>24.15</v>
      </c>
      <c r="T142" s="48" t="n">
        <f aca="false">ROUND(IF(Dados!$J$68="SIM",S142*Dados!$N$68,S142),2)</f>
        <v>24.15</v>
      </c>
      <c r="U142" s="96" t="n">
        <f aca="false">ROUND(IF(Dados!$J$69="SIM",T142*Dados!$N$69,T142),2)</f>
        <v>24.15</v>
      </c>
      <c r="V142" s="3" t="n">
        <f aca="false">IF(Dados!$D$78="INICIAL",'Ocorrências Mensais - FAT'!P142,IF(Dados!$D$78="1º IPCA",'Ocorrências Mensais - FAT'!Q142,IF(Dados!$D$78="2º IPCA",'Ocorrências Mensais - FAT'!R142,IF(Dados!$D$78="3º IPCA",'Ocorrências Mensais - FAT'!S142,IF(Dados!$D$78="4º IPCA",'Ocorrências Mensais - FAT'!T142,IF(Dados!$D$78="5º IPCA",'Ocorrências Mensais - FAT'!U142,))))))</f>
        <v>24.15</v>
      </c>
    </row>
    <row r="143" customFormat="false" ht="15" hidden="true" customHeight="false" outlineLevel="0" collapsed="false">
      <c r="A143" s="123" t="n">
        <v>4</v>
      </c>
      <c r="B143" s="136" t="s">
        <v>195</v>
      </c>
      <c r="C143" s="136"/>
      <c r="D143" s="136"/>
      <c r="E143" s="135" t="s">
        <v>86</v>
      </c>
      <c r="F143" s="124"/>
      <c r="G143" s="88" t="n">
        <f aca="false">IF($D$4="PLANILHA PARA LICITAÇÃO (PRECIFICAÇÃO)",L143,0)</f>
        <v>2</v>
      </c>
      <c r="H143" s="89" t="n">
        <f aca="false">G143*P143</f>
        <v>16.88</v>
      </c>
      <c r="I143" s="90" t="str">
        <f aca="false">IF(G143&lt;L143,"Fornecimento inferior ao estimado mensalmente",IF(G143=L143,"Fornecimento igual ao estimado mensalmente",IF(G143&gt;L143,"Fornecimento superior ao estimado mensalmente",)))</f>
        <v>Fornecimento igual ao estimado mensalmente</v>
      </c>
      <c r="J143" s="90"/>
      <c r="K143" s="90"/>
      <c r="L143" s="126" t="n">
        <f aca="false">M143/O143</f>
        <v>2</v>
      </c>
      <c r="M143" s="127" t="n">
        <f aca="false">Mat!J111</f>
        <v>2</v>
      </c>
      <c r="N143" s="128" t="str">
        <f aca="false">Mat!K111</f>
        <v>Mensal</v>
      </c>
      <c r="O143" s="109" t="n">
        <f aca="false">IF(N143="MENSAL",1,IF(N143="BIMESTRAL",2,IF(N143="TRIMESTRAL",3,IF(N143="QUADRIMESTRAL",4,IF(N143="SEMESTRAL",6,IF(N143="ANUAL",12,IF(N143="BIENAL",24,"")))))))</f>
        <v>1</v>
      </c>
      <c r="P143" s="95" t="n">
        <v>8.44</v>
      </c>
      <c r="Q143" s="48" t="n">
        <f aca="false">ROUND(IF(Dados!$J$65="SIM",P143*Dados!$N$65,P143),2)</f>
        <v>8.44</v>
      </c>
      <c r="R143" s="48" t="n">
        <f aca="false">ROUND(IF(Dados!$J$66="SIM",Q143*Dados!$N$66,Q143),2)</f>
        <v>8.44</v>
      </c>
      <c r="S143" s="48" t="n">
        <f aca="false">ROUND(IF(Dados!$J$67="SIM",R143*Dados!$N$67,R143),2)</f>
        <v>8.44</v>
      </c>
      <c r="T143" s="48" t="n">
        <f aca="false">ROUND(IF(Dados!$J$68="SIM",S143*Dados!$N$68,S143),2)</f>
        <v>8.44</v>
      </c>
      <c r="U143" s="96" t="n">
        <f aca="false">ROUND(IF(Dados!$J$69="SIM",T143*Dados!$N$69,T143),2)</f>
        <v>8.44</v>
      </c>
      <c r="V143" s="3" t="n">
        <f aca="false">IF(Dados!$D$78="INICIAL",'Ocorrências Mensais - FAT'!P143,IF(Dados!$D$78="1º IPCA",'Ocorrências Mensais - FAT'!Q143,IF(Dados!$D$78="2º IPCA",'Ocorrências Mensais - FAT'!R143,IF(Dados!$D$78="3º IPCA",'Ocorrências Mensais - FAT'!S143,IF(Dados!$D$78="4º IPCA",'Ocorrências Mensais - FAT'!T143,IF(Dados!$D$78="5º IPCA",'Ocorrências Mensais - FAT'!U143,))))))</f>
        <v>8.44</v>
      </c>
    </row>
    <row r="144" customFormat="false" ht="15" hidden="true" customHeight="true" outlineLevel="0" collapsed="false">
      <c r="A144" s="77" t="s">
        <v>156</v>
      </c>
      <c r="B144" s="77"/>
      <c r="C144" s="77"/>
      <c r="D144" s="77"/>
      <c r="E144" s="77"/>
      <c r="F144" s="77"/>
      <c r="G144" s="77"/>
      <c r="H144" s="131" t="n">
        <f aca="false">SUM(H140:H143)</f>
        <v>83.25</v>
      </c>
      <c r="I144" s="111"/>
      <c r="J144" s="111"/>
      <c r="K144" s="1"/>
      <c r="L144" s="112"/>
      <c r="M144" s="76"/>
      <c r="N144" s="112"/>
      <c r="P144" s="3"/>
      <c r="Q144" s="3"/>
      <c r="V144" s="1"/>
    </row>
    <row r="145" customFormat="false" ht="15" hidden="true" customHeight="true" outlineLevel="0" collapsed="false">
      <c r="A145" s="113" t="s">
        <v>157</v>
      </c>
      <c r="B145" s="113"/>
      <c r="C145" s="113"/>
      <c r="D145" s="113"/>
      <c r="E145" s="113"/>
      <c r="F145" s="113"/>
      <c r="G145" s="114" t="n">
        <f aca="false">Dados!$G$51</f>
        <v>0.03</v>
      </c>
      <c r="H145" s="115" t="n">
        <f aca="false">ROUND((H144*G145),2)</f>
        <v>2.5</v>
      </c>
      <c r="I145" s="112"/>
      <c r="J145" s="112"/>
      <c r="K145" s="1"/>
      <c r="L145" s="112"/>
      <c r="M145" s="112"/>
      <c r="N145" s="112"/>
      <c r="P145" s="3"/>
      <c r="Q145" s="3"/>
      <c r="V145" s="1"/>
    </row>
    <row r="146" customFormat="false" ht="15" hidden="true" customHeight="true" outlineLevel="0" collapsed="false">
      <c r="A146" s="113" t="s">
        <v>158</v>
      </c>
      <c r="B146" s="113"/>
      <c r="C146" s="113"/>
      <c r="D146" s="113"/>
      <c r="E146" s="113"/>
      <c r="F146" s="113"/>
      <c r="G146" s="114" t="n">
        <f aca="false">Dados!$G$52</f>
        <v>0.0679</v>
      </c>
      <c r="H146" s="115" t="n">
        <f aca="false">ROUND((SUM(H144:H145)*G146),2)</f>
        <v>5.82</v>
      </c>
      <c r="I146" s="112"/>
      <c r="J146" s="112"/>
      <c r="K146" s="1"/>
      <c r="L146" s="112"/>
      <c r="M146" s="112"/>
      <c r="N146" s="112"/>
      <c r="P146" s="3"/>
      <c r="Q146" s="3"/>
      <c r="V146" s="1"/>
    </row>
    <row r="147" customFormat="false" ht="15" hidden="true" customHeight="true" outlineLevel="0" collapsed="false">
      <c r="A147" s="113" t="s">
        <v>159</v>
      </c>
      <c r="B147" s="113"/>
      <c r="C147" s="113"/>
      <c r="D147" s="113"/>
      <c r="E147" s="113"/>
      <c r="F147" s="113"/>
      <c r="G147" s="114" t="n">
        <f aca="false">Dados!$G$64</f>
        <v>0.1725</v>
      </c>
      <c r="H147" s="115" t="n">
        <f aca="false">ROUND((H148*G147),2)</f>
        <v>19.09</v>
      </c>
      <c r="I147" s="112"/>
      <c r="J147" s="112"/>
      <c r="K147" s="1"/>
      <c r="L147" s="112"/>
      <c r="M147" s="112"/>
      <c r="N147" s="112"/>
      <c r="P147" s="3"/>
      <c r="Q147" s="3"/>
      <c r="V147" s="1"/>
    </row>
    <row r="148" customFormat="false" ht="15.75" hidden="true" customHeight="true" outlineLevel="0" collapsed="false">
      <c r="A148" s="116" t="s">
        <v>196</v>
      </c>
      <c r="B148" s="116"/>
      <c r="C148" s="116"/>
      <c r="D148" s="116"/>
      <c r="E148" s="116"/>
      <c r="F148" s="116"/>
      <c r="G148" s="116"/>
      <c r="H148" s="117" t="n">
        <f aca="false">ROUND((SUM(H144:H146)/(1-G147)),2)</f>
        <v>110.66</v>
      </c>
      <c r="I148" s="112"/>
      <c r="J148" s="112"/>
      <c r="K148" s="1"/>
      <c r="L148" s="112"/>
      <c r="M148" s="112"/>
      <c r="N148" s="112"/>
      <c r="P148" s="3"/>
      <c r="Q148" s="3"/>
      <c r="V148" s="1"/>
    </row>
    <row r="149" customFormat="false" ht="15" hidden="false" customHeight="false" outlineLevel="0" collapsed="false">
      <c r="A149" s="118"/>
      <c r="B149" s="76"/>
      <c r="C149" s="76"/>
      <c r="D149" s="76"/>
      <c r="E149" s="76"/>
      <c r="F149" s="76"/>
      <c r="G149" s="118"/>
      <c r="H149" s="76"/>
      <c r="I149" s="112"/>
      <c r="J149" s="112"/>
      <c r="K149" s="1"/>
      <c r="L149" s="112"/>
      <c r="M149" s="112"/>
      <c r="N149" s="112"/>
      <c r="P149" s="3"/>
      <c r="Q149" s="3"/>
      <c r="V149" s="1"/>
    </row>
    <row r="150" customFormat="false" ht="15" hidden="false" customHeight="false" outlineLevel="0" collapsed="false">
      <c r="A150" s="118"/>
      <c r="B150" s="76"/>
      <c r="C150" s="76"/>
      <c r="D150" s="76"/>
      <c r="E150" s="76"/>
      <c r="F150" s="76"/>
      <c r="G150" s="118"/>
      <c r="H150" s="76"/>
      <c r="I150" s="112"/>
      <c r="J150" s="112"/>
      <c r="K150" s="1"/>
      <c r="L150" s="112"/>
      <c r="M150" s="112"/>
      <c r="N150" s="112"/>
      <c r="P150" s="3"/>
      <c r="Q150" s="3"/>
      <c r="V150" s="1"/>
    </row>
    <row r="151" customFormat="false" ht="15" hidden="true" customHeight="false" outlineLevel="0" collapsed="false"/>
    <row r="152" customFormat="false" ht="15" hidden="true" customHeight="false" outlineLevel="0" collapsed="false">
      <c r="B152" s="137" t="s">
        <v>197</v>
      </c>
      <c r="C152" s="137"/>
    </row>
    <row r="153" customFormat="false" ht="15" hidden="true" customHeight="false" outlineLevel="0" collapsed="false">
      <c r="B153" s="138" t="s">
        <v>198</v>
      </c>
      <c r="C153" s="139" t="n">
        <v>22</v>
      </c>
      <c r="D153" s="1" t="s">
        <v>199</v>
      </c>
    </row>
    <row r="154" customFormat="false" ht="15" hidden="true" customHeight="false" outlineLevel="0" collapsed="false">
      <c r="B154" s="138" t="s">
        <v>5</v>
      </c>
      <c r="C154" s="140" t="n">
        <v>30</v>
      </c>
      <c r="D154" s="1" t="s">
        <v>200</v>
      </c>
    </row>
    <row r="155" customFormat="false" ht="15" hidden="true" customHeight="false" outlineLevel="0" collapsed="false">
      <c r="B155" s="138" t="s">
        <v>201</v>
      </c>
      <c r="C155" s="140" t="s">
        <v>202</v>
      </c>
      <c r="D155" s="1" t="s">
        <v>203</v>
      </c>
    </row>
    <row r="156" customFormat="false" ht="15" hidden="true" customHeight="false" outlineLevel="0" collapsed="false"/>
    <row r="157" customFormat="false" ht="15" hidden="true" customHeight="false" outlineLevel="0" collapsed="false">
      <c r="B157" s="138" t="s">
        <v>204</v>
      </c>
      <c r="C157" s="138" t="s">
        <v>205</v>
      </c>
    </row>
    <row r="158" customFormat="false" ht="15" hidden="true" customHeight="false" outlineLevel="0" collapsed="false">
      <c r="B158" s="138" t="n">
        <v>220</v>
      </c>
      <c r="C158" s="138" t="n">
        <v>8.8</v>
      </c>
    </row>
    <row r="159" customFormat="false" ht="15" hidden="true" customHeight="false" outlineLevel="0" collapsed="false">
      <c r="B159" s="138" t="n">
        <v>200</v>
      </c>
      <c r="C159" s="138" t="n">
        <v>8</v>
      </c>
    </row>
    <row r="160" customFormat="false" ht="15" hidden="true" customHeight="false" outlineLevel="0" collapsed="false">
      <c r="B160" s="138" t="n">
        <v>180</v>
      </c>
      <c r="C160" s="138" t="n">
        <v>7.2</v>
      </c>
    </row>
    <row r="161" customFormat="false" ht="15" hidden="true" customHeight="false" outlineLevel="0" collapsed="false">
      <c r="B161" s="138" t="n">
        <v>150</v>
      </c>
      <c r="C161" s="138" t="n">
        <v>6</v>
      </c>
    </row>
    <row r="162" customFormat="false" ht="15" hidden="true" customHeight="false" outlineLevel="0" collapsed="false">
      <c r="B162" s="138" t="n">
        <v>120</v>
      </c>
      <c r="C162" s="138" t="n">
        <v>4.8</v>
      </c>
    </row>
    <row r="163" customFormat="false" ht="15" hidden="true" customHeight="false" outlineLevel="0" collapsed="false">
      <c r="B163" s="138" t="n">
        <v>100</v>
      </c>
      <c r="C163" s="138" t="n">
        <v>4</v>
      </c>
    </row>
    <row r="164" customFormat="false" ht="15" hidden="true" customHeight="false" outlineLevel="0" collapsed="false">
      <c r="B164" s="138" t="n">
        <v>75</v>
      </c>
      <c r="C164" s="138" t="n">
        <v>3</v>
      </c>
    </row>
    <row r="165" customFormat="false" ht="15" hidden="true" customHeight="false" outlineLevel="0" collapsed="false"/>
    <row r="166" customFormat="false" ht="15" hidden="true" customHeight="false" outlineLevel="0" collapsed="false">
      <c r="B166" s="138" t="s">
        <v>206</v>
      </c>
    </row>
    <row r="167" customFormat="false" ht="15" hidden="true" customHeight="false" outlineLevel="0" collapsed="false">
      <c r="B167" s="141" t="n">
        <v>0</v>
      </c>
    </row>
    <row r="168" customFormat="false" ht="15" hidden="true" customHeight="false" outlineLevel="0" collapsed="false">
      <c r="B168" s="141" t="n">
        <v>1</v>
      </c>
    </row>
    <row r="169" customFormat="false" ht="15" hidden="true" customHeight="false" outlineLevel="0" collapsed="false">
      <c r="B169" s="141" t="n">
        <v>2</v>
      </c>
    </row>
    <row r="170" customFormat="false" ht="15" hidden="true" customHeight="false" outlineLevel="0" collapsed="false"/>
  </sheetData>
  <sheetProtection sheet="true" password="c494" objects="true" scenarios="true"/>
  <mergeCells count="245">
    <mergeCell ref="C2:S2"/>
    <mergeCell ref="C3:S3"/>
    <mergeCell ref="A4:C4"/>
    <mergeCell ref="D4:E4"/>
    <mergeCell ref="A5:C5"/>
    <mergeCell ref="A7:C9"/>
    <mergeCell ref="D7:D9"/>
    <mergeCell ref="E7:E9"/>
    <mergeCell ref="F7:F9"/>
    <mergeCell ref="G7:G9"/>
    <mergeCell ref="H7:H9"/>
    <mergeCell ref="I7:I9"/>
    <mergeCell ref="J7:J9"/>
    <mergeCell ref="K7:K9"/>
    <mergeCell ref="L7:L9"/>
    <mergeCell ref="M7:M9"/>
    <mergeCell ref="N7:N9"/>
    <mergeCell ref="O7:O9"/>
    <mergeCell ref="P7:P9"/>
    <mergeCell ref="Q7:Q9"/>
    <mergeCell ref="R7:R9"/>
    <mergeCell ref="S7:S9"/>
    <mergeCell ref="T7:W9"/>
    <mergeCell ref="A22:G22"/>
    <mergeCell ref="I22:J22"/>
    <mergeCell ref="A25:B26"/>
    <mergeCell ref="A27:F28"/>
    <mergeCell ref="A31:A32"/>
    <mergeCell ref="B31:E31"/>
    <mergeCell ref="F31:H31"/>
    <mergeCell ref="I31:K32"/>
    <mergeCell ref="L31:O31"/>
    <mergeCell ref="P31:U31"/>
    <mergeCell ref="B32:D32"/>
    <mergeCell ref="B33:D33"/>
    <mergeCell ref="I33:K33"/>
    <mergeCell ref="B34:D34"/>
    <mergeCell ref="I34:K34"/>
    <mergeCell ref="B35:D35"/>
    <mergeCell ref="I35:K35"/>
    <mergeCell ref="B36:D36"/>
    <mergeCell ref="I36:K36"/>
    <mergeCell ref="B37:D37"/>
    <mergeCell ref="I37:K37"/>
    <mergeCell ref="B38:D38"/>
    <mergeCell ref="I38:K38"/>
    <mergeCell ref="B39:D39"/>
    <mergeCell ref="I39:K39"/>
    <mergeCell ref="B40:D40"/>
    <mergeCell ref="I40:K40"/>
    <mergeCell ref="B41:D41"/>
    <mergeCell ref="I41:K41"/>
    <mergeCell ref="B42:D42"/>
    <mergeCell ref="I42:K42"/>
    <mergeCell ref="B43:D43"/>
    <mergeCell ref="I43:K43"/>
    <mergeCell ref="B44:D44"/>
    <mergeCell ref="I44:K44"/>
    <mergeCell ref="B45:D45"/>
    <mergeCell ref="I45:K45"/>
    <mergeCell ref="B46:D46"/>
    <mergeCell ref="I46:K46"/>
    <mergeCell ref="B47:D47"/>
    <mergeCell ref="I47:K47"/>
    <mergeCell ref="B48:D48"/>
    <mergeCell ref="I48:K48"/>
    <mergeCell ref="B49:D49"/>
    <mergeCell ref="I49:K49"/>
    <mergeCell ref="I50:K50"/>
    <mergeCell ref="B51:D51"/>
    <mergeCell ref="I51:K51"/>
    <mergeCell ref="B52:D52"/>
    <mergeCell ref="I52:K52"/>
    <mergeCell ref="B53:D53"/>
    <mergeCell ref="I53:K53"/>
    <mergeCell ref="B54:D54"/>
    <mergeCell ref="I54:K54"/>
    <mergeCell ref="B55:D55"/>
    <mergeCell ref="I55:K55"/>
    <mergeCell ref="B56:D56"/>
    <mergeCell ref="I56:K56"/>
    <mergeCell ref="B57:D57"/>
    <mergeCell ref="I57:K57"/>
    <mergeCell ref="B58:D58"/>
    <mergeCell ref="I58:K58"/>
    <mergeCell ref="B59:D59"/>
    <mergeCell ref="I59:K59"/>
    <mergeCell ref="B60:D60"/>
    <mergeCell ref="I60:K60"/>
    <mergeCell ref="B61:D61"/>
    <mergeCell ref="I61:K61"/>
    <mergeCell ref="B62:D62"/>
    <mergeCell ref="I62:K62"/>
    <mergeCell ref="B63:D63"/>
    <mergeCell ref="I63:K63"/>
    <mergeCell ref="B64:D64"/>
    <mergeCell ref="I64:K64"/>
    <mergeCell ref="B65:D65"/>
    <mergeCell ref="I65:K65"/>
    <mergeCell ref="B66:D66"/>
    <mergeCell ref="I66:K66"/>
    <mergeCell ref="B67:D67"/>
    <mergeCell ref="I67:K67"/>
    <mergeCell ref="B68:D68"/>
    <mergeCell ref="I68:K68"/>
    <mergeCell ref="B69:D69"/>
    <mergeCell ref="I69:K69"/>
    <mergeCell ref="B70:D70"/>
    <mergeCell ref="I70:K70"/>
    <mergeCell ref="B71:D71"/>
    <mergeCell ref="I71:K71"/>
    <mergeCell ref="B72:D72"/>
    <mergeCell ref="I72:K72"/>
    <mergeCell ref="B73:D73"/>
    <mergeCell ref="I73:K73"/>
    <mergeCell ref="B74:D74"/>
    <mergeCell ref="I74:K74"/>
    <mergeCell ref="B75:D75"/>
    <mergeCell ref="I75:K75"/>
    <mergeCell ref="B76:D76"/>
    <mergeCell ref="I76:K76"/>
    <mergeCell ref="B77:D77"/>
    <mergeCell ref="I77:K77"/>
    <mergeCell ref="B78:D78"/>
    <mergeCell ref="I78:K78"/>
    <mergeCell ref="B79:D79"/>
    <mergeCell ref="I79:K79"/>
    <mergeCell ref="B80:D80"/>
    <mergeCell ref="I80:K80"/>
    <mergeCell ref="B81:D81"/>
    <mergeCell ref="I81:K81"/>
    <mergeCell ref="B82:D82"/>
    <mergeCell ref="I82:K82"/>
    <mergeCell ref="B83:D83"/>
    <mergeCell ref="I83:K83"/>
    <mergeCell ref="B84:D84"/>
    <mergeCell ref="I84:K84"/>
    <mergeCell ref="B85:D85"/>
    <mergeCell ref="I85:K85"/>
    <mergeCell ref="B86:D86"/>
    <mergeCell ref="I86:K86"/>
    <mergeCell ref="B87:D87"/>
    <mergeCell ref="I87:K87"/>
    <mergeCell ref="A88:G88"/>
    <mergeCell ref="A89:F89"/>
    <mergeCell ref="A90:F90"/>
    <mergeCell ref="A91:F91"/>
    <mergeCell ref="A92:G92"/>
    <mergeCell ref="A94:A95"/>
    <mergeCell ref="B94:E94"/>
    <mergeCell ref="F94:H94"/>
    <mergeCell ref="I94:K95"/>
    <mergeCell ref="L94:O94"/>
    <mergeCell ref="P94:U94"/>
    <mergeCell ref="B95:D95"/>
    <mergeCell ref="B96:D96"/>
    <mergeCell ref="I96:K96"/>
    <mergeCell ref="B97:D97"/>
    <mergeCell ref="I97:K97"/>
    <mergeCell ref="B98:D98"/>
    <mergeCell ref="I98:K98"/>
    <mergeCell ref="A99:G99"/>
    <mergeCell ref="A100:F100"/>
    <mergeCell ref="A101:F101"/>
    <mergeCell ref="A102:F102"/>
    <mergeCell ref="A103:G103"/>
    <mergeCell ref="A105:A106"/>
    <mergeCell ref="B105:E105"/>
    <mergeCell ref="F105:H105"/>
    <mergeCell ref="I105:K106"/>
    <mergeCell ref="L105:O105"/>
    <mergeCell ref="P105:U105"/>
    <mergeCell ref="B106:D106"/>
    <mergeCell ref="B107:D107"/>
    <mergeCell ref="I107:K107"/>
    <mergeCell ref="B108:D108"/>
    <mergeCell ref="I108:K108"/>
    <mergeCell ref="B109:D109"/>
    <mergeCell ref="I109:K109"/>
    <mergeCell ref="B110:D110"/>
    <mergeCell ref="I110:K110"/>
    <mergeCell ref="B111:D111"/>
    <mergeCell ref="I111:K111"/>
    <mergeCell ref="B112:D112"/>
    <mergeCell ref="I112:K112"/>
    <mergeCell ref="A113:G113"/>
    <mergeCell ref="A114:F114"/>
    <mergeCell ref="A115:F115"/>
    <mergeCell ref="A116:F116"/>
    <mergeCell ref="A117:G117"/>
    <mergeCell ref="A119:A120"/>
    <mergeCell ref="B119:E119"/>
    <mergeCell ref="F119:H119"/>
    <mergeCell ref="I119:K120"/>
    <mergeCell ref="L119:O119"/>
    <mergeCell ref="P119:U119"/>
    <mergeCell ref="B120:D120"/>
    <mergeCell ref="B121:D121"/>
    <mergeCell ref="I121:K121"/>
    <mergeCell ref="B122:D122"/>
    <mergeCell ref="I122:K122"/>
    <mergeCell ref="B123:D123"/>
    <mergeCell ref="I123:K123"/>
    <mergeCell ref="B124:D124"/>
    <mergeCell ref="I124:K124"/>
    <mergeCell ref="B125:D125"/>
    <mergeCell ref="I125:K125"/>
    <mergeCell ref="B126:D126"/>
    <mergeCell ref="I126:K126"/>
    <mergeCell ref="B127:D127"/>
    <mergeCell ref="I127:K127"/>
    <mergeCell ref="B128:D128"/>
    <mergeCell ref="I128:K128"/>
    <mergeCell ref="B129:D129"/>
    <mergeCell ref="I129:K129"/>
    <mergeCell ref="B130:D130"/>
    <mergeCell ref="I130:K130"/>
    <mergeCell ref="B131:D131"/>
    <mergeCell ref="I131:K131"/>
    <mergeCell ref="A132:G132"/>
    <mergeCell ref="A133:F133"/>
    <mergeCell ref="A134:F134"/>
    <mergeCell ref="A135:F135"/>
    <mergeCell ref="A136:G136"/>
    <mergeCell ref="A138:A139"/>
    <mergeCell ref="B138:E138"/>
    <mergeCell ref="F138:H138"/>
    <mergeCell ref="I138:K139"/>
    <mergeCell ref="L138:O138"/>
    <mergeCell ref="P138:U138"/>
    <mergeCell ref="B139:D139"/>
    <mergeCell ref="B140:D140"/>
    <mergeCell ref="I140:K140"/>
    <mergeCell ref="B141:D141"/>
    <mergeCell ref="I141:K141"/>
    <mergeCell ref="B142:D142"/>
    <mergeCell ref="I142:K142"/>
    <mergeCell ref="B143:D143"/>
    <mergeCell ref="I143:K143"/>
    <mergeCell ref="A144:G144"/>
    <mergeCell ref="A145:F145"/>
    <mergeCell ref="A146:F146"/>
    <mergeCell ref="A147:F147"/>
    <mergeCell ref="A148:G148"/>
    <mergeCell ref="B152:C152"/>
  </mergeCells>
  <conditionalFormatting sqref="I33:I87 I96:I98 I121:I131">
    <cfRule type="containsText" priority="2" operator="containsText" aboveAverage="0" equalAverage="0" bottom="0" percent="0" rank="0" text="inferior" dxfId="0">
      <formula>NOT(ISERROR(SEARCH("inferior",I33)))</formula>
    </cfRule>
    <cfRule type="containsText" priority="3" operator="containsText" aboveAverage="0" equalAverage="0" bottom="0" percent="0" rank="0" text="superior" dxfId="1">
      <formula>NOT(ISERROR(SEARCH("superior",I33)))</formula>
    </cfRule>
  </conditionalFormatting>
  <conditionalFormatting sqref="I107:I112">
    <cfRule type="containsText" priority="4" operator="containsText" aboveAverage="0" equalAverage="0" bottom="0" percent="0" rank="0" text="inferior" dxfId="2">
      <formula>NOT(ISERROR(SEARCH("inferior",I107)))</formula>
    </cfRule>
    <cfRule type="containsText" priority="5" operator="containsText" aboveAverage="0" equalAverage="0" bottom="0" percent="0" rank="0" text="superior" dxfId="3">
      <formula>NOT(ISERROR(SEARCH("superior",I107)))</formula>
    </cfRule>
  </conditionalFormatting>
  <conditionalFormatting sqref="I140:I143">
    <cfRule type="containsText" priority="6" operator="containsText" aboveAverage="0" equalAverage="0" bottom="0" percent="0" rank="0" text="inferior" dxfId="4">
      <formula>NOT(ISERROR(SEARCH("inferior",I140)))</formula>
    </cfRule>
    <cfRule type="containsText" priority="7" operator="containsText" aboveAverage="0" equalAverage="0" bottom="0" percent="0" rank="0" text="superior" dxfId="5">
      <formula>NOT(ISERROR(SEARCH("superior",I140)))</formula>
    </cfRule>
  </conditionalFormatting>
  <dataValidations count="6">
    <dataValidation allowBlank="true" errorStyle="stop" operator="between" showDropDown="false" showErrorMessage="true" showInputMessage="true" sqref="N33:N87 N96:N98 N107:N112 N121:N131 N140:N143" type="list">
      <formula1>"Mensal,Bimestral,Trimestral,Quadrimestral,Semestral,Anual,Bienal"</formula1>
      <formula2>0</formula2>
    </dataValidation>
    <dataValidation allowBlank="true" errorStyle="stop" operator="between" showDropDown="false" showErrorMessage="true" showInputMessage="true" sqref="C26" type="list">
      <formula1>$B$158:$B$164</formula1>
      <formula2>0</formula2>
    </dataValidation>
    <dataValidation allowBlank="true" errorStyle="stop" operator="between" showDropDown="false" showErrorMessage="true" showInputMessage="true" sqref="D4:E4" type="list">
      <formula1>"PLANILHA PARA LICITAÇÃO (PRECIFICAÇÃO),PLANILHA PARA FATURAMENTO"</formula1>
      <formula2>0</formula2>
    </dataValidation>
    <dataValidation allowBlank="true" errorStyle="stop" operator="between" showDropDown="false" showErrorMessage="true" showInputMessage="true" sqref="D5" type="list">
      <formula1>$B$153:$B$155</formula1>
      <formula2>0</formula2>
    </dataValidation>
    <dataValidation allowBlank="true" errorStyle="stop" operator="between" showDropDown="false" showErrorMessage="true" showInputMessage="true" sqref="E11:E21" type="list">
      <formula1>"SIM,NÃO"</formula1>
      <formula2>0</formula2>
    </dataValidation>
    <dataValidation allowBlank="true" errorStyle="stop" operator="between" showDropDown="false" showErrorMessage="true" showInputMessage="true" sqref="D11:D21" type="list">
      <formula1>$B$167:$B$168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41" activeCellId="0" sqref="J41"/>
    </sheetView>
  </sheetViews>
  <sheetFormatPr defaultColWidth="9.1484375" defaultRowHeight="15" zeroHeight="false" outlineLevelRow="0" outlineLevelCol="0"/>
  <cols>
    <col collapsed="false" customWidth="true" hidden="false" outlineLevel="0" max="1" min="1" style="148" width="10.57"/>
    <col collapsed="false" customWidth="true" hidden="false" outlineLevel="0" max="2" min="2" style="148" width="27.71"/>
    <col collapsed="false" customWidth="true" hidden="false" outlineLevel="0" max="3" min="3" style="148" width="14.42"/>
    <col collapsed="false" customWidth="true" hidden="false" outlineLevel="0" max="5" min="4" style="148" width="15"/>
    <col collapsed="false" customWidth="true" hidden="false" outlineLevel="0" max="6" min="6" style="662" width="16.71"/>
    <col collapsed="false" customWidth="true" hidden="false" outlineLevel="0" max="8" min="7" style="662" width="13.15"/>
    <col collapsed="false" customWidth="true" hidden="false" outlineLevel="0" max="10" min="9" style="662" width="12.57"/>
    <col collapsed="false" customWidth="false" hidden="false" outlineLevel="0" max="257" min="11" style="148" width="9.14"/>
    <col collapsed="false" customWidth="true" hidden="false" outlineLevel="0" max="258" min="258" style="148" width="10.57"/>
    <col collapsed="false" customWidth="true" hidden="false" outlineLevel="0" max="259" min="259" style="148" width="27.71"/>
    <col collapsed="false" customWidth="true" hidden="false" outlineLevel="0" max="260" min="260" style="148" width="14.42"/>
    <col collapsed="false" customWidth="true" hidden="false" outlineLevel="0" max="262" min="261" style="148" width="15"/>
    <col collapsed="false" customWidth="true" hidden="false" outlineLevel="0" max="263" min="263" style="148" width="16.71"/>
    <col collapsed="false" customWidth="true" hidden="false" outlineLevel="0" max="264" min="264" style="148" width="13.15"/>
    <col collapsed="false" customWidth="true" hidden="false" outlineLevel="0" max="266" min="265" style="148" width="12.57"/>
    <col collapsed="false" customWidth="false" hidden="false" outlineLevel="0" max="513" min="267" style="148" width="9.14"/>
    <col collapsed="false" customWidth="true" hidden="false" outlineLevel="0" max="514" min="514" style="148" width="10.57"/>
    <col collapsed="false" customWidth="true" hidden="false" outlineLevel="0" max="515" min="515" style="148" width="27.71"/>
    <col collapsed="false" customWidth="true" hidden="false" outlineLevel="0" max="516" min="516" style="148" width="14.42"/>
    <col collapsed="false" customWidth="true" hidden="false" outlineLevel="0" max="518" min="517" style="148" width="15"/>
    <col collapsed="false" customWidth="true" hidden="false" outlineLevel="0" max="519" min="519" style="148" width="16.71"/>
    <col collapsed="false" customWidth="true" hidden="false" outlineLevel="0" max="520" min="520" style="148" width="13.15"/>
    <col collapsed="false" customWidth="true" hidden="false" outlineLevel="0" max="522" min="521" style="148" width="12.57"/>
    <col collapsed="false" customWidth="false" hidden="false" outlineLevel="0" max="769" min="523" style="148" width="9.14"/>
    <col collapsed="false" customWidth="true" hidden="false" outlineLevel="0" max="770" min="770" style="148" width="10.57"/>
    <col collapsed="false" customWidth="true" hidden="false" outlineLevel="0" max="771" min="771" style="148" width="27.71"/>
    <col collapsed="false" customWidth="true" hidden="false" outlineLevel="0" max="772" min="772" style="148" width="14.42"/>
    <col collapsed="false" customWidth="true" hidden="false" outlineLevel="0" max="774" min="773" style="148" width="15"/>
    <col collapsed="false" customWidth="true" hidden="false" outlineLevel="0" max="775" min="775" style="148" width="16.71"/>
    <col collapsed="false" customWidth="true" hidden="false" outlineLevel="0" max="776" min="776" style="148" width="13.15"/>
    <col collapsed="false" customWidth="true" hidden="false" outlineLevel="0" max="778" min="777" style="148" width="12.57"/>
    <col collapsed="false" customWidth="false" hidden="false" outlineLevel="0" max="1024" min="779" style="148" width="9.14"/>
  </cols>
  <sheetData>
    <row r="1" customFormat="false" ht="15" hidden="false" customHeight="false" outlineLevel="0" collapsed="false">
      <c r="A1" s="663"/>
      <c r="B1" s="145" t="str">
        <f aca="false">INSTRUÇÕES!B1</f>
        <v>Tribunal Regional Federal da 6ª Região</v>
      </c>
      <c r="C1" s="664"/>
      <c r="D1" s="664"/>
      <c r="E1" s="664"/>
      <c r="F1" s="665"/>
      <c r="G1" s="666"/>
      <c r="H1" s="666"/>
      <c r="I1" s="665"/>
      <c r="J1" s="667"/>
    </row>
    <row r="2" customFormat="false" ht="15" hidden="false" customHeight="false" outlineLevel="0" collapsed="false">
      <c r="A2" s="668"/>
      <c r="B2" s="147" t="str">
        <f aca="false">INSTRUÇÕES!B2</f>
        <v>Seção Judiciária de Minas Gerais</v>
      </c>
      <c r="C2" s="669"/>
      <c r="D2" s="669"/>
      <c r="E2" s="669"/>
      <c r="F2" s="670"/>
      <c r="I2" s="670"/>
      <c r="J2" s="671"/>
    </row>
    <row r="3" customFormat="false" ht="15" hidden="false" customHeight="false" outlineLevel="0" collapsed="false">
      <c r="A3" s="672"/>
      <c r="B3" s="491" t="str">
        <f aca="false">INSTRUÇÕES!B3</f>
        <v>Subseção Judiciária de Juiz de Fora</v>
      </c>
      <c r="C3" s="669"/>
      <c r="D3" s="669"/>
      <c r="E3" s="669"/>
      <c r="F3" s="670"/>
      <c r="I3" s="670"/>
      <c r="J3" s="671"/>
    </row>
    <row r="4" customFormat="false" ht="19.5" hidden="false" customHeight="true" outlineLevel="0" collapsed="false">
      <c r="A4" s="673" t="s">
        <v>695</v>
      </c>
      <c r="B4" s="673"/>
      <c r="C4" s="673"/>
      <c r="D4" s="673"/>
      <c r="E4" s="673"/>
      <c r="F4" s="673"/>
      <c r="G4" s="673"/>
      <c r="H4" s="673"/>
      <c r="I4" s="673"/>
      <c r="J4" s="673"/>
    </row>
    <row r="5" customFormat="false" ht="19.5" hidden="false" customHeight="true" outlineLevel="0" collapsed="false">
      <c r="A5" s="674" t="s">
        <v>421</v>
      </c>
      <c r="B5" s="674"/>
      <c r="C5" s="674"/>
      <c r="D5" s="674"/>
      <c r="E5" s="674"/>
      <c r="F5" s="674"/>
      <c r="G5" s="674"/>
      <c r="H5" s="674"/>
      <c r="I5" s="674"/>
      <c r="J5" s="674"/>
    </row>
    <row r="6" customFormat="false" ht="36" hidden="false" customHeight="true" outlineLevel="0" collapsed="false">
      <c r="A6" s="675" t="str">
        <f aca="false">Dados!A4</f>
        <v>Sindicato utilizado - SINTEAC/JF. Vigência: 01/01/2023 à 31/12/2023. Sendo a data base da categoria 01º Janeiro. Com número de registro no MTE MG001725/2023.</v>
      </c>
      <c r="B6" s="675"/>
      <c r="C6" s="675"/>
      <c r="D6" s="675"/>
      <c r="E6" s="675"/>
      <c r="F6" s="675"/>
      <c r="G6" s="675"/>
      <c r="H6" s="675"/>
      <c r="I6" s="675"/>
      <c r="J6" s="675"/>
    </row>
    <row r="7" customFormat="false" ht="19.5" hidden="false" customHeight="true" outlineLevel="0" collapsed="false">
      <c r="A7" s="676" t="str">
        <f aca="false">Dados!C17</f>
        <v>Garçom</v>
      </c>
      <c r="B7" s="676"/>
      <c r="C7" s="676"/>
      <c r="D7" s="676"/>
      <c r="E7" s="676"/>
      <c r="F7" s="677" t="s">
        <v>696</v>
      </c>
      <c r="G7" s="677" t="s">
        <v>697</v>
      </c>
      <c r="H7" s="677" t="s">
        <v>698</v>
      </c>
      <c r="I7" s="677" t="s">
        <v>699</v>
      </c>
      <c r="J7" s="677" t="s">
        <v>700</v>
      </c>
    </row>
    <row r="8" customFormat="false" ht="19.5" hidden="false" customHeight="true" outlineLevel="0" collapsed="false">
      <c r="A8" s="678" t="s">
        <v>701</v>
      </c>
      <c r="B8" s="678"/>
      <c r="C8" s="678"/>
      <c r="D8" s="678"/>
      <c r="E8" s="679" t="s">
        <v>518</v>
      </c>
      <c r="F8" s="677"/>
      <c r="G8" s="677"/>
      <c r="H8" s="677"/>
      <c r="I8" s="677"/>
      <c r="J8" s="677"/>
    </row>
    <row r="9" customFormat="false" ht="19.5" hidden="false" customHeight="true" outlineLevel="0" collapsed="false">
      <c r="A9" s="680" t="s">
        <v>702</v>
      </c>
      <c r="B9" s="680"/>
      <c r="C9" s="680"/>
      <c r="D9" s="680"/>
      <c r="E9" s="680"/>
      <c r="F9" s="680"/>
      <c r="G9" s="680"/>
      <c r="H9" s="680"/>
      <c r="I9" s="680"/>
      <c r="J9" s="680"/>
    </row>
    <row r="10" customFormat="false" ht="24" hidden="false" customHeight="true" outlineLevel="0" collapsed="false">
      <c r="A10" s="681" t="s">
        <v>519</v>
      </c>
      <c r="B10" s="682" t="s">
        <v>703</v>
      </c>
      <c r="C10" s="682"/>
      <c r="D10" s="683" t="s">
        <v>704</v>
      </c>
      <c r="E10" s="684" t="s">
        <v>705</v>
      </c>
      <c r="F10" s="685" t="s">
        <v>522</v>
      </c>
      <c r="G10" s="685"/>
      <c r="H10" s="685"/>
      <c r="I10" s="685"/>
      <c r="J10" s="685"/>
    </row>
    <row r="11" customFormat="false" ht="19.5" hidden="false" customHeight="true" outlineLevel="0" collapsed="false">
      <c r="A11" s="686" t="n">
        <v>1</v>
      </c>
      <c r="B11" s="687" t="str">
        <f aca="false">A7</f>
        <v>Garçom</v>
      </c>
      <c r="C11" s="687"/>
      <c r="D11" s="688" t="n">
        <f aca="false">Dados!D17</f>
        <v>220</v>
      </c>
      <c r="E11" s="689" t="n">
        <f aca="false">Dados!E17</f>
        <v>1400.25</v>
      </c>
      <c r="F11" s="690" t="n">
        <f aca="false">ROUND(E11/220*D11,2)</f>
        <v>1400.25</v>
      </c>
      <c r="G11" s="690" t="n">
        <f aca="false">F11</f>
        <v>1400.25</v>
      </c>
      <c r="H11" s="690"/>
      <c r="I11" s="690"/>
      <c r="J11" s="691"/>
    </row>
    <row r="12" customFormat="false" ht="19.5" hidden="false" customHeight="true" outlineLevel="0" collapsed="false">
      <c r="A12" s="686"/>
      <c r="B12" s="687" t="s">
        <v>706</v>
      </c>
      <c r="C12" s="687"/>
      <c r="D12" s="692" t="n">
        <f aca="false">Dados!G17</f>
        <v>0</v>
      </c>
      <c r="E12" s="689" t="n">
        <f aca="false">Dados!$G$34</f>
        <v>1320</v>
      </c>
      <c r="F12" s="690" t="n">
        <f aca="false">D12*E12</f>
        <v>0</v>
      </c>
      <c r="G12" s="690" t="n">
        <f aca="false">F12</f>
        <v>0</v>
      </c>
      <c r="H12" s="690"/>
      <c r="I12" s="690"/>
      <c r="J12" s="691" t="n">
        <f aca="false">F12</f>
        <v>0</v>
      </c>
    </row>
    <row r="13" customFormat="false" ht="22.5" hidden="false" customHeight="true" outlineLevel="0" collapsed="false">
      <c r="A13" s="686"/>
      <c r="B13" s="693" t="s">
        <v>707</v>
      </c>
      <c r="C13" s="694" t="n">
        <f aca="false">Dados!$I$17</f>
        <v>0</v>
      </c>
      <c r="D13" s="694" t="n">
        <f aca="false">Dados!$J$17</f>
        <v>0</v>
      </c>
      <c r="E13" s="695" t="n">
        <f aca="false">Dados!$K$17</f>
        <v>0</v>
      </c>
      <c r="F13" s="696" t="n">
        <f aca="false">ROUND((E13*D13*C13),2)</f>
        <v>0</v>
      </c>
      <c r="G13" s="696" t="n">
        <f aca="false">F13</f>
        <v>0</v>
      </c>
      <c r="H13" s="696"/>
      <c r="I13" s="696"/>
      <c r="J13" s="697"/>
    </row>
    <row r="14" customFormat="false" ht="19.5" hidden="false" customHeight="true" outlineLevel="0" collapsed="false">
      <c r="A14" s="686"/>
      <c r="B14" s="698" t="s">
        <v>708</v>
      </c>
      <c r="C14" s="698"/>
      <c r="D14" s="698"/>
      <c r="E14" s="698"/>
      <c r="F14" s="699" t="n">
        <f aca="false">SUM(F11:F13)</f>
        <v>1400.25</v>
      </c>
      <c r="G14" s="699" t="n">
        <f aca="false">SUM(G11:G13)</f>
        <v>1400.25</v>
      </c>
      <c r="H14" s="699" t="n">
        <f aca="false">SUM(H11:H13)</f>
        <v>0</v>
      </c>
      <c r="I14" s="699" t="n">
        <f aca="false">SUM(I11:I13)</f>
        <v>0</v>
      </c>
      <c r="J14" s="700" t="n">
        <f aca="false">SUM(J11:J13)</f>
        <v>0</v>
      </c>
    </row>
    <row r="15" customFormat="false" ht="19.5" hidden="false" customHeight="true" outlineLevel="0" collapsed="false">
      <c r="A15" s="686"/>
      <c r="B15" s="701" t="s">
        <v>709</v>
      </c>
      <c r="C15" s="701"/>
      <c r="D15" s="701"/>
      <c r="E15" s="702" t="n">
        <f aca="false">Encargos!$C$57</f>
        <v>0.7905</v>
      </c>
      <c r="F15" s="690" t="n">
        <f aca="false">ROUND((E15*F14),2)</f>
        <v>1106.9</v>
      </c>
      <c r="G15" s="690" t="n">
        <f aca="false">F15</f>
        <v>1106.9</v>
      </c>
      <c r="H15" s="690"/>
      <c r="I15" s="690"/>
      <c r="J15" s="691" t="n">
        <f aca="false">ROUND((E15*J14),2)</f>
        <v>0</v>
      </c>
    </row>
    <row r="16" customFormat="false" ht="19.5" hidden="false" customHeight="true" outlineLevel="0" collapsed="false">
      <c r="A16" s="703" t="s">
        <v>710</v>
      </c>
      <c r="B16" s="703"/>
      <c r="C16" s="703"/>
      <c r="D16" s="703"/>
      <c r="E16" s="703"/>
      <c r="F16" s="704" t="n">
        <f aca="false">SUM(F14:F15)</f>
        <v>2507.15</v>
      </c>
      <c r="G16" s="704" t="n">
        <f aca="false">SUM(G14:G15)</f>
        <v>2507.15</v>
      </c>
      <c r="H16" s="704" t="n">
        <f aca="false">SUM(H14:H15)</f>
        <v>0</v>
      </c>
      <c r="I16" s="704" t="n">
        <f aca="false">SUM(I14:I15)</f>
        <v>0</v>
      </c>
      <c r="J16" s="705" t="n">
        <f aca="false">SUM(J14:J15)</f>
        <v>0</v>
      </c>
    </row>
    <row r="17" customFormat="false" ht="19.5" hidden="false" customHeight="true" outlineLevel="0" collapsed="false">
      <c r="A17" s="706" t="s">
        <v>711</v>
      </c>
      <c r="B17" s="706"/>
      <c r="C17" s="706"/>
      <c r="D17" s="706"/>
      <c r="E17" s="706"/>
      <c r="F17" s="706"/>
      <c r="G17" s="706"/>
      <c r="H17" s="706"/>
      <c r="I17" s="706"/>
      <c r="J17" s="706"/>
    </row>
    <row r="18" customFormat="false" ht="19.5" hidden="false" customHeight="true" outlineLevel="0" collapsed="false">
      <c r="A18" s="707" t="s">
        <v>712</v>
      </c>
      <c r="B18" s="707"/>
      <c r="C18" s="708" t="s">
        <v>521</v>
      </c>
      <c r="D18" s="708" t="s">
        <v>713</v>
      </c>
      <c r="E18" s="708"/>
      <c r="F18" s="709" t="s">
        <v>522</v>
      </c>
      <c r="G18" s="709"/>
      <c r="H18" s="709"/>
      <c r="I18" s="709"/>
      <c r="J18" s="709"/>
    </row>
    <row r="19" customFormat="false" ht="19.5" hidden="false" customHeight="true" outlineLevel="0" collapsed="false">
      <c r="A19" s="710" t="s">
        <v>714</v>
      </c>
      <c r="B19" s="710"/>
      <c r="C19" s="711"/>
      <c r="D19" s="711"/>
      <c r="E19" s="711"/>
      <c r="F19" s="690" t="n">
        <f aca="false">Dados!N17</f>
        <v>48.92</v>
      </c>
      <c r="G19" s="690" t="n">
        <f aca="false">F19</f>
        <v>48.92</v>
      </c>
      <c r="H19" s="690"/>
      <c r="I19" s="690"/>
      <c r="J19" s="691"/>
    </row>
    <row r="20" customFormat="false" ht="19.5" hidden="false" customHeight="true" outlineLevel="0" collapsed="false">
      <c r="A20" s="710" t="s">
        <v>715</v>
      </c>
      <c r="B20" s="710"/>
      <c r="C20" s="711"/>
      <c r="D20" s="711"/>
      <c r="E20" s="711"/>
      <c r="F20" s="690" t="n">
        <f aca="false">Dados!G37</f>
        <v>1.55</v>
      </c>
      <c r="G20" s="690" t="n">
        <f aca="false">F20</f>
        <v>1.55</v>
      </c>
      <c r="H20" s="690"/>
      <c r="I20" s="690"/>
      <c r="J20" s="691"/>
    </row>
    <row r="21" customFormat="false" ht="23.25" hidden="false" customHeight="true" outlineLevel="0" collapsed="false">
      <c r="A21" s="712" t="s">
        <v>354</v>
      </c>
      <c r="B21" s="712"/>
      <c r="C21" s="711"/>
      <c r="D21" s="711"/>
      <c r="E21" s="711"/>
      <c r="F21" s="690" t="n">
        <f aca="false">Dados!G38</f>
        <v>50.36</v>
      </c>
      <c r="G21" s="690" t="n">
        <f aca="false">F21</f>
        <v>50.36</v>
      </c>
      <c r="H21" s="690"/>
      <c r="I21" s="690"/>
      <c r="J21" s="691"/>
    </row>
    <row r="22" customFormat="false" ht="19.5" hidden="false" customHeight="true" outlineLevel="0" collapsed="false">
      <c r="A22" s="710" t="s">
        <v>355</v>
      </c>
      <c r="B22" s="710"/>
      <c r="C22" s="713" t="n">
        <f aca="false">Dados!$G$41</f>
        <v>22</v>
      </c>
      <c r="D22" s="713" t="n">
        <f aca="false">Dados!$G$40</f>
        <v>2</v>
      </c>
      <c r="E22" s="714" t="n">
        <f aca="false">Dados!$G$39</f>
        <v>3.75</v>
      </c>
      <c r="F22" s="690" t="n">
        <f aca="false">IF(ROUND((E22*D22*C22)-(F11*Dados!G42),2)&lt;0,0,ROUND((E22*D22*C22)-(F11*Dados!G42),2))</f>
        <v>80.99</v>
      </c>
      <c r="G22" s="690" t="n">
        <f aca="false">F22</f>
        <v>80.99</v>
      </c>
      <c r="H22" s="690"/>
      <c r="I22" s="690" t="n">
        <f aca="false">F22</f>
        <v>80.99</v>
      </c>
      <c r="J22" s="691"/>
    </row>
    <row r="23" customFormat="false" ht="19.5" hidden="false" customHeight="true" outlineLevel="0" collapsed="false">
      <c r="A23" s="710" t="s">
        <v>364</v>
      </c>
      <c r="B23" s="710"/>
      <c r="C23" s="713" t="n">
        <f aca="false">Dados!G45</f>
        <v>22</v>
      </c>
      <c r="D23" s="715" t="n">
        <f aca="false">Dados!G46</f>
        <v>0.2</v>
      </c>
      <c r="E23" s="714" t="n">
        <f aca="false">Dados!G43</f>
        <v>26</v>
      </c>
      <c r="F23" s="716" t="n">
        <f aca="false">ROUND((IF(D11&gt;150,((C23*E23)-(C23*(D23*E23))),0)),2)</f>
        <v>457.6</v>
      </c>
      <c r="G23" s="690" t="n">
        <f aca="false">F23</f>
        <v>457.6</v>
      </c>
      <c r="H23" s="690" t="n">
        <f aca="false">$F$23</f>
        <v>457.6</v>
      </c>
      <c r="I23" s="716"/>
      <c r="J23" s="691"/>
    </row>
    <row r="24" customFormat="false" ht="19.5" hidden="false" customHeight="true" outlineLevel="0" collapsed="false">
      <c r="A24" s="710" t="s">
        <v>368</v>
      </c>
      <c r="B24" s="710"/>
      <c r="C24" s="713"/>
      <c r="D24" s="713"/>
      <c r="E24" s="714"/>
      <c r="F24" s="716" t="n">
        <f aca="false">Dados!G47</f>
        <v>0</v>
      </c>
      <c r="G24" s="690"/>
      <c r="H24" s="690"/>
      <c r="I24" s="716"/>
      <c r="J24" s="691"/>
    </row>
    <row r="25" customFormat="false" ht="19.5" hidden="false" customHeight="true" outlineLevel="0" collapsed="false">
      <c r="A25" s="710" t="s">
        <v>368</v>
      </c>
      <c r="B25" s="710"/>
      <c r="C25" s="713"/>
      <c r="D25" s="713"/>
      <c r="E25" s="714"/>
      <c r="F25" s="716" t="n">
        <f aca="false">Dados!G48</f>
        <v>0</v>
      </c>
      <c r="G25" s="690"/>
      <c r="H25" s="690"/>
      <c r="I25" s="716"/>
      <c r="J25" s="691"/>
    </row>
    <row r="26" customFormat="false" ht="19.5" hidden="false" customHeight="true" outlineLevel="0" collapsed="false">
      <c r="A26" s="710" t="s">
        <v>716</v>
      </c>
      <c r="B26" s="710"/>
      <c r="C26" s="713"/>
      <c r="D26" s="714"/>
      <c r="E26" s="714"/>
      <c r="F26" s="690"/>
      <c r="G26" s="690"/>
      <c r="H26" s="690"/>
      <c r="I26" s="690"/>
      <c r="J26" s="691"/>
      <c r="L26" s="717"/>
    </row>
    <row r="27" customFormat="false" ht="19.5" hidden="false" customHeight="true" outlineLevel="0" collapsed="false">
      <c r="A27" s="710" t="s">
        <v>717</v>
      </c>
      <c r="B27" s="718"/>
      <c r="C27" s="713"/>
      <c r="D27" s="714"/>
      <c r="E27" s="714"/>
      <c r="F27" s="690" t="n">
        <f aca="false">Dados!R17</f>
        <v>0</v>
      </c>
      <c r="G27" s="690"/>
      <c r="H27" s="690"/>
      <c r="I27" s="690"/>
      <c r="J27" s="691"/>
    </row>
    <row r="28" customFormat="false" ht="19.5" hidden="false" customHeight="true" outlineLevel="0" collapsed="false">
      <c r="A28" s="719" t="s">
        <v>718</v>
      </c>
      <c r="B28" s="719"/>
      <c r="C28" s="720"/>
      <c r="D28" s="721"/>
      <c r="E28" s="721"/>
      <c r="F28" s="696" t="n">
        <f aca="false">Dados!T17</f>
        <v>0</v>
      </c>
      <c r="G28" s="696" t="n">
        <f aca="false">F28</f>
        <v>0</v>
      </c>
      <c r="H28" s="696"/>
      <c r="I28" s="696"/>
      <c r="J28" s="697"/>
    </row>
    <row r="29" customFormat="false" ht="19.5" hidden="false" customHeight="true" outlineLevel="0" collapsed="false">
      <c r="A29" s="722" t="s">
        <v>719</v>
      </c>
      <c r="B29" s="722"/>
      <c r="C29" s="722"/>
      <c r="D29" s="722"/>
      <c r="E29" s="722"/>
      <c r="F29" s="704" t="n">
        <f aca="false">SUM(F19:F28)</f>
        <v>639.42</v>
      </c>
      <c r="G29" s="704" t="n">
        <f aca="false">SUM(G19:G28)</f>
        <v>639.42</v>
      </c>
      <c r="H29" s="704" t="n">
        <f aca="false">SUM(H19:H28)</f>
        <v>457.6</v>
      </c>
      <c r="I29" s="704" t="n">
        <f aca="false">SUM(I19:I28)</f>
        <v>80.99</v>
      </c>
      <c r="J29" s="705" t="n">
        <f aca="false">SUM(J19:J28)</f>
        <v>0</v>
      </c>
    </row>
    <row r="30" customFormat="false" ht="19.5" hidden="false" customHeight="true" outlineLevel="0" collapsed="false">
      <c r="A30" s="722" t="s">
        <v>720</v>
      </c>
      <c r="B30" s="722"/>
      <c r="C30" s="722"/>
      <c r="D30" s="722"/>
      <c r="E30" s="722"/>
      <c r="F30" s="704" t="n">
        <f aca="false">F16+F29</f>
        <v>3146.57</v>
      </c>
      <c r="G30" s="704" t="n">
        <f aca="false">G16+G29</f>
        <v>3146.57</v>
      </c>
      <c r="H30" s="704" t="n">
        <f aca="false">H16+H29</f>
        <v>457.6</v>
      </c>
      <c r="I30" s="704" t="n">
        <f aca="false">I16+I29</f>
        <v>80.99</v>
      </c>
      <c r="J30" s="705" t="n">
        <f aca="false">J16+J29</f>
        <v>0</v>
      </c>
    </row>
    <row r="31" customFormat="false" ht="19.5" hidden="false" customHeight="true" outlineLevel="0" collapsed="false">
      <c r="A31" s="680" t="s">
        <v>721</v>
      </c>
      <c r="B31" s="680"/>
      <c r="C31" s="680"/>
      <c r="D31" s="680"/>
      <c r="E31" s="680"/>
      <c r="F31" s="680"/>
      <c r="G31" s="680"/>
      <c r="H31" s="680"/>
      <c r="I31" s="680"/>
      <c r="J31" s="680"/>
    </row>
    <row r="32" customFormat="false" ht="19.5" hidden="false" customHeight="true" outlineLevel="0" collapsed="false">
      <c r="A32" s="707" t="s">
        <v>722</v>
      </c>
      <c r="B32" s="707"/>
      <c r="C32" s="707"/>
      <c r="D32" s="723" t="s">
        <v>622</v>
      </c>
      <c r="E32" s="724" t="s">
        <v>522</v>
      </c>
      <c r="F32" s="724"/>
      <c r="G32" s="724"/>
      <c r="H32" s="724"/>
      <c r="I32" s="724"/>
      <c r="J32" s="724"/>
    </row>
    <row r="33" customFormat="false" ht="19.5" hidden="false" customHeight="true" outlineLevel="0" collapsed="false">
      <c r="A33" s="725" t="s">
        <v>723</v>
      </c>
      <c r="B33" s="726"/>
      <c r="C33" s="726"/>
      <c r="D33" s="727" t="n">
        <f aca="false">Dados!$G$51</f>
        <v>0.03</v>
      </c>
      <c r="E33" s="728"/>
      <c r="F33" s="690" t="n">
        <f aca="false">ROUND((F30*$D$33),2)</f>
        <v>94.4</v>
      </c>
      <c r="G33" s="690" t="n">
        <f aca="false">ROUND((G30*$D$33),2)</f>
        <v>94.4</v>
      </c>
      <c r="H33" s="690" t="n">
        <f aca="false">ROUND((H30*$D$33),2)</f>
        <v>13.73</v>
      </c>
      <c r="I33" s="690" t="n">
        <f aca="false">ROUND((I30*$D$33),2)</f>
        <v>2.43</v>
      </c>
      <c r="J33" s="691" t="n">
        <f aca="false">ROUND((J30*$D$33),2)</f>
        <v>0</v>
      </c>
    </row>
    <row r="34" customFormat="false" ht="19.5" hidden="false" customHeight="true" outlineLevel="0" collapsed="false">
      <c r="A34" s="729" t="s">
        <v>724</v>
      </c>
      <c r="B34" s="729"/>
      <c r="C34" s="729"/>
      <c r="D34" s="727"/>
      <c r="E34" s="728"/>
      <c r="F34" s="690" t="n">
        <f aca="false">F30+F33</f>
        <v>3240.97</v>
      </c>
      <c r="G34" s="690" t="n">
        <f aca="false">G30+G33</f>
        <v>3240.97</v>
      </c>
      <c r="H34" s="690" t="n">
        <f aca="false">H30+H33</f>
        <v>471.33</v>
      </c>
      <c r="I34" s="690" t="n">
        <f aca="false">I30+I33</f>
        <v>83.42</v>
      </c>
      <c r="J34" s="691" t="n">
        <f aca="false">J30+J33</f>
        <v>0</v>
      </c>
    </row>
    <row r="35" customFormat="false" ht="19.5" hidden="false" customHeight="true" outlineLevel="0" collapsed="false">
      <c r="A35" s="730" t="s">
        <v>373</v>
      </c>
      <c r="B35" s="731"/>
      <c r="C35" s="731"/>
      <c r="D35" s="732" t="n">
        <f aca="false">Dados!$G$52</f>
        <v>0.0679</v>
      </c>
      <c r="E35" s="733"/>
      <c r="F35" s="696" t="n">
        <f aca="false">ROUND((F34*$D$35),2)</f>
        <v>220.06</v>
      </c>
      <c r="G35" s="696" t="n">
        <f aca="false">ROUND((G34*$D$35),2)</f>
        <v>220.06</v>
      </c>
      <c r="H35" s="696" t="n">
        <f aca="false">ROUND((H34*$D$35),2)</f>
        <v>32</v>
      </c>
      <c r="I35" s="696" t="n">
        <f aca="false">ROUND((I34*$D$35),2)</f>
        <v>5.66</v>
      </c>
      <c r="J35" s="697" t="n">
        <f aca="false">ROUND((J34*$D$35),2)</f>
        <v>0</v>
      </c>
    </row>
    <row r="36" customFormat="false" ht="19.5" hidden="false" customHeight="true" outlineLevel="0" collapsed="false">
      <c r="A36" s="734" t="s">
        <v>725</v>
      </c>
      <c r="B36" s="735"/>
      <c r="C36" s="735"/>
      <c r="D36" s="736" t="n">
        <f aca="false">SUM(D33:D35)</f>
        <v>0.0979</v>
      </c>
      <c r="E36" s="737"/>
      <c r="F36" s="704" t="n">
        <f aca="false">F33+F35</f>
        <v>314.46</v>
      </c>
      <c r="G36" s="704" t="n">
        <f aca="false">G33+G35</f>
        <v>314.46</v>
      </c>
      <c r="H36" s="704" t="n">
        <f aca="false">H33+H35</f>
        <v>45.73</v>
      </c>
      <c r="I36" s="704" t="n">
        <f aca="false">I33+I35</f>
        <v>8.09</v>
      </c>
      <c r="J36" s="705" t="n">
        <f aca="false">J33+J35</f>
        <v>0</v>
      </c>
    </row>
    <row r="37" customFormat="false" ht="19.5" hidden="false" customHeight="true" outlineLevel="0" collapsed="false">
      <c r="A37" s="738" t="s">
        <v>726</v>
      </c>
      <c r="B37" s="738"/>
      <c r="C37" s="738"/>
      <c r="D37" s="738"/>
      <c r="E37" s="738"/>
      <c r="F37" s="739" t="n">
        <f aca="false">F30+F36</f>
        <v>3461.03</v>
      </c>
      <c r="G37" s="739" t="n">
        <f aca="false">G30+G36</f>
        <v>3461.03</v>
      </c>
      <c r="H37" s="739" t="n">
        <f aca="false">H30+H36</f>
        <v>503.33</v>
      </c>
      <c r="I37" s="739" t="n">
        <f aca="false">I30+I36</f>
        <v>89.08</v>
      </c>
      <c r="J37" s="740" t="n">
        <f aca="false">J30+J36</f>
        <v>0</v>
      </c>
    </row>
    <row r="38" customFormat="false" ht="19.5" hidden="false" customHeight="true" outlineLevel="0" collapsed="false">
      <c r="A38" s="741" t="s">
        <v>727</v>
      </c>
      <c r="B38" s="741"/>
      <c r="C38" s="741"/>
      <c r="D38" s="741"/>
      <c r="E38" s="741"/>
      <c r="F38" s="741"/>
      <c r="G38" s="741"/>
      <c r="H38" s="741"/>
      <c r="I38" s="741"/>
      <c r="J38" s="741"/>
    </row>
    <row r="39" customFormat="false" ht="19.5" hidden="false" customHeight="true" outlineLevel="0" collapsed="false">
      <c r="A39" s="710" t="s">
        <v>379</v>
      </c>
      <c r="B39" s="710"/>
      <c r="C39" s="710"/>
      <c r="D39" s="727" t="n">
        <f aca="false">Dados!G59</f>
        <v>0.076</v>
      </c>
      <c r="E39" s="742"/>
      <c r="F39" s="690" t="n">
        <f aca="false">ROUND(($F$45*D39),2)</f>
        <v>306.75</v>
      </c>
      <c r="G39" s="690" t="n">
        <f aca="false">ROUND((G45*$D$39),2)</f>
        <v>306.75</v>
      </c>
      <c r="H39" s="690" t="n">
        <f aca="false">ROUND((H45*$D$39),2)</f>
        <v>38.25</v>
      </c>
      <c r="I39" s="690" t="n">
        <f aca="false">ROUND((I45*$D$39),2)</f>
        <v>7.89</v>
      </c>
      <c r="J39" s="691" t="n">
        <f aca="false">ROUND((J45*$D$39),2)</f>
        <v>0</v>
      </c>
    </row>
    <row r="40" customFormat="false" ht="19.5" hidden="false" customHeight="true" outlineLevel="0" collapsed="false">
      <c r="A40" s="710" t="s">
        <v>381</v>
      </c>
      <c r="B40" s="710"/>
      <c r="C40" s="710"/>
      <c r="D40" s="727" t="n">
        <f aca="false">Dados!G60</f>
        <v>0.0165</v>
      </c>
      <c r="E40" s="742"/>
      <c r="F40" s="690" t="n">
        <f aca="false">ROUND((F45*$D$40),2)</f>
        <v>66.6</v>
      </c>
      <c r="G40" s="690" t="n">
        <f aca="false">ROUND((G45*$D$40),2)</f>
        <v>66.6</v>
      </c>
      <c r="H40" s="690" t="n">
        <f aca="false">ROUND((H45*$D$40),2)</f>
        <v>8.3</v>
      </c>
      <c r="I40" s="690" t="n">
        <f aca="false">ROUND((I45*$D$40),2)</f>
        <v>1.71</v>
      </c>
      <c r="J40" s="691" t="n">
        <f aca="false">ROUND((J45*$D$40),2)</f>
        <v>0</v>
      </c>
    </row>
    <row r="41" customFormat="false" ht="19.5" hidden="false" customHeight="true" outlineLevel="0" collapsed="false">
      <c r="A41" s="710" t="str">
        <f aca="false">Dados!B62</f>
        <v>ISSQN - Serviços Administrativos</v>
      </c>
      <c r="B41" s="710"/>
      <c r="C41" s="710"/>
      <c r="D41" s="727" t="n">
        <f aca="false">Dados!G62</f>
        <v>0.05</v>
      </c>
      <c r="E41" s="742"/>
      <c r="F41" s="690" t="n">
        <f aca="false">ROUND((F45*$D$41),2)</f>
        <v>201.81</v>
      </c>
      <c r="G41" s="690" t="n">
        <f aca="false">ROUND((G45*$D$41),2)</f>
        <v>201.81</v>
      </c>
      <c r="H41" s="690" t="n">
        <f aca="false">ROUND((H45*$D$41),2)</f>
        <v>25.17</v>
      </c>
      <c r="I41" s="690" t="n">
        <f aca="false">ROUND((I45*$D$41),2)</f>
        <v>5.19</v>
      </c>
      <c r="J41" s="691" t="n">
        <f aca="false">ROUND((J45*$D$41),2)</f>
        <v>0</v>
      </c>
    </row>
    <row r="42" customFormat="false" ht="19.5" hidden="false" customHeight="true" outlineLevel="0" collapsed="false">
      <c r="A42" s="710" t="s">
        <v>368</v>
      </c>
      <c r="B42" s="710"/>
      <c r="C42" s="710"/>
      <c r="D42" s="727" t="n">
        <f aca="false">Dados!G63</f>
        <v>0</v>
      </c>
      <c r="E42" s="742"/>
      <c r="F42" s="690" t="n">
        <f aca="false">ROUND((F45*$D$42),2)</f>
        <v>0</v>
      </c>
      <c r="G42" s="690" t="n">
        <f aca="false">ROUND((G45*$D$42),2)</f>
        <v>0</v>
      </c>
      <c r="H42" s="690" t="n">
        <f aca="false">ROUND((H45*$D$42),2)</f>
        <v>0</v>
      </c>
      <c r="I42" s="690" t="n">
        <f aca="false">ROUND((I45*$D$42),2)</f>
        <v>0</v>
      </c>
      <c r="J42" s="691" t="n">
        <f aca="false">ROUND((J45*$D$42),2)</f>
        <v>0</v>
      </c>
    </row>
    <row r="43" customFormat="false" ht="19.5" hidden="false" customHeight="true" outlineLevel="0" collapsed="false">
      <c r="A43" s="743" t="s">
        <v>728</v>
      </c>
      <c r="B43" s="743"/>
      <c r="C43" s="743"/>
      <c r="D43" s="744" t="n">
        <f aca="false">SUM(D39:D42)</f>
        <v>0.1425</v>
      </c>
      <c r="E43" s="745"/>
      <c r="F43" s="746" t="n">
        <f aca="false">SUM(F39:F42)</f>
        <v>575.16</v>
      </c>
      <c r="G43" s="746" t="n">
        <f aca="false">SUM(G39:G42)</f>
        <v>575.16</v>
      </c>
      <c r="H43" s="746" t="n">
        <f aca="false">SUM(H39:H42)</f>
        <v>71.72</v>
      </c>
      <c r="I43" s="746" t="n">
        <f aca="false">SUM(I39:I42)</f>
        <v>14.79</v>
      </c>
      <c r="J43" s="747" t="n">
        <f aca="false">SUM(J39:J41)</f>
        <v>0</v>
      </c>
    </row>
    <row r="44" customFormat="false" ht="19.5" hidden="false" customHeight="true" outlineLevel="0" collapsed="false">
      <c r="A44" s="748" t="str">
        <f aca="false">CONCATENATE("Custo Mensal - ",A7)</f>
        <v>Custo Mensal - Garçom</v>
      </c>
      <c r="B44" s="748"/>
      <c r="C44" s="748"/>
      <c r="D44" s="748"/>
      <c r="E44" s="748"/>
      <c r="F44" s="749" t="n">
        <f aca="false">ROUND(F37/(1-D43),2)</f>
        <v>4036.19</v>
      </c>
      <c r="G44" s="749" t="n">
        <f aca="false">ROUND(G37/(1-D43),2)</f>
        <v>4036.19</v>
      </c>
      <c r="H44" s="749" t="n">
        <f aca="false">ROUND(H37/(1-C43),2)</f>
        <v>503.33</v>
      </c>
      <c r="I44" s="749" t="n">
        <f aca="false">ROUND(I37/(1-D43),2)</f>
        <v>103.88</v>
      </c>
      <c r="J44" s="750" t="n">
        <f aca="false">ROUND(J37/(1-D43),2)</f>
        <v>0</v>
      </c>
    </row>
    <row r="45" customFormat="false" ht="19.5" hidden="false" customHeight="true" outlineLevel="0" collapsed="false">
      <c r="A45" s="751" t="str">
        <f aca="false">CONCATENATE("Valor do Custo Mensal - ",A7)</f>
        <v>Valor do Custo Mensal - Garçom</v>
      </c>
      <c r="B45" s="751"/>
      <c r="C45" s="751"/>
      <c r="D45" s="751"/>
      <c r="E45" s="751"/>
      <c r="F45" s="749" t="n">
        <f aca="false">F44</f>
        <v>4036.19</v>
      </c>
      <c r="G45" s="749" t="n">
        <f aca="false">G44</f>
        <v>4036.19</v>
      </c>
      <c r="H45" s="749" t="n">
        <f aca="false">H44</f>
        <v>503.33</v>
      </c>
      <c r="I45" s="749" t="n">
        <f aca="false">I44</f>
        <v>103.88</v>
      </c>
      <c r="J45" s="750" t="n">
        <f aca="false">J44</f>
        <v>0</v>
      </c>
      <c r="K45" s="752"/>
      <c r="L45" s="752"/>
    </row>
    <row r="46" customFormat="false" ht="27.75" hidden="false" customHeight="true" outlineLevel="0" collapsed="false">
      <c r="A46" s="753" t="s">
        <v>729</v>
      </c>
      <c r="B46" s="753"/>
      <c r="C46" s="753"/>
      <c r="D46" s="753"/>
      <c r="E46" s="753"/>
      <c r="F46" s="754" t="n">
        <f aca="false">(F45/F14)</f>
        <v>2.88247812890555</v>
      </c>
      <c r="G46" s="754" t="n">
        <f aca="false">(G45/G14)</f>
        <v>2.88247812890555</v>
      </c>
      <c r="H46" s="755" t="s">
        <v>730</v>
      </c>
      <c r="I46" s="755"/>
      <c r="J46" s="756" t="n">
        <v>0</v>
      </c>
    </row>
    <row r="47" customFormat="false" ht="19.5" hidden="false" customHeight="true" outlineLevel="0" collapsed="false"/>
  </sheetData>
  <sheetProtection sheet="true" password="c494" objects="true" scenarios="true"/>
  <mergeCells count="49">
    <mergeCell ref="A4:J4"/>
    <mergeCell ref="A5:J5"/>
    <mergeCell ref="A6:J6"/>
    <mergeCell ref="A7:E7"/>
    <mergeCell ref="F7:F8"/>
    <mergeCell ref="G7:G8"/>
    <mergeCell ref="H7:H8"/>
    <mergeCell ref="I7:I8"/>
    <mergeCell ref="J7:J8"/>
    <mergeCell ref="A8:D8"/>
    <mergeCell ref="A9:J9"/>
    <mergeCell ref="B10:C10"/>
    <mergeCell ref="F10:J10"/>
    <mergeCell ref="A11:A15"/>
    <mergeCell ref="B11:C11"/>
    <mergeCell ref="B12:C12"/>
    <mergeCell ref="B14:E14"/>
    <mergeCell ref="B15:D15"/>
    <mergeCell ref="A16:E16"/>
    <mergeCell ref="A17:J17"/>
    <mergeCell ref="A18:B18"/>
    <mergeCell ref="D18:E18"/>
    <mergeCell ref="F18:J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E29"/>
    <mergeCell ref="A30:E30"/>
    <mergeCell ref="A31:J31"/>
    <mergeCell ref="A32:C32"/>
    <mergeCell ref="E32:J32"/>
    <mergeCell ref="A34:C34"/>
    <mergeCell ref="A37:E37"/>
    <mergeCell ref="A38:J38"/>
    <mergeCell ref="A39:C39"/>
    <mergeCell ref="A40:C40"/>
    <mergeCell ref="A41:C41"/>
    <mergeCell ref="A42:C42"/>
    <mergeCell ref="A43:C43"/>
    <mergeCell ref="A44:E44"/>
    <mergeCell ref="A45:E45"/>
    <mergeCell ref="A46:E46"/>
    <mergeCell ref="H46:I4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6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33" activeCellId="0" sqref="F33"/>
    </sheetView>
  </sheetViews>
  <sheetFormatPr defaultColWidth="9.1484375" defaultRowHeight="15" zeroHeight="false" outlineLevelRow="0" outlineLevelCol="0"/>
  <cols>
    <col collapsed="false" customWidth="true" hidden="false" outlineLevel="0" max="1" min="1" style="148" width="10.57"/>
    <col collapsed="false" customWidth="true" hidden="false" outlineLevel="0" max="2" min="2" style="148" width="27.71"/>
    <col collapsed="false" customWidth="true" hidden="false" outlineLevel="0" max="3" min="3" style="148" width="14.42"/>
    <col collapsed="false" customWidth="true" hidden="false" outlineLevel="0" max="5" min="4" style="148" width="15"/>
    <col collapsed="false" customWidth="true" hidden="false" outlineLevel="0" max="6" min="6" style="662" width="16.71"/>
    <col collapsed="false" customWidth="true" hidden="false" outlineLevel="0" max="8" min="7" style="662" width="13.15"/>
    <col collapsed="false" customWidth="true" hidden="false" outlineLevel="0" max="10" min="9" style="662" width="12.57"/>
    <col collapsed="false" customWidth="false" hidden="false" outlineLevel="0" max="257" min="11" style="148" width="9.14"/>
    <col collapsed="false" customWidth="true" hidden="false" outlineLevel="0" max="258" min="258" style="148" width="10.57"/>
    <col collapsed="false" customWidth="true" hidden="false" outlineLevel="0" max="259" min="259" style="148" width="27.71"/>
    <col collapsed="false" customWidth="true" hidden="false" outlineLevel="0" max="260" min="260" style="148" width="14.42"/>
    <col collapsed="false" customWidth="true" hidden="false" outlineLevel="0" max="262" min="261" style="148" width="15"/>
    <col collapsed="false" customWidth="true" hidden="false" outlineLevel="0" max="263" min="263" style="148" width="16.71"/>
    <col collapsed="false" customWidth="true" hidden="false" outlineLevel="0" max="264" min="264" style="148" width="13.15"/>
    <col collapsed="false" customWidth="true" hidden="false" outlineLevel="0" max="266" min="265" style="148" width="12.57"/>
    <col collapsed="false" customWidth="false" hidden="false" outlineLevel="0" max="513" min="267" style="148" width="9.14"/>
    <col collapsed="false" customWidth="true" hidden="false" outlineLevel="0" max="514" min="514" style="148" width="10.57"/>
    <col collapsed="false" customWidth="true" hidden="false" outlineLevel="0" max="515" min="515" style="148" width="27.71"/>
    <col collapsed="false" customWidth="true" hidden="false" outlineLevel="0" max="516" min="516" style="148" width="14.42"/>
    <col collapsed="false" customWidth="true" hidden="false" outlineLevel="0" max="518" min="517" style="148" width="15"/>
    <col collapsed="false" customWidth="true" hidden="false" outlineLevel="0" max="519" min="519" style="148" width="16.71"/>
    <col collapsed="false" customWidth="true" hidden="false" outlineLevel="0" max="520" min="520" style="148" width="13.15"/>
    <col collapsed="false" customWidth="true" hidden="false" outlineLevel="0" max="522" min="521" style="148" width="12.57"/>
    <col collapsed="false" customWidth="false" hidden="false" outlineLevel="0" max="769" min="523" style="148" width="9.14"/>
    <col collapsed="false" customWidth="true" hidden="false" outlineLevel="0" max="770" min="770" style="148" width="10.57"/>
    <col collapsed="false" customWidth="true" hidden="false" outlineLevel="0" max="771" min="771" style="148" width="27.71"/>
    <col collapsed="false" customWidth="true" hidden="false" outlineLevel="0" max="772" min="772" style="148" width="14.42"/>
    <col collapsed="false" customWidth="true" hidden="false" outlineLevel="0" max="774" min="773" style="148" width="15"/>
    <col collapsed="false" customWidth="true" hidden="false" outlineLevel="0" max="775" min="775" style="148" width="16.71"/>
    <col collapsed="false" customWidth="true" hidden="false" outlineLevel="0" max="776" min="776" style="148" width="13.15"/>
    <col collapsed="false" customWidth="true" hidden="false" outlineLevel="0" max="778" min="777" style="148" width="12.57"/>
    <col collapsed="false" customWidth="false" hidden="false" outlineLevel="0" max="1024" min="779" style="148" width="9.14"/>
  </cols>
  <sheetData>
    <row r="1" customFormat="false" ht="15" hidden="false" customHeight="false" outlineLevel="0" collapsed="false">
      <c r="A1" s="663"/>
      <c r="B1" s="145" t="str">
        <f aca="false">INSTRUÇÕES!B1</f>
        <v>Tribunal Regional Federal da 6ª Região</v>
      </c>
      <c r="C1" s="664"/>
      <c r="D1" s="664"/>
      <c r="E1" s="664"/>
      <c r="F1" s="665"/>
      <c r="G1" s="666"/>
      <c r="H1" s="666"/>
      <c r="I1" s="665"/>
      <c r="J1" s="667"/>
    </row>
    <row r="2" customFormat="false" ht="15" hidden="false" customHeight="false" outlineLevel="0" collapsed="false">
      <c r="A2" s="668"/>
      <c r="B2" s="147" t="str">
        <f aca="false">INSTRUÇÕES!B2</f>
        <v>Seção Judiciária de Minas Gerais</v>
      </c>
      <c r="C2" s="669"/>
      <c r="D2" s="669"/>
      <c r="E2" s="669"/>
      <c r="F2" s="670"/>
      <c r="I2" s="670"/>
      <c r="J2" s="671"/>
    </row>
    <row r="3" customFormat="false" ht="15" hidden="false" customHeight="false" outlineLevel="0" collapsed="false">
      <c r="A3" s="672"/>
      <c r="B3" s="491" t="str">
        <f aca="false">INSTRUÇÕES!B3</f>
        <v>Subseção Judiciária de Juiz de Fora</v>
      </c>
      <c r="C3" s="669"/>
      <c r="D3" s="669"/>
      <c r="E3" s="669"/>
      <c r="F3" s="670"/>
      <c r="I3" s="670"/>
      <c r="J3" s="671"/>
    </row>
    <row r="4" customFormat="false" ht="19.5" hidden="false" customHeight="true" outlineLevel="0" collapsed="false">
      <c r="A4" s="673" t="s">
        <v>695</v>
      </c>
      <c r="B4" s="673"/>
      <c r="C4" s="673"/>
      <c r="D4" s="673"/>
      <c r="E4" s="673"/>
      <c r="F4" s="673"/>
      <c r="G4" s="673"/>
      <c r="H4" s="673"/>
      <c r="I4" s="673"/>
      <c r="J4" s="673"/>
    </row>
    <row r="5" customFormat="false" ht="19.5" hidden="false" customHeight="true" outlineLevel="0" collapsed="false">
      <c r="A5" s="674" t="s">
        <v>421</v>
      </c>
      <c r="B5" s="674"/>
      <c r="C5" s="674"/>
      <c r="D5" s="674"/>
      <c r="E5" s="674"/>
      <c r="F5" s="674"/>
      <c r="G5" s="674"/>
      <c r="H5" s="674"/>
      <c r="I5" s="674"/>
      <c r="J5" s="674"/>
    </row>
    <row r="6" customFormat="false" ht="36" hidden="false" customHeight="true" outlineLevel="0" collapsed="false">
      <c r="A6" s="675" t="str">
        <f aca="false">Dados!A4</f>
        <v>Sindicato utilizado - SINTEAC/JF. Vigência: 01/01/2023 à 31/12/2023. Sendo a data base da categoria 01º Janeiro. Com número de registro no MTE MG001725/2023.</v>
      </c>
      <c r="B6" s="675"/>
      <c r="C6" s="675"/>
      <c r="D6" s="675"/>
      <c r="E6" s="675"/>
      <c r="F6" s="675"/>
      <c r="G6" s="675"/>
      <c r="H6" s="675"/>
      <c r="I6" s="675"/>
      <c r="J6" s="675"/>
    </row>
    <row r="7" customFormat="false" ht="19.5" hidden="false" customHeight="true" outlineLevel="0" collapsed="false">
      <c r="A7" s="676" t="str">
        <f aca="false">Dados!C15</f>
        <v>Zelador ac. Lavador de Carro</v>
      </c>
      <c r="B7" s="676"/>
      <c r="C7" s="676"/>
      <c r="D7" s="676"/>
      <c r="E7" s="676"/>
      <c r="F7" s="677" t="s">
        <v>696</v>
      </c>
      <c r="G7" s="677" t="s">
        <v>697</v>
      </c>
      <c r="H7" s="677" t="s">
        <v>698</v>
      </c>
      <c r="I7" s="677" t="s">
        <v>699</v>
      </c>
      <c r="J7" s="677" t="s">
        <v>700</v>
      </c>
    </row>
    <row r="8" customFormat="false" ht="19.5" hidden="false" customHeight="true" outlineLevel="0" collapsed="false">
      <c r="A8" s="678" t="s">
        <v>701</v>
      </c>
      <c r="B8" s="678"/>
      <c r="C8" s="678"/>
      <c r="D8" s="678"/>
      <c r="E8" s="679" t="s">
        <v>518</v>
      </c>
      <c r="F8" s="677"/>
      <c r="G8" s="677"/>
      <c r="H8" s="677"/>
      <c r="I8" s="677"/>
      <c r="J8" s="677"/>
    </row>
    <row r="9" customFormat="false" ht="19.5" hidden="false" customHeight="true" outlineLevel="0" collapsed="false">
      <c r="A9" s="680" t="s">
        <v>702</v>
      </c>
      <c r="B9" s="680"/>
      <c r="C9" s="680"/>
      <c r="D9" s="680"/>
      <c r="E9" s="680"/>
      <c r="F9" s="680"/>
      <c r="G9" s="680"/>
      <c r="H9" s="680"/>
      <c r="I9" s="680"/>
      <c r="J9" s="680"/>
    </row>
    <row r="10" customFormat="false" ht="24" hidden="false" customHeight="true" outlineLevel="0" collapsed="false">
      <c r="A10" s="681" t="s">
        <v>519</v>
      </c>
      <c r="B10" s="682" t="s">
        <v>703</v>
      </c>
      <c r="C10" s="682"/>
      <c r="D10" s="683" t="s">
        <v>704</v>
      </c>
      <c r="E10" s="684" t="s">
        <v>705</v>
      </c>
      <c r="F10" s="685" t="s">
        <v>522</v>
      </c>
      <c r="G10" s="685"/>
      <c r="H10" s="685"/>
      <c r="I10" s="685"/>
      <c r="J10" s="685"/>
    </row>
    <row r="11" customFormat="false" ht="19.5" hidden="false" customHeight="true" outlineLevel="0" collapsed="false">
      <c r="A11" s="686" t="n">
        <v>1</v>
      </c>
      <c r="B11" s="687" t="str">
        <f aca="false">A7</f>
        <v>Zelador ac. Lavador de Carro</v>
      </c>
      <c r="C11" s="687"/>
      <c r="D11" s="688" t="n">
        <f aca="false">Dados!D15</f>
        <v>220</v>
      </c>
      <c r="E11" s="689" t="n">
        <f aca="false">Dados!$E$15</f>
        <v>1625.4</v>
      </c>
      <c r="F11" s="690" t="n">
        <f aca="false">ROUND(E11/220*D11,2)</f>
        <v>1625.4</v>
      </c>
      <c r="G11" s="690" t="n">
        <f aca="false">F11</f>
        <v>1625.4</v>
      </c>
      <c r="H11" s="690"/>
      <c r="I11" s="690"/>
      <c r="J11" s="691"/>
    </row>
    <row r="12" customFormat="false" ht="19.5" hidden="false" customHeight="true" outlineLevel="0" collapsed="false">
      <c r="A12" s="686"/>
      <c r="B12" s="687" t="s">
        <v>706</v>
      </c>
      <c r="C12" s="687"/>
      <c r="D12" s="692" t="n">
        <f aca="false">Dados!G15</f>
        <v>0</v>
      </c>
      <c r="E12" s="689" t="n">
        <f aca="false">Dados!$G$34</f>
        <v>1320</v>
      </c>
      <c r="F12" s="690" t="n">
        <f aca="false">D12*E12</f>
        <v>0</v>
      </c>
      <c r="G12" s="690" t="n">
        <f aca="false">F12</f>
        <v>0</v>
      </c>
      <c r="H12" s="690"/>
      <c r="I12" s="690"/>
      <c r="J12" s="691" t="n">
        <f aca="false">F12</f>
        <v>0</v>
      </c>
    </row>
    <row r="13" customFormat="false" ht="22.5" hidden="false" customHeight="true" outlineLevel="0" collapsed="false">
      <c r="A13" s="686"/>
      <c r="B13" s="693" t="s">
        <v>707</v>
      </c>
      <c r="C13" s="694" t="n">
        <f aca="false">Dados!$I$15</f>
        <v>0.12</v>
      </c>
      <c r="D13" s="694" t="n">
        <f aca="false">Dados!$J$15</f>
        <v>0.25</v>
      </c>
      <c r="E13" s="695" t="n">
        <f aca="false">Dados!$K$15</f>
        <v>1625.4</v>
      </c>
      <c r="F13" s="696" t="n">
        <f aca="false">ROUND((E13*D13*C13),2)</f>
        <v>48.76</v>
      </c>
      <c r="G13" s="696" t="n">
        <f aca="false">F13</f>
        <v>48.76</v>
      </c>
      <c r="H13" s="696"/>
      <c r="I13" s="696"/>
      <c r="J13" s="697"/>
    </row>
    <row r="14" customFormat="false" ht="19.5" hidden="false" customHeight="true" outlineLevel="0" collapsed="false">
      <c r="A14" s="686"/>
      <c r="B14" s="698" t="s">
        <v>708</v>
      </c>
      <c r="C14" s="698"/>
      <c r="D14" s="698"/>
      <c r="E14" s="698"/>
      <c r="F14" s="699" t="n">
        <f aca="false">SUM(F11:F13)</f>
        <v>1674.16</v>
      </c>
      <c r="G14" s="699" t="n">
        <f aca="false">SUM(G11:G13)</f>
        <v>1674.16</v>
      </c>
      <c r="H14" s="699" t="n">
        <f aca="false">SUM(H11:H13)</f>
        <v>0</v>
      </c>
      <c r="I14" s="699" t="n">
        <f aca="false">SUM(I11:I13)</f>
        <v>0</v>
      </c>
      <c r="J14" s="700" t="n">
        <f aca="false">SUM(J11:J13)</f>
        <v>0</v>
      </c>
    </row>
    <row r="15" customFormat="false" ht="19.5" hidden="false" customHeight="true" outlineLevel="0" collapsed="false">
      <c r="A15" s="686"/>
      <c r="B15" s="701" t="s">
        <v>709</v>
      </c>
      <c r="C15" s="701"/>
      <c r="D15" s="701"/>
      <c r="E15" s="702" t="n">
        <f aca="false">Encargos!$C$57</f>
        <v>0.7905</v>
      </c>
      <c r="F15" s="690" t="n">
        <f aca="false">ROUND((E15*F14),2)</f>
        <v>1323.42</v>
      </c>
      <c r="G15" s="690" t="n">
        <f aca="false">F15</f>
        <v>1323.42</v>
      </c>
      <c r="H15" s="690"/>
      <c r="I15" s="690"/>
      <c r="J15" s="691" t="n">
        <f aca="false">ROUND((E15*J14),2)</f>
        <v>0</v>
      </c>
    </row>
    <row r="16" customFormat="false" ht="19.5" hidden="false" customHeight="true" outlineLevel="0" collapsed="false">
      <c r="A16" s="703" t="s">
        <v>710</v>
      </c>
      <c r="B16" s="703"/>
      <c r="C16" s="703"/>
      <c r="D16" s="703"/>
      <c r="E16" s="703"/>
      <c r="F16" s="704" t="n">
        <f aca="false">SUM(F14:F15)</f>
        <v>2997.58</v>
      </c>
      <c r="G16" s="704" t="n">
        <f aca="false">SUM(G14:G15)</f>
        <v>2997.58</v>
      </c>
      <c r="H16" s="704" t="n">
        <f aca="false">SUM(H14:H15)</f>
        <v>0</v>
      </c>
      <c r="I16" s="704" t="n">
        <f aca="false">SUM(I14:I15)</f>
        <v>0</v>
      </c>
      <c r="J16" s="705" t="n">
        <f aca="false">SUM(J14:J15)</f>
        <v>0</v>
      </c>
    </row>
    <row r="17" customFormat="false" ht="19.5" hidden="false" customHeight="true" outlineLevel="0" collapsed="false">
      <c r="A17" s="706" t="s">
        <v>711</v>
      </c>
      <c r="B17" s="706"/>
      <c r="C17" s="706"/>
      <c r="D17" s="706"/>
      <c r="E17" s="706"/>
      <c r="F17" s="706"/>
      <c r="G17" s="706"/>
      <c r="H17" s="706"/>
      <c r="I17" s="706"/>
      <c r="J17" s="706"/>
    </row>
    <row r="18" customFormat="false" ht="19.5" hidden="false" customHeight="true" outlineLevel="0" collapsed="false">
      <c r="A18" s="707" t="s">
        <v>712</v>
      </c>
      <c r="B18" s="707"/>
      <c r="C18" s="708" t="s">
        <v>521</v>
      </c>
      <c r="D18" s="708" t="s">
        <v>713</v>
      </c>
      <c r="E18" s="708"/>
      <c r="F18" s="709" t="s">
        <v>522</v>
      </c>
      <c r="G18" s="709"/>
      <c r="H18" s="709"/>
      <c r="I18" s="709"/>
      <c r="J18" s="709"/>
    </row>
    <row r="19" customFormat="false" ht="19.5" hidden="false" customHeight="true" outlineLevel="0" collapsed="false">
      <c r="A19" s="710" t="s">
        <v>714</v>
      </c>
      <c r="B19" s="710"/>
      <c r="C19" s="711"/>
      <c r="D19" s="711"/>
      <c r="E19" s="711"/>
      <c r="F19" s="690" t="n">
        <f aca="false">Dados!N15</f>
        <v>45.31</v>
      </c>
      <c r="G19" s="690" t="n">
        <f aca="false">F19</f>
        <v>45.31</v>
      </c>
      <c r="H19" s="690"/>
      <c r="I19" s="690"/>
      <c r="J19" s="691"/>
    </row>
    <row r="20" customFormat="false" ht="19.5" hidden="false" customHeight="true" outlineLevel="0" collapsed="false">
      <c r="A20" s="710" t="s">
        <v>715</v>
      </c>
      <c r="B20" s="710"/>
      <c r="C20" s="711"/>
      <c r="D20" s="711"/>
      <c r="E20" s="711"/>
      <c r="F20" s="690" t="n">
        <f aca="false">Dados!G37</f>
        <v>1.55</v>
      </c>
      <c r="G20" s="690" t="n">
        <f aca="false">F20</f>
        <v>1.55</v>
      </c>
      <c r="H20" s="690"/>
      <c r="I20" s="690"/>
      <c r="J20" s="691"/>
    </row>
    <row r="21" customFormat="false" ht="23.25" hidden="false" customHeight="true" outlineLevel="0" collapsed="false">
      <c r="A21" s="712" t="s">
        <v>354</v>
      </c>
      <c r="B21" s="712"/>
      <c r="C21" s="711"/>
      <c r="D21" s="711"/>
      <c r="E21" s="711"/>
      <c r="F21" s="690" t="n">
        <f aca="false">Dados!G38</f>
        <v>50.36</v>
      </c>
      <c r="G21" s="690" t="n">
        <f aca="false">F21</f>
        <v>50.36</v>
      </c>
      <c r="H21" s="690"/>
      <c r="I21" s="690"/>
      <c r="J21" s="691"/>
    </row>
    <row r="22" customFormat="false" ht="19.5" hidden="false" customHeight="true" outlineLevel="0" collapsed="false">
      <c r="A22" s="710" t="s">
        <v>355</v>
      </c>
      <c r="B22" s="710"/>
      <c r="C22" s="713" t="n">
        <f aca="false">Dados!$G$41</f>
        <v>22</v>
      </c>
      <c r="D22" s="713" t="n">
        <f aca="false">Dados!$G$40</f>
        <v>2</v>
      </c>
      <c r="E22" s="714" t="n">
        <f aca="false">Dados!$G$39</f>
        <v>3.75</v>
      </c>
      <c r="F22" s="690" t="n">
        <f aca="false">IF(ROUND((E22*D22*C22)-(F11*Dados!G42),2)&lt;0,0,ROUND((E22*D22*C22)-(F11*Dados!G42),2))</f>
        <v>67.48</v>
      </c>
      <c r="G22" s="690" t="n">
        <f aca="false">F22</f>
        <v>67.48</v>
      </c>
      <c r="H22" s="690"/>
      <c r="I22" s="690" t="n">
        <f aca="false">F22</f>
        <v>67.48</v>
      </c>
      <c r="J22" s="691"/>
    </row>
    <row r="23" customFormat="false" ht="19.5" hidden="false" customHeight="true" outlineLevel="0" collapsed="false">
      <c r="A23" s="710" t="s">
        <v>364</v>
      </c>
      <c r="B23" s="710"/>
      <c r="C23" s="713" t="n">
        <f aca="false">Dados!G45</f>
        <v>22</v>
      </c>
      <c r="D23" s="715" t="n">
        <f aca="false">Dados!G46</f>
        <v>0.2</v>
      </c>
      <c r="E23" s="714" t="n">
        <f aca="false">Dados!G43</f>
        <v>26</v>
      </c>
      <c r="F23" s="716" t="n">
        <f aca="false">ROUND((IF(D11&gt;150,((C23*E23)-(C23*(D23*E23))),0)),2)</f>
        <v>457.6</v>
      </c>
      <c r="G23" s="690" t="n">
        <f aca="false">F23</f>
        <v>457.6</v>
      </c>
      <c r="H23" s="690" t="n">
        <f aca="false">$F$23</f>
        <v>457.6</v>
      </c>
      <c r="I23" s="716"/>
      <c r="J23" s="691"/>
    </row>
    <row r="24" customFormat="false" ht="19.5" hidden="false" customHeight="true" outlineLevel="0" collapsed="false">
      <c r="A24" s="710" t="s">
        <v>368</v>
      </c>
      <c r="B24" s="710"/>
      <c r="C24" s="713"/>
      <c r="D24" s="713"/>
      <c r="E24" s="714"/>
      <c r="F24" s="716" t="n">
        <f aca="false">Dados!G47</f>
        <v>0</v>
      </c>
      <c r="G24" s="690"/>
      <c r="H24" s="690"/>
      <c r="I24" s="716"/>
      <c r="J24" s="691"/>
    </row>
    <row r="25" customFormat="false" ht="19.5" hidden="false" customHeight="true" outlineLevel="0" collapsed="false">
      <c r="A25" s="710" t="s">
        <v>368</v>
      </c>
      <c r="B25" s="710"/>
      <c r="C25" s="713"/>
      <c r="D25" s="713"/>
      <c r="E25" s="714"/>
      <c r="F25" s="716" t="n">
        <f aca="false">Dados!G48</f>
        <v>0</v>
      </c>
      <c r="G25" s="690"/>
      <c r="H25" s="690"/>
      <c r="I25" s="716"/>
      <c r="J25" s="691"/>
    </row>
    <row r="26" customFormat="false" ht="19.5" hidden="false" customHeight="true" outlineLevel="0" collapsed="false">
      <c r="A26" s="710" t="s">
        <v>716</v>
      </c>
      <c r="B26" s="710"/>
      <c r="C26" s="713"/>
      <c r="D26" s="714"/>
      <c r="E26" s="714"/>
      <c r="F26" s="690" t="n">
        <f aca="false">Dados!S15</f>
        <v>83.25</v>
      </c>
      <c r="G26" s="690"/>
      <c r="H26" s="690"/>
      <c r="I26" s="690"/>
      <c r="J26" s="691"/>
      <c r="L26" s="717"/>
    </row>
    <row r="27" customFormat="false" ht="19.5" hidden="false" customHeight="true" outlineLevel="0" collapsed="false">
      <c r="A27" s="710" t="s">
        <v>717</v>
      </c>
      <c r="B27" s="718"/>
      <c r="C27" s="713"/>
      <c r="D27" s="714"/>
      <c r="E27" s="714"/>
      <c r="F27" s="690" t="n">
        <f aca="false">Dados!R15</f>
        <v>0</v>
      </c>
      <c r="G27" s="690"/>
      <c r="H27" s="690"/>
      <c r="I27" s="690"/>
      <c r="J27" s="691"/>
    </row>
    <row r="28" customFormat="false" ht="19.5" hidden="false" customHeight="true" outlineLevel="0" collapsed="false">
      <c r="A28" s="719" t="s">
        <v>718</v>
      </c>
      <c r="B28" s="719"/>
      <c r="C28" s="720"/>
      <c r="D28" s="721"/>
      <c r="E28" s="721"/>
      <c r="F28" s="696" t="n">
        <f aca="false">Dados!T15</f>
        <v>0</v>
      </c>
      <c r="G28" s="696" t="n">
        <f aca="false">F28</f>
        <v>0</v>
      </c>
      <c r="H28" s="696"/>
      <c r="I28" s="696"/>
      <c r="J28" s="697"/>
    </row>
    <row r="29" customFormat="false" ht="19.5" hidden="false" customHeight="true" outlineLevel="0" collapsed="false">
      <c r="A29" s="722" t="s">
        <v>719</v>
      </c>
      <c r="B29" s="722"/>
      <c r="C29" s="722"/>
      <c r="D29" s="722"/>
      <c r="E29" s="722"/>
      <c r="F29" s="704" t="n">
        <f aca="false">SUM(F19:F28)</f>
        <v>705.55</v>
      </c>
      <c r="G29" s="704" t="n">
        <f aca="false">SUM(G19:G28)</f>
        <v>622.3</v>
      </c>
      <c r="H29" s="704" t="n">
        <f aca="false">SUM(H19:H28)</f>
        <v>457.6</v>
      </c>
      <c r="I29" s="704" t="n">
        <f aca="false">SUM(I19:I28)</f>
        <v>67.48</v>
      </c>
      <c r="J29" s="705" t="n">
        <f aca="false">SUM(J19:J28)</f>
        <v>0</v>
      </c>
    </row>
    <row r="30" customFormat="false" ht="19.5" hidden="false" customHeight="true" outlineLevel="0" collapsed="false">
      <c r="A30" s="722" t="s">
        <v>720</v>
      </c>
      <c r="B30" s="722"/>
      <c r="C30" s="722"/>
      <c r="D30" s="722"/>
      <c r="E30" s="722"/>
      <c r="F30" s="704" t="n">
        <f aca="false">F16+F29</f>
        <v>3703.13</v>
      </c>
      <c r="G30" s="704" t="n">
        <f aca="false">G16+G29</f>
        <v>3619.88</v>
      </c>
      <c r="H30" s="704" t="n">
        <f aca="false">H16+H29</f>
        <v>457.6</v>
      </c>
      <c r="I30" s="704" t="n">
        <f aca="false">I16+I29</f>
        <v>67.48</v>
      </c>
      <c r="J30" s="705" t="n">
        <f aca="false">J16+J29</f>
        <v>0</v>
      </c>
    </row>
    <row r="31" customFormat="false" ht="19.5" hidden="false" customHeight="true" outlineLevel="0" collapsed="false">
      <c r="A31" s="680" t="s">
        <v>721</v>
      </c>
      <c r="B31" s="680"/>
      <c r="C31" s="680"/>
      <c r="D31" s="680"/>
      <c r="E31" s="680"/>
      <c r="F31" s="680"/>
      <c r="G31" s="680"/>
      <c r="H31" s="680"/>
      <c r="I31" s="680"/>
      <c r="J31" s="680"/>
    </row>
    <row r="32" customFormat="false" ht="19.5" hidden="false" customHeight="true" outlineLevel="0" collapsed="false">
      <c r="A32" s="707" t="s">
        <v>722</v>
      </c>
      <c r="B32" s="707"/>
      <c r="C32" s="707"/>
      <c r="D32" s="723" t="s">
        <v>622</v>
      </c>
      <c r="E32" s="724" t="s">
        <v>522</v>
      </c>
      <c r="F32" s="724"/>
      <c r="G32" s="724"/>
      <c r="H32" s="724"/>
      <c r="I32" s="724"/>
      <c r="J32" s="724"/>
    </row>
    <row r="33" customFormat="false" ht="19.5" hidden="false" customHeight="true" outlineLevel="0" collapsed="false">
      <c r="A33" s="725" t="s">
        <v>723</v>
      </c>
      <c r="B33" s="726"/>
      <c r="C33" s="726"/>
      <c r="D33" s="727" t="n">
        <f aca="false">Dados!$G$51</f>
        <v>0.03</v>
      </c>
      <c r="E33" s="728"/>
      <c r="F33" s="690" t="n">
        <f aca="false">ROUND((F30*$D$33),2)</f>
        <v>111.09</v>
      </c>
      <c r="G33" s="690" t="n">
        <f aca="false">ROUND((G30*$D$33),2)</f>
        <v>108.6</v>
      </c>
      <c r="H33" s="690" t="n">
        <f aca="false">ROUND((H30*$D$33),2)</f>
        <v>13.73</v>
      </c>
      <c r="I33" s="690" t="n">
        <f aca="false">ROUND((I30*$D$33),2)</f>
        <v>2.02</v>
      </c>
      <c r="J33" s="691" t="n">
        <f aca="false">ROUND((J30*$D$33),2)</f>
        <v>0</v>
      </c>
    </row>
    <row r="34" customFormat="false" ht="19.5" hidden="false" customHeight="true" outlineLevel="0" collapsed="false">
      <c r="A34" s="729" t="s">
        <v>724</v>
      </c>
      <c r="B34" s="729"/>
      <c r="C34" s="729"/>
      <c r="D34" s="727"/>
      <c r="E34" s="728"/>
      <c r="F34" s="690" t="n">
        <f aca="false">F30+F33</f>
        <v>3814.22</v>
      </c>
      <c r="G34" s="690" t="n">
        <f aca="false">G30+G33</f>
        <v>3728.48</v>
      </c>
      <c r="H34" s="690" t="n">
        <f aca="false">H30+H33</f>
        <v>471.33</v>
      </c>
      <c r="I34" s="690" t="n">
        <f aca="false">I30+I33</f>
        <v>69.5</v>
      </c>
      <c r="J34" s="691" t="n">
        <f aca="false">J30+J33</f>
        <v>0</v>
      </c>
    </row>
    <row r="35" customFormat="false" ht="19.5" hidden="false" customHeight="true" outlineLevel="0" collapsed="false">
      <c r="A35" s="730" t="s">
        <v>373</v>
      </c>
      <c r="B35" s="731"/>
      <c r="C35" s="731"/>
      <c r="D35" s="732" t="n">
        <f aca="false">Dados!$G$52</f>
        <v>0.0679</v>
      </c>
      <c r="E35" s="733"/>
      <c r="F35" s="696" t="n">
        <f aca="false">ROUND((F34*$D$35),2)</f>
        <v>258.99</v>
      </c>
      <c r="G35" s="696" t="n">
        <f aca="false">ROUND((G34*$D$35),2)</f>
        <v>253.16</v>
      </c>
      <c r="H35" s="696" t="n">
        <f aca="false">ROUND((H34*$D$35),2)</f>
        <v>32</v>
      </c>
      <c r="I35" s="696" t="n">
        <f aca="false">ROUND((I34*$D$35),2)</f>
        <v>4.72</v>
      </c>
      <c r="J35" s="697" t="n">
        <f aca="false">ROUND((J34*$D$35),2)</f>
        <v>0</v>
      </c>
    </row>
    <row r="36" customFormat="false" ht="19.5" hidden="false" customHeight="true" outlineLevel="0" collapsed="false">
      <c r="A36" s="734" t="s">
        <v>725</v>
      </c>
      <c r="B36" s="735"/>
      <c r="C36" s="735"/>
      <c r="D36" s="736" t="n">
        <f aca="false">SUM(D33:D35)</f>
        <v>0.0979</v>
      </c>
      <c r="E36" s="737"/>
      <c r="F36" s="704" t="n">
        <f aca="false">F33+F35</f>
        <v>370.08</v>
      </c>
      <c r="G36" s="704" t="n">
        <f aca="false">G33+G35</f>
        <v>361.76</v>
      </c>
      <c r="H36" s="704" t="n">
        <f aca="false">H33+H35</f>
        <v>45.73</v>
      </c>
      <c r="I36" s="704" t="n">
        <f aca="false">I33+I35</f>
        <v>6.74</v>
      </c>
      <c r="J36" s="705" t="n">
        <f aca="false">J33+J35</f>
        <v>0</v>
      </c>
    </row>
    <row r="37" customFormat="false" ht="19.5" hidden="false" customHeight="true" outlineLevel="0" collapsed="false">
      <c r="A37" s="738" t="s">
        <v>726</v>
      </c>
      <c r="B37" s="738"/>
      <c r="C37" s="738"/>
      <c r="D37" s="738"/>
      <c r="E37" s="738"/>
      <c r="F37" s="739" t="n">
        <f aca="false">F30+F36</f>
        <v>4073.21</v>
      </c>
      <c r="G37" s="739" t="n">
        <f aca="false">G30+G36</f>
        <v>3981.64</v>
      </c>
      <c r="H37" s="739" t="n">
        <f aca="false">H30+H36</f>
        <v>503.33</v>
      </c>
      <c r="I37" s="739" t="n">
        <f aca="false">I30+I36</f>
        <v>74.22</v>
      </c>
      <c r="J37" s="740" t="n">
        <f aca="false">J30+J36</f>
        <v>0</v>
      </c>
    </row>
    <row r="38" customFormat="false" ht="19.5" hidden="false" customHeight="true" outlineLevel="0" collapsed="false">
      <c r="A38" s="741" t="s">
        <v>727</v>
      </c>
      <c r="B38" s="741"/>
      <c r="C38" s="741"/>
      <c r="D38" s="741"/>
      <c r="E38" s="741"/>
      <c r="F38" s="741"/>
      <c r="G38" s="741"/>
      <c r="H38" s="741"/>
      <c r="I38" s="741"/>
      <c r="J38" s="741"/>
    </row>
    <row r="39" customFormat="false" ht="19.5" hidden="false" customHeight="true" outlineLevel="0" collapsed="false">
      <c r="A39" s="710" t="s">
        <v>379</v>
      </c>
      <c r="B39" s="710"/>
      <c r="C39" s="710"/>
      <c r="D39" s="727" t="n">
        <f aca="false">Dados!G59</f>
        <v>0.076</v>
      </c>
      <c r="E39" s="742"/>
      <c r="F39" s="690" t="n">
        <f aca="false">ROUND(($F$45*D39),2)</f>
        <v>352.78</v>
      </c>
      <c r="G39" s="690" t="n">
        <f aca="false">ROUND((G45*$D$39),2)</f>
        <v>344.85</v>
      </c>
      <c r="H39" s="690" t="n">
        <f aca="false">ROUND((H45*$D$39),2)</f>
        <v>38.25</v>
      </c>
      <c r="I39" s="690" t="n">
        <f aca="false">ROUND((I45*$D$39),2)</f>
        <v>6.43</v>
      </c>
      <c r="J39" s="691" t="n">
        <f aca="false">ROUND((J45*$D$39),2)</f>
        <v>0</v>
      </c>
    </row>
    <row r="40" customFormat="false" ht="19.5" hidden="false" customHeight="true" outlineLevel="0" collapsed="false">
      <c r="A40" s="710" t="s">
        <v>381</v>
      </c>
      <c r="B40" s="710"/>
      <c r="C40" s="710"/>
      <c r="D40" s="727" t="n">
        <f aca="false">Dados!G60</f>
        <v>0.0165</v>
      </c>
      <c r="E40" s="742"/>
      <c r="F40" s="690" t="n">
        <f aca="false">ROUND((F45*$D$40),2)</f>
        <v>76.59</v>
      </c>
      <c r="G40" s="690" t="n">
        <f aca="false">ROUND((G45*$D$40),2)</f>
        <v>74.87</v>
      </c>
      <c r="H40" s="690" t="n">
        <f aca="false">ROUND((H45*$D$40),2)</f>
        <v>8.3</v>
      </c>
      <c r="I40" s="690" t="n">
        <f aca="false">ROUND((I45*$D$40),2)</f>
        <v>1.4</v>
      </c>
      <c r="J40" s="691" t="n">
        <f aca="false">ROUND((J45*$D$40),2)</f>
        <v>0</v>
      </c>
    </row>
    <row r="41" customFormat="false" ht="19.5" hidden="false" customHeight="true" outlineLevel="0" collapsed="false">
      <c r="A41" s="710" t="str">
        <f aca="false">Dados!B61</f>
        <v>ISSQN - Limpeza e Manutenção</v>
      </c>
      <c r="B41" s="710"/>
      <c r="C41" s="710"/>
      <c r="D41" s="727" t="n">
        <f aca="false">Dados!G61</f>
        <v>0.03</v>
      </c>
      <c r="E41" s="742"/>
      <c r="F41" s="690" t="n">
        <f aca="false">ROUND((F45*$D$41),2)</f>
        <v>139.25</v>
      </c>
      <c r="G41" s="690" t="n">
        <f aca="false">ROUND((G45*$D$41),2)</f>
        <v>136.12</v>
      </c>
      <c r="H41" s="690" t="n">
        <f aca="false">ROUND((H45*$D$41),2)</f>
        <v>15.1</v>
      </c>
      <c r="I41" s="690" t="n">
        <f aca="false">ROUND((I45*$D$41),2)</f>
        <v>2.54</v>
      </c>
      <c r="J41" s="691" t="n">
        <f aca="false">ROUND((J45*$D$41),2)</f>
        <v>0</v>
      </c>
    </row>
    <row r="42" customFormat="false" ht="19.5" hidden="false" customHeight="true" outlineLevel="0" collapsed="false">
      <c r="A42" s="710" t="s">
        <v>368</v>
      </c>
      <c r="B42" s="710"/>
      <c r="C42" s="710"/>
      <c r="D42" s="727" t="n">
        <f aca="false">Dados!G63</f>
        <v>0</v>
      </c>
      <c r="E42" s="742"/>
      <c r="F42" s="690" t="n">
        <f aca="false">ROUND((F45*$D$42),2)</f>
        <v>0</v>
      </c>
      <c r="G42" s="690" t="n">
        <f aca="false">ROUND((G45*$D$42),2)</f>
        <v>0</v>
      </c>
      <c r="H42" s="690" t="n">
        <f aca="false">ROUND((H45*$D$42),2)</f>
        <v>0</v>
      </c>
      <c r="I42" s="690" t="n">
        <f aca="false">ROUND((I45*$D$42),2)</f>
        <v>0</v>
      </c>
      <c r="J42" s="691" t="n">
        <f aca="false">ROUND((J45*$D$42),2)</f>
        <v>0</v>
      </c>
    </row>
    <row r="43" customFormat="false" ht="19.5" hidden="false" customHeight="true" outlineLevel="0" collapsed="false">
      <c r="A43" s="743" t="s">
        <v>728</v>
      </c>
      <c r="B43" s="743"/>
      <c r="C43" s="743"/>
      <c r="D43" s="744" t="n">
        <f aca="false">SUM(D39:D42)</f>
        <v>0.1225</v>
      </c>
      <c r="E43" s="745"/>
      <c r="F43" s="746" t="n">
        <f aca="false">SUM(F39:F42)</f>
        <v>568.62</v>
      </c>
      <c r="G43" s="746" t="n">
        <f aca="false">SUM(G39:G42)</f>
        <v>555.84</v>
      </c>
      <c r="H43" s="746" t="n">
        <f aca="false">SUM(H39:H42)</f>
        <v>61.65</v>
      </c>
      <c r="I43" s="746" t="n">
        <f aca="false">SUM(I39:I42)</f>
        <v>10.37</v>
      </c>
      <c r="J43" s="747" t="n">
        <f aca="false">SUM(J39:J41)</f>
        <v>0</v>
      </c>
    </row>
    <row r="44" customFormat="false" ht="19.5" hidden="false" customHeight="true" outlineLevel="0" collapsed="false">
      <c r="A44" s="748" t="str">
        <f aca="false">CONCATENATE("Custo Mensal - ",A7)</f>
        <v>Custo Mensal - Zelador ac. Lavador de Carro</v>
      </c>
      <c r="B44" s="748"/>
      <c r="C44" s="748"/>
      <c r="D44" s="748"/>
      <c r="E44" s="748"/>
      <c r="F44" s="749" t="n">
        <f aca="false">ROUND(F37/(1-D43),2)</f>
        <v>4641.83</v>
      </c>
      <c r="G44" s="749" t="n">
        <f aca="false">ROUND(G37/(1-D43),2)</f>
        <v>4537.48</v>
      </c>
      <c r="H44" s="749" t="n">
        <f aca="false">ROUND(H37/(1-C43),2)</f>
        <v>503.33</v>
      </c>
      <c r="I44" s="749" t="n">
        <f aca="false">ROUND(I37/(1-D43),2)</f>
        <v>84.58</v>
      </c>
      <c r="J44" s="750" t="n">
        <f aca="false">ROUND(J37/(1-D43),2)</f>
        <v>0</v>
      </c>
    </row>
    <row r="45" customFormat="false" ht="19.5" hidden="false" customHeight="true" outlineLevel="0" collapsed="false">
      <c r="A45" s="751" t="str">
        <f aca="false">CONCATENATE("Valor do Custo Mensal - ",A7)</f>
        <v>Valor do Custo Mensal - Zelador ac. Lavador de Carro</v>
      </c>
      <c r="B45" s="751"/>
      <c r="C45" s="751"/>
      <c r="D45" s="751"/>
      <c r="E45" s="751"/>
      <c r="F45" s="749" t="n">
        <f aca="false">F44</f>
        <v>4641.83</v>
      </c>
      <c r="G45" s="749" t="n">
        <f aca="false">G44</f>
        <v>4537.48</v>
      </c>
      <c r="H45" s="749" t="n">
        <f aca="false">H44</f>
        <v>503.33</v>
      </c>
      <c r="I45" s="749" t="n">
        <f aca="false">I44</f>
        <v>84.58</v>
      </c>
      <c r="J45" s="750" t="n">
        <f aca="false">J44</f>
        <v>0</v>
      </c>
      <c r="K45" s="752"/>
      <c r="L45" s="752"/>
    </row>
    <row r="46" customFormat="false" ht="27.75" hidden="false" customHeight="true" outlineLevel="0" collapsed="false">
      <c r="A46" s="753" t="s">
        <v>729</v>
      </c>
      <c r="B46" s="753"/>
      <c r="C46" s="753"/>
      <c r="D46" s="753"/>
      <c r="E46" s="753"/>
      <c r="F46" s="754" t="n">
        <f aca="false">(F45/F14)</f>
        <v>2.77263224542457</v>
      </c>
      <c r="G46" s="754" t="n">
        <f aca="false">(G45/G14)</f>
        <v>2.7103024800497</v>
      </c>
      <c r="H46" s="755" t="s">
        <v>730</v>
      </c>
      <c r="I46" s="755"/>
      <c r="J46" s="756" t="n">
        <v>0</v>
      </c>
    </row>
    <row r="47" customFormat="false" ht="19.5" hidden="false" customHeight="true" outlineLevel="0" collapsed="false"/>
  </sheetData>
  <sheetProtection sheet="true" password="c494" objects="true" scenarios="true"/>
  <mergeCells count="49">
    <mergeCell ref="A4:J4"/>
    <mergeCell ref="A5:J5"/>
    <mergeCell ref="A6:J6"/>
    <mergeCell ref="A7:E7"/>
    <mergeCell ref="F7:F8"/>
    <mergeCell ref="G7:G8"/>
    <mergeCell ref="H7:H8"/>
    <mergeCell ref="I7:I8"/>
    <mergeCell ref="J7:J8"/>
    <mergeCell ref="A8:D8"/>
    <mergeCell ref="A9:J9"/>
    <mergeCell ref="B10:C10"/>
    <mergeCell ref="F10:J10"/>
    <mergeCell ref="A11:A15"/>
    <mergeCell ref="B11:C11"/>
    <mergeCell ref="B12:C12"/>
    <mergeCell ref="B14:E14"/>
    <mergeCell ref="B15:D15"/>
    <mergeCell ref="A16:E16"/>
    <mergeCell ref="A17:J17"/>
    <mergeCell ref="A18:B18"/>
    <mergeCell ref="D18:E18"/>
    <mergeCell ref="F18:J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E29"/>
    <mergeCell ref="A30:E30"/>
    <mergeCell ref="A31:J31"/>
    <mergeCell ref="A32:C32"/>
    <mergeCell ref="E32:J32"/>
    <mergeCell ref="A34:C34"/>
    <mergeCell ref="A37:E37"/>
    <mergeCell ref="A38:J38"/>
    <mergeCell ref="A39:C39"/>
    <mergeCell ref="A40:C40"/>
    <mergeCell ref="A41:C41"/>
    <mergeCell ref="A42:C42"/>
    <mergeCell ref="A43:C43"/>
    <mergeCell ref="A44:E44"/>
    <mergeCell ref="A45:E45"/>
    <mergeCell ref="A46:E46"/>
    <mergeCell ref="H46:I4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6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2" activeCellId="0" sqref="A42"/>
    </sheetView>
  </sheetViews>
  <sheetFormatPr defaultColWidth="9.1484375" defaultRowHeight="15" zeroHeight="false" outlineLevelRow="0" outlineLevelCol="0"/>
  <cols>
    <col collapsed="false" customWidth="true" hidden="false" outlineLevel="0" max="1" min="1" style="148" width="10.57"/>
    <col collapsed="false" customWidth="true" hidden="false" outlineLevel="0" max="2" min="2" style="148" width="27.71"/>
    <col collapsed="false" customWidth="true" hidden="false" outlineLevel="0" max="3" min="3" style="148" width="14.42"/>
    <col collapsed="false" customWidth="true" hidden="false" outlineLevel="0" max="5" min="4" style="148" width="15"/>
    <col collapsed="false" customWidth="true" hidden="false" outlineLevel="0" max="6" min="6" style="662" width="16.71"/>
    <col collapsed="false" customWidth="true" hidden="false" outlineLevel="0" max="8" min="7" style="662" width="13.15"/>
    <col collapsed="false" customWidth="true" hidden="false" outlineLevel="0" max="10" min="9" style="662" width="12.57"/>
    <col collapsed="false" customWidth="false" hidden="false" outlineLevel="0" max="257" min="11" style="148" width="9.14"/>
    <col collapsed="false" customWidth="true" hidden="false" outlineLevel="0" max="258" min="258" style="148" width="10.57"/>
    <col collapsed="false" customWidth="true" hidden="false" outlineLevel="0" max="259" min="259" style="148" width="27.71"/>
    <col collapsed="false" customWidth="true" hidden="false" outlineLevel="0" max="260" min="260" style="148" width="14.42"/>
    <col collapsed="false" customWidth="true" hidden="false" outlineLevel="0" max="262" min="261" style="148" width="15"/>
    <col collapsed="false" customWidth="true" hidden="false" outlineLevel="0" max="263" min="263" style="148" width="16.71"/>
    <col collapsed="false" customWidth="true" hidden="false" outlineLevel="0" max="264" min="264" style="148" width="13.15"/>
    <col collapsed="false" customWidth="true" hidden="false" outlineLevel="0" max="266" min="265" style="148" width="12.57"/>
    <col collapsed="false" customWidth="false" hidden="false" outlineLevel="0" max="513" min="267" style="148" width="9.14"/>
    <col collapsed="false" customWidth="true" hidden="false" outlineLevel="0" max="514" min="514" style="148" width="10.57"/>
    <col collapsed="false" customWidth="true" hidden="false" outlineLevel="0" max="515" min="515" style="148" width="27.71"/>
    <col collapsed="false" customWidth="true" hidden="false" outlineLevel="0" max="516" min="516" style="148" width="14.42"/>
    <col collapsed="false" customWidth="true" hidden="false" outlineLevel="0" max="518" min="517" style="148" width="15"/>
    <col collapsed="false" customWidth="true" hidden="false" outlineLevel="0" max="519" min="519" style="148" width="16.71"/>
    <col collapsed="false" customWidth="true" hidden="false" outlineLevel="0" max="520" min="520" style="148" width="13.15"/>
    <col collapsed="false" customWidth="true" hidden="false" outlineLevel="0" max="522" min="521" style="148" width="12.57"/>
    <col collapsed="false" customWidth="false" hidden="false" outlineLevel="0" max="769" min="523" style="148" width="9.14"/>
    <col collapsed="false" customWidth="true" hidden="false" outlineLevel="0" max="770" min="770" style="148" width="10.57"/>
    <col collapsed="false" customWidth="true" hidden="false" outlineLevel="0" max="771" min="771" style="148" width="27.71"/>
    <col collapsed="false" customWidth="true" hidden="false" outlineLevel="0" max="772" min="772" style="148" width="14.42"/>
    <col collapsed="false" customWidth="true" hidden="false" outlineLevel="0" max="774" min="773" style="148" width="15"/>
    <col collapsed="false" customWidth="true" hidden="false" outlineLevel="0" max="775" min="775" style="148" width="16.71"/>
    <col collapsed="false" customWidth="true" hidden="false" outlineLevel="0" max="776" min="776" style="148" width="13.15"/>
    <col collapsed="false" customWidth="true" hidden="false" outlineLevel="0" max="778" min="777" style="148" width="12.57"/>
    <col collapsed="false" customWidth="false" hidden="false" outlineLevel="0" max="1024" min="779" style="148" width="9.14"/>
  </cols>
  <sheetData>
    <row r="1" customFormat="false" ht="15" hidden="false" customHeight="false" outlineLevel="0" collapsed="false">
      <c r="A1" s="663"/>
      <c r="B1" s="145" t="str">
        <f aca="false">INSTRUÇÕES!B1</f>
        <v>Tribunal Regional Federal da 6ª Região</v>
      </c>
      <c r="C1" s="664"/>
      <c r="D1" s="664"/>
      <c r="E1" s="664"/>
      <c r="F1" s="665"/>
      <c r="G1" s="666"/>
      <c r="H1" s="666"/>
      <c r="I1" s="665"/>
      <c r="J1" s="667"/>
    </row>
    <row r="2" customFormat="false" ht="15" hidden="false" customHeight="false" outlineLevel="0" collapsed="false">
      <c r="A2" s="668"/>
      <c r="B2" s="147" t="str">
        <f aca="false">INSTRUÇÕES!B2</f>
        <v>Seção Judiciária de Minas Gerais</v>
      </c>
      <c r="C2" s="669"/>
      <c r="D2" s="669"/>
      <c r="E2" s="669"/>
      <c r="F2" s="670"/>
      <c r="I2" s="670"/>
      <c r="J2" s="671"/>
    </row>
    <row r="3" customFormat="false" ht="15" hidden="false" customHeight="false" outlineLevel="0" collapsed="false">
      <c r="A3" s="672"/>
      <c r="B3" s="491" t="str">
        <f aca="false">INSTRUÇÕES!B3</f>
        <v>Subseção Judiciária de Juiz de Fora</v>
      </c>
      <c r="C3" s="669"/>
      <c r="D3" s="669"/>
      <c r="E3" s="669"/>
      <c r="F3" s="670"/>
      <c r="I3" s="670"/>
      <c r="J3" s="671"/>
    </row>
    <row r="4" customFormat="false" ht="19.5" hidden="false" customHeight="true" outlineLevel="0" collapsed="false">
      <c r="A4" s="673" t="s">
        <v>695</v>
      </c>
      <c r="B4" s="673"/>
      <c r="C4" s="673"/>
      <c r="D4" s="673"/>
      <c r="E4" s="673"/>
      <c r="F4" s="673"/>
      <c r="G4" s="673"/>
      <c r="H4" s="673"/>
      <c r="I4" s="673"/>
      <c r="J4" s="673"/>
    </row>
    <row r="5" customFormat="false" ht="19.5" hidden="false" customHeight="true" outlineLevel="0" collapsed="false">
      <c r="A5" s="674" t="s">
        <v>421</v>
      </c>
      <c r="B5" s="674"/>
      <c r="C5" s="674"/>
      <c r="D5" s="674"/>
      <c r="E5" s="674"/>
      <c r="F5" s="674"/>
      <c r="G5" s="674"/>
      <c r="H5" s="674"/>
      <c r="I5" s="674"/>
      <c r="J5" s="674"/>
    </row>
    <row r="6" customFormat="false" ht="36" hidden="false" customHeight="true" outlineLevel="0" collapsed="false">
      <c r="A6" s="675" t="str">
        <f aca="false">Dados!A4</f>
        <v>Sindicato utilizado - SINTEAC/JF. Vigência: 01/01/2023 à 31/12/2023. Sendo a data base da categoria 01º Janeiro. Com número de registro no MTE MG001725/2023.</v>
      </c>
      <c r="B6" s="675"/>
      <c r="C6" s="675"/>
      <c r="D6" s="675"/>
      <c r="E6" s="675"/>
      <c r="F6" s="675"/>
      <c r="G6" s="675"/>
      <c r="H6" s="675"/>
      <c r="I6" s="675"/>
      <c r="J6" s="675"/>
    </row>
    <row r="7" customFormat="false" ht="19.5" hidden="false" customHeight="true" outlineLevel="0" collapsed="false">
      <c r="A7" s="676" t="str">
        <f aca="false">Dados!C16</f>
        <v>Encarregado Geral</v>
      </c>
      <c r="B7" s="676"/>
      <c r="C7" s="676"/>
      <c r="D7" s="676"/>
      <c r="E7" s="676"/>
      <c r="F7" s="677" t="s">
        <v>696</v>
      </c>
      <c r="G7" s="677" t="s">
        <v>697</v>
      </c>
      <c r="H7" s="677" t="s">
        <v>698</v>
      </c>
      <c r="I7" s="677" t="s">
        <v>699</v>
      </c>
      <c r="J7" s="677" t="s">
        <v>700</v>
      </c>
    </row>
    <row r="8" customFormat="false" ht="19.5" hidden="false" customHeight="true" outlineLevel="0" collapsed="false">
      <c r="A8" s="678" t="s">
        <v>701</v>
      </c>
      <c r="B8" s="678"/>
      <c r="C8" s="678"/>
      <c r="D8" s="678"/>
      <c r="E8" s="679" t="s">
        <v>518</v>
      </c>
      <c r="F8" s="677"/>
      <c r="G8" s="677"/>
      <c r="H8" s="677"/>
      <c r="I8" s="677"/>
      <c r="J8" s="677"/>
    </row>
    <row r="9" customFormat="false" ht="19.5" hidden="false" customHeight="true" outlineLevel="0" collapsed="false">
      <c r="A9" s="680" t="s">
        <v>702</v>
      </c>
      <c r="B9" s="680"/>
      <c r="C9" s="680"/>
      <c r="D9" s="680"/>
      <c r="E9" s="680"/>
      <c r="F9" s="680"/>
      <c r="G9" s="680"/>
      <c r="H9" s="680"/>
      <c r="I9" s="680"/>
      <c r="J9" s="680"/>
    </row>
    <row r="10" customFormat="false" ht="24" hidden="false" customHeight="true" outlineLevel="0" collapsed="false">
      <c r="A10" s="681" t="s">
        <v>519</v>
      </c>
      <c r="B10" s="682" t="s">
        <v>703</v>
      </c>
      <c r="C10" s="682"/>
      <c r="D10" s="683" t="s">
        <v>704</v>
      </c>
      <c r="E10" s="684" t="s">
        <v>705</v>
      </c>
      <c r="F10" s="685" t="s">
        <v>522</v>
      </c>
      <c r="G10" s="685"/>
      <c r="H10" s="685"/>
      <c r="I10" s="685"/>
      <c r="J10" s="685"/>
    </row>
    <row r="11" customFormat="false" ht="19.5" hidden="false" customHeight="true" outlineLevel="0" collapsed="false">
      <c r="A11" s="686" t="n">
        <v>1</v>
      </c>
      <c r="B11" s="687" t="str">
        <f aca="false">A7</f>
        <v>Encarregado Geral</v>
      </c>
      <c r="C11" s="687"/>
      <c r="D11" s="688" t="n">
        <f aca="false">Dados!D16</f>
        <v>220</v>
      </c>
      <c r="E11" s="689" t="n">
        <f aca="false">Dados!E16</f>
        <v>2312.73</v>
      </c>
      <c r="F11" s="690" t="n">
        <f aca="false">ROUND(E11/220*D11,2)</f>
        <v>2312.73</v>
      </c>
      <c r="G11" s="690" t="n">
        <f aca="false">F11</f>
        <v>2312.73</v>
      </c>
      <c r="H11" s="690"/>
      <c r="I11" s="690"/>
      <c r="J11" s="691"/>
    </row>
    <row r="12" customFormat="false" ht="19.5" hidden="false" customHeight="true" outlineLevel="0" collapsed="false">
      <c r="A12" s="686"/>
      <c r="B12" s="687" t="s">
        <v>706</v>
      </c>
      <c r="C12" s="687"/>
      <c r="D12" s="692" t="n">
        <f aca="false">Dados!G16</f>
        <v>0</v>
      </c>
      <c r="E12" s="689" t="n">
        <f aca="false">Dados!$G$34</f>
        <v>1320</v>
      </c>
      <c r="F12" s="690" t="n">
        <f aca="false">D12*E12</f>
        <v>0</v>
      </c>
      <c r="G12" s="690" t="n">
        <f aca="false">F12</f>
        <v>0</v>
      </c>
      <c r="H12" s="690"/>
      <c r="I12" s="690"/>
      <c r="J12" s="691" t="n">
        <f aca="false">F12</f>
        <v>0</v>
      </c>
    </row>
    <row r="13" customFormat="false" ht="22.5" hidden="false" customHeight="true" outlineLevel="0" collapsed="false">
      <c r="A13" s="686"/>
      <c r="B13" s="693" t="s">
        <v>707</v>
      </c>
      <c r="C13" s="694" t="n">
        <f aca="false">Dados!$I$16</f>
        <v>0</v>
      </c>
      <c r="D13" s="694" t="n">
        <f aca="false">Dados!$J$16</f>
        <v>0</v>
      </c>
      <c r="E13" s="695" t="n">
        <f aca="false">Dados!$K$16</f>
        <v>0</v>
      </c>
      <c r="F13" s="696" t="n">
        <f aca="false">ROUND((E13*D13*C13),2)</f>
        <v>0</v>
      </c>
      <c r="G13" s="696" t="n">
        <f aca="false">F13</f>
        <v>0</v>
      </c>
      <c r="H13" s="696"/>
      <c r="I13" s="696"/>
      <c r="J13" s="697"/>
    </row>
    <row r="14" customFormat="false" ht="19.5" hidden="false" customHeight="true" outlineLevel="0" collapsed="false">
      <c r="A14" s="686"/>
      <c r="B14" s="698" t="s">
        <v>708</v>
      </c>
      <c r="C14" s="698"/>
      <c r="D14" s="698"/>
      <c r="E14" s="698"/>
      <c r="F14" s="699" t="n">
        <f aca="false">SUM(F11:F13)</f>
        <v>2312.73</v>
      </c>
      <c r="G14" s="699" t="n">
        <f aca="false">SUM(G11:G13)</f>
        <v>2312.73</v>
      </c>
      <c r="H14" s="699" t="n">
        <f aca="false">SUM(H11:H13)</f>
        <v>0</v>
      </c>
      <c r="I14" s="699" t="n">
        <f aca="false">SUM(I11:I13)</f>
        <v>0</v>
      </c>
      <c r="J14" s="700" t="n">
        <f aca="false">SUM(J11:J13)</f>
        <v>0</v>
      </c>
    </row>
    <row r="15" customFormat="false" ht="19.5" hidden="false" customHeight="true" outlineLevel="0" collapsed="false">
      <c r="A15" s="686"/>
      <c r="B15" s="701" t="s">
        <v>709</v>
      </c>
      <c r="C15" s="701"/>
      <c r="D15" s="701"/>
      <c r="E15" s="702" t="n">
        <f aca="false">Encargos!$C$57</f>
        <v>0.7905</v>
      </c>
      <c r="F15" s="690" t="n">
        <f aca="false">ROUND((E15*F14),2)</f>
        <v>1828.21</v>
      </c>
      <c r="G15" s="690" t="n">
        <f aca="false">F15</f>
        <v>1828.21</v>
      </c>
      <c r="H15" s="690"/>
      <c r="I15" s="690"/>
      <c r="J15" s="691" t="n">
        <f aca="false">ROUND((E15*J14),2)</f>
        <v>0</v>
      </c>
    </row>
    <row r="16" customFormat="false" ht="19.5" hidden="false" customHeight="true" outlineLevel="0" collapsed="false">
      <c r="A16" s="703" t="s">
        <v>710</v>
      </c>
      <c r="B16" s="703"/>
      <c r="C16" s="703"/>
      <c r="D16" s="703"/>
      <c r="E16" s="703"/>
      <c r="F16" s="704" t="n">
        <f aca="false">SUM(F14:F15)</f>
        <v>4140.94</v>
      </c>
      <c r="G16" s="704" t="n">
        <f aca="false">SUM(G14:G15)</f>
        <v>4140.94</v>
      </c>
      <c r="H16" s="704" t="n">
        <f aca="false">SUM(H14:H15)</f>
        <v>0</v>
      </c>
      <c r="I16" s="704" t="n">
        <f aca="false">SUM(I14:I15)</f>
        <v>0</v>
      </c>
      <c r="J16" s="705" t="n">
        <f aca="false">SUM(J14:J15)</f>
        <v>0</v>
      </c>
    </row>
    <row r="17" customFormat="false" ht="19.5" hidden="false" customHeight="true" outlineLevel="0" collapsed="false">
      <c r="A17" s="706" t="s">
        <v>711</v>
      </c>
      <c r="B17" s="706"/>
      <c r="C17" s="706"/>
      <c r="D17" s="706"/>
      <c r="E17" s="706"/>
      <c r="F17" s="706"/>
      <c r="G17" s="706"/>
      <c r="H17" s="706"/>
      <c r="I17" s="706"/>
      <c r="J17" s="706"/>
    </row>
    <row r="18" customFormat="false" ht="19.5" hidden="false" customHeight="true" outlineLevel="0" collapsed="false">
      <c r="A18" s="707" t="s">
        <v>712</v>
      </c>
      <c r="B18" s="707"/>
      <c r="C18" s="708" t="s">
        <v>521</v>
      </c>
      <c r="D18" s="708" t="s">
        <v>713</v>
      </c>
      <c r="E18" s="708"/>
      <c r="F18" s="709" t="s">
        <v>522</v>
      </c>
      <c r="G18" s="709"/>
      <c r="H18" s="709"/>
      <c r="I18" s="709"/>
      <c r="J18" s="709"/>
    </row>
    <row r="19" customFormat="false" ht="19.5" hidden="false" customHeight="true" outlineLevel="0" collapsed="false">
      <c r="A19" s="710" t="s">
        <v>714</v>
      </c>
      <c r="B19" s="710"/>
      <c r="C19" s="711"/>
      <c r="D19" s="711"/>
      <c r="E19" s="711"/>
      <c r="F19" s="690" t="n">
        <f aca="false">Dados!N16</f>
        <v>49.97</v>
      </c>
      <c r="G19" s="690" t="n">
        <f aca="false">F19</f>
        <v>49.97</v>
      </c>
      <c r="H19" s="690"/>
      <c r="I19" s="690"/>
      <c r="J19" s="691"/>
    </row>
    <row r="20" customFormat="false" ht="19.5" hidden="false" customHeight="true" outlineLevel="0" collapsed="false">
      <c r="A20" s="710" t="s">
        <v>715</v>
      </c>
      <c r="B20" s="710"/>
      <c r="C20" s="711"/>
      <c r="D20" s="711"/>
      <c r="E20" s="711"/>
      <c r="F20" s="690" t="n">
        <f aca="false">Dados!G37</f>
        <v>1.55</v>
      </c>
      <c r="G20" s="690" t="n">
        <f aca="false">F20</f>
        <v>1.55</v>
      </c>
      <c r="H20" s="690"/>
      <c r="I20" s="690"/>
      <c r="J20" s="691"/>
    </row>
    <row r="21" customFormat="false" ht="23.25" hidden="false" customHeight="true" outlineLevel="0" collapsed="false">
      <c r="A21" s="712" t="s">
        <v>354</v>
      </c>
      <c r="B21" s="712"/>
      <c r="C21" s="711"/>
      <c r="D21" s="711"/>
      <c r="E21" s="711"/>
      <c r="F21" s="690" t="n">
        <f aca="false">Dados!G38</f>
        <v>50.36</v>
      </c>
      <c r="G21" s="690" t="n">
        <f aca="false">F21</f>
        <v>50.36</v>
      </c>
      <c r="H21" s="690"/>
      <c r="I21" s="690"/>
      <c r="J21" s="691"/>
    </row>
    <row r="22" customFormat="false" ht="19.5" hidden="false" customHeight="true" outlineLevel="0" collapsed="false">
      <c r="A22" s="710" t="s">
        <v>355</v>
      </c>
      <c r="B22" s="710"/>
      <c r="C22" s="713" t="n">
        <f aca="false">Dados!$G$41</f>
        <v>22</v>
      </c>
      <c r="D22" s="713" t="n">
        <f aca="false">Dados!$G$40</f>
        <v>2</v>
      </c>
      <c r="E22" s="714" t="n">
        <f aca="false">Dados!$G$39</f>
        <v>3.75</v>
      </c>
      <c r="F22" s="690" t="n">
        <f aca="false">IF(ROUND((E22*D22*C22)-(F11*Dados!G42),2)&lt;0,0,ROUND((E22*D22*C22)-(F11*Dados!G42),2))</f>
        <v>26.24</v>
      </c>
      <c r="G22" s="690" t="n">
        <f aca="false">F22</f>
        <v>26.24</v>
      </c>
      <c r="H22" s="690"/>
      <c r="I22" s="690" t="n">
        <f aca="false">F22</f>
        <v>26.24</v>
      </c>
      <c r="J22" s="691"/>
    </row>
    <row r="23" customFormat="false" ht="19.5" hidden="false" customHeight="true" outlineLevel="0" collapsed="false">
      <c r="A23" s="710" t="s">
        <v>364</v>
      </c>
      <c r="B23" s="710"/>
      <c r="C23" s="713" t="n">
        <f aca="false">Dados!G45</f>
        <v>22</v>
      </c>
      <c r="D23" s="715" t="n">
        <f aca="false">Dados!G46</f>
        <v>0.2</v>
      </c>
      <c r="E23" s="714" t="n">
        <f aca="false">Dados!G43</f>
        <v>26</v>
      </c>
      <c r="F23" s="716" t="n">
        <f aca="false">ROUND((IF(D11&gt;150,((C23*E23)-(C23*(D23*E23))),0)),2)</f>
        <v>457.6</v>
      </c>
      <c r="G23" s="690" t="n">
        <f aca="false">F23</f>
        <v>457.6</v>
      </c>
      <c r="H23" s="690" t="n">
        <f aca="false">$F$23</f>
        <v>457.6</v>
      </c>
      <c r="I23" s="716"/>
      <c r="J23" s="691"/>
    </row>
    <row r="24" customFormat="false" ht="19.5" hidden="false" customHeight="true" outlineLevel="0" collapsed="false">
      <c r="A24" s="710" t="s">
        <v>368</v>
      </c>
      <c r="B24" s="710"/>
      <c r="C24" s="713"/>
      <c r="D24" s="713"/>
      <c r="E24" s="714"/>
      <c r="F24" s="716" t="n">
        <f aca="false">Dados!G47</f>
        <v>0</v>
      </c>
      <c r="G24" s="690"/>
      <c r="H24" s="690"/>
      <c r="I24" s="716"/>
      <c r="J24" s="691"/>
    </row>
    <row r="25" customFormat="false" ht="19.5" hidden="false" customHeight="true" outlineLevel="0" collapsed="false">
      <c r="A25" s="710" t="s">
        <v>368</v>
      </c>
      <c r="B25" s="710"/>
      <c r="C25" s="713"/>
      <c r="D25" s="713"/>
      <c r="E25" s="714"/>
      <c r="F25" s="716" t="n">
        <f aca="false">Dados!G48</f>
        <v>0</v>
      </c>
      <c r="G25" s="690"/>
      <c r="H25" s="690"/>
      <c r="I25" s="716"/>
      <c r="J25" s="691"/>
    </row>
    <row r="26" customFormat="false" ht="19.5" hidden="false" customHeight="true" outlineLevel="0" collapsed="false">
      <c r="A26" s="710" t="s">
        <v>716</v>
      </c>
      <c r="B26" s="710"/>
      <c r="C26" s="713"/>
      <c r="D26" s="714"/>
      <c r="E26" s="714"/>
      <c r="F26" s="690"/>
      <c r="G26" s="690"/>
      <c r="H26" s="690"/>
      <c r="I26" s="690"/>
      <c r="J26" s="691"/>
      <c r="L26" s="717"/>
    </row>
    <row r="27" customFormat="false" ht="19.5" hidden="false" customHeight="true" outlineLevel="0" collapsed="false">
      <c r="A27" s="710" t="s">
        <v>717</v>
      </c>
      <c r="B27" s="718"/>
      <c r="C27" s="713"/>
      <c r="D27" s="714"/>
      <c r="E27" s="714"/>
      <c r="F27" s="690" t="n">
        <f aca="false">Dados!R16</f>
        <v>0</v>
      </c>
      <c r="G27" s="690"/>
      <c r="H27" s="690"/>
      <c r="I27" s="690"/>
      <c r="J27" s="691"/>
    </row>
    <row r="28" customFormat="false" ht="19.5" hidden="false" customHeight="true" outlineLevel="0" collapsed="false">
      <c r="A28" s="719" t="s">
        <v>718</v>
      </c>
      <c r="B28" s="719"/>
      <c r="C28" s="720"/>
      <c r="D28" s="721"/>
      <c r="E28" s="721"/>
      <c r="F28" s="696" t="n">
        <f aca="false">Dados!T16</f>
        <v>0</v>
      </c>
      <c r="G28" s="696" t="n">
        <f aca="false">F28</f>
        <v>0</v>
      </c>
      <c r="H28" s="696"/>
      <c r="I28" s="696"/>
      <c r="J28" s="697"/>
    </row>
    <row r="29" customFormat="false" ht="19.5" hidden="false" customHeight="true" outlineLevel="0" collapsed="false">
      <c r="A29" s="722" t="s">
        <v>719</v>
      </c>
      <c r="B29" s="722"/>
      <c r="C29" s="722"/>
      <c r="D29" s="722"/>
      <c r="E29" s="722"/>
      <c r="F29" s="704" t="n">
        <f aca="false">SUM(F19:F28)</f>
        <v>585.72</v>
      </c>
      <c r="G29" s="704" t="n">
        <f aca="false">SUM(G19:G28)</f>
        <v>585.72</v>
      </c>
      <c r="H29" s="704" t="n">
        <f aca="false">SUM(H19:H28)</f>
        <v>457.6</v>
      </c>
      <c r="I29" s="704" t="n">
        <f aca="false">SUM(I19:I28)</f>
        <v>26.24</v>
      </c>
      <c r="J29" s="705" t="n">
        <f aca="false">SUM(J19:J28)</f>
        <v>0</v>
      </c>
    </row>
    <row r="30" customFormat="false" ht="19.5" hidden="false" customHeight="true" outlineLevel="0" collapsed="false">
      <c r="A30" s="722" t="s">
        <v>720</v>
      </c>
      <c r="B30" s="722"/>
      <c r="C30" s="722"/>
      <c r="D30" s="722"/>
      <c r="E30" s="722"/>
      <c r="F30" s="704" t="n">
        <f aca="false">F16+F29</f>
        <v>4726.66</v>
      </c>
      <c r="G30" s="704" t="n">
        <f aca="false">G16+G29</f>
        <v>4726.66</v>
      </c>
      <c r="H30" s="704" t="n">
        <f aca="false">H16+H29</f>
        <v>457.6</v>
      </c>
      <c r="I30" s="704" t="n">
        <f aca="false">I16+I29</f>
        <v>26.24</v>
      </c>
      <c r="J30" s="705" t="n">
        <f aca="false">J16+J29</f>
        <v>0</v>
      </c>
    </row>
    <row r="31" customFormat="false" ht="19.5" hidden="false" customHeight="true" outlineLevel="0" collapsed="false">
      <c r="A31" s="680" t="s">
        <v>721</v>
      </c>
      <c r="B31" s="680"/>
      <c r="C31" s="680"/>
      <c r="D31" s="680"/>
      <c r="E31" s="680"/>
      <c r="F31" s="680"/>
      <c r="G31" s="680"/>
      <c r="H31" s="680"/>
      <c r="I31" s="680"/>
      <c r="J31" s="680"/>
    </row>
    <row r="32" customFormat="false" ht="19.5" hidden="false" customHeight="true" outlineLevel="0" collapsed="false">
      <c r="A32" s="707" t="s">
        <v>722</v>
      </c>
      <c r="B32" s="707"/>
      <c r="C32" s="707"/>
      <c r="D32" s="723" t="s">
        <v>622</v>
      </c>
      <c r="E32" s="724" t="s">
        <v>522</v>
      </c>
      <c r="F32" s="724"/>
      <c r="G32" s="724"/>
      <c r="H32" s="724"/>
      <c r="I32" s="724"/>
      <c r="J32" s="724"/>
    </row>
    <row r="33" customFormat="false" ht="19.5" hidden="false" customHeight="true" outlineLevel="0" collapsed="false">
      <c r="A33" s="725" t="s">
        <v>723</v>
      </c>
      <c r="B33" s="726"/>
      <c r="C33" s="726"/>
      <c r="D33" s="727" t="n">
        <f aca="false">Dados!$G$51</f>
        <v>0.03</v>
      </c>
      <c r="E33" s="728"/>
      <c r="F33" s="690" t="n">
        <f aca="false">ROUND((F30*$D$33),2)</f>
        <v>141.8</v>
      </c>
      <c r="G33" s="690" t="n">
        <f aca="false">ROUND((G30*$D$33),2)</f>
        <v>141.8</v>
      </c>
      <c r="H33" s="690" t="n">
        <f aca="false">ROUND((H30*$D$33),2)</f>
        <v>13.73</v>
      </c>
      <c r="I33" s="690" t="n">
        <f aca="false">ROUND((I30*$D$33),2)</f>
        <v>0.79</v>
      </c>
      <c r="J33" s="691" t="n">
        <f aca="false">ROUND((J30*$D$33),2)</f>
        <v>0</v>
      </c>
    </row>
    <row r="34" customFormat="false" ht="19.5" hidden="false" customHeight="true" outlineLevel="0" collapsed="false">
      <c r="A34" s="729" t="s">
        <v>724</v>
      </c>
      <c r="B34" s="729"/>
      <c r="C34" s="729"/>
      <c r="D34" s="727"/>
      <c r="E34" s="728"/>
      <c r="F34" s="690" t="n">
        <f aca="false">F30+F33</f>
        <v>4868.46</v>
      </c>
      <c r="G34" s="690" t="n">
        <f aca="false">G30+G33</f>
        <v>4868.46</v>
      </c>
      <c r="H34" s="690" t="n">
        <f aca="false">H30+H33</f>
        <v>471.33</v>
      </c>
      <c r="I34" s="690" t="n">
        <f aca="false">I30+I33</f>
        <v>27.03</v>
      </c>
      <c r="J34" s="691" t="n">
        <f aca="false">J30+J33</f>
        <v>0</v>
      </c>
    </row>
    <row r="35" customFormat="false" ht="19.5" hidden="false" customHeight="true" outlineLevel="0" collapsed="false">
      <c r="A35" s="730" t="s">
        <v>373</v>
      </c>
      <c r="B35" s="731"/>
      <c r="C35" s="731"/>
      <c r="D35" s="732" t="n">
        <f aca="false">Dados!$G$52</f>
        <v>0.0679</v>
      </c>
      <c r="E35" s="733"/>
      <c r="F35" s="696" t="n">
        <f aca="false">ROUND((F34*$D$35),2)</f>
        <v>330.57</v>
      </c>
      <c r="G35" s="696" t="n">
        <f aca="false">ROUND((G34*$D$35),2)</f>
        <v>330.57</v>
      </c>
      <c r="H35" s="696" t="n">
        <f aca="false">ROUND((H34*$D$35),2)</f>
        <v>32</v>
      </c>
      <c r="I35" s="696" t="n">
        <f aca="false">ROUND((I34*$D$35),2)</f>
        <v>1.84</v>
      </c>
      <c r="J35" s="697" t="n">
        <f aca="false">ROUND((J34*$D$35),2)</f>
        <v>0</v>
      </c>
    </row>
    <row r="36" customFormat="false" ht="19.5" hidden="false" customHeight="true" outlineLevel="0" collapsed="false">
      <c r="A36" s="734" t="s">
        <v>725</v>
      </c>
      <c r="B36" s="735"/>
      <c r="C36" s="735"/>
      <c r="D36" s="736" t="n">
        <f aca="false">SUM(D33:D35)</f>
        <v>0.0979</v>
      </c>
      <c r="E36" s="737"/>
      <c r="F36" s="704" t="n">
        <f aca="false">F33+F35</f>
        <v>472.37</v>
      </c>
      <c r="G36" s="704" t="n">
        <f aca="false">G33+G35</f>
        <v>472.37</v>
      </c>
      <c r="H36" s="704" t="n">
        <f aca="false">H33+H35</f>
        <v>45.73</v>
      </c>
      <c r="I36" s="704" t="n">
        <f aca="false">I33+I35</f>
        <v>2.63</v>
      </c>
      <c r="J36" s="705" t="n">
        <f aca="false">J33+J35</f>
        <v>0</v>
      </c>
    </row>
    <row r="37" customFormat="false" ht="19.5" hidden="false" customHeight="true" outlineLevel="0" collapsed="false">
      <c r="A37" s="738" t="s">
        <v>726</v>
      </c>
      <c r="B37" s="738"/>
      <c r="C37" s="738"/>
      <c r="D37" s="738"/>
      <c r="E37" s="738"/>
      <c r="F37" s="739" t="n">
        <f aca="false">F30+F36</f>
        <v>5199.03</v>
      </c>
      <c r="G37" s="739" t="n">
        <f aca="false">G30+G36</f>
        <v>5199.03</v>
      </c>
      <c r="H37" s="739" t="n">
        <f aca="false">H30+H36</f>
        <v>503.33</v>
      </c>
      <c r="I37" s="739" t="n">
        <f aca="false">I30+I36</f>
        <v>28.87</v>
      </c>
      <c r="J37" s="740" t="n">
        <f aca="false">J30+J36</f>
        <v>0</v>
      </c>
    </row>
    <row r="38" customFormat="false" ht="19.5" hidden="false" customHeight="true" outlineLevel="0" collapsed="false">
      <c r="A38" s="741" t="s">
        <v>727</v>
      </c>
      <c r="B38" s="741"/>
      <c r="C38" s="741"/>
      <c r="D38" s="741"/>
      <c r="E38" s="741"/>
      <c r="F38" s="741"/>
      <c r="G38" s="741"/>
      <c r="H38" s="741"/>
      <c r="I38" s="741"/>
      <c r="J38" s="741"/>
    </row>
    <row r="39" customFormat="false" ht="19.5" hidden="false" customHeight="true" outlineLevel="0" collapsed="false">
      <c r="A39" s="710" t="s">
        <v>379</v>
      </c>
      <c r="B39" s="710"/>
      <c r="C39" s="710"/>
      <c r="D39" s="727" t="n">
        <f aca="false">Dados!G59</f>
        <v>0.076</v>
      </c>
      <c r="E39" s="742"/>
      <c r="F39" s="690" t="n">
        <f aca="false">ROUND(($F$45*D39),2)</f>
        <v>450.29</v>
      </c>
      <c r="G39" s="690" t="n">
        <f aca="false">ROUND((G45*$D$39),2)</f>
        <v>450.29</v>
      </c>
      <c r="H39" s="690" t="n">
        <f aca="false">ROUND((H45*$D$39),2)</f>
        <v>38.25</v>
      </c>
      <c r="I39" s="690" t="n">
        <f aca="false">ROUND((I45*$D$39),2)</f>
        <v>2.5</v>
      </c>
      <c r="J39" s="691" t="n">
        <f aca="false">ROUND((J45*$D$39),2)</f>
        <v>0</v>
      </c>
    </row>
    <row r="40" customFormat="false" ht="19.5" hidden="false" customHeight="true" outlineLevel="0" collapsed="false">
      <c r="A40" s="710" t="s">
        <v>381</v>
      </c>
      <c r="B40" s="710"/>
      <c r="C40" s="710"/>
      <c r="D40" s="727" t="n">
        <f aca="false">Dados!G60</f>
        <v>0.0165</v>
      </c>
      <c r="E40" s="742"/>
      <c r="F40" s="690" t="n">
        <f aca="false">ROUND((F45*$D$40),2)</f>
        <v>97.76</v>
      </c>
      <c r="G40" s="690" t="n">
        <f aca="false">ROUND((G45*$D$40),2)</f>
        <v>97.76</v>
      </c>
      <c r="H40" s="690" t="n">
        <f aca="false">ROUND((H45*$D$40),2)</f>
        <v>8.3</v>
      </c>
      <c r="I40" s="690" t="n">
        <f aca="false">ROUND((I45*$D$40),2)</f>
        <v>0.54</v>
      </c>
      <c r="J40" s="691" t="n">
        <f aca="false">ROUND((J45*$D$40),2)</f>
        <v>0</v>
      </c>
    </row>
    <row r="41" customFormat="false" ht="19.5" hidden="false" customHeight="true" outlineLevel="0" collapsed="false">
      <c r="A41" s="710" t="str">
        <f aca="false">Dados!B61</f>
        <v>ISSQN - Limpeza e Manutenção</v>
      </c>
      <c r="B41" s="710"/>
      <c r="C41" s="710"/>
      <c r="D41" s="727" t="n">
        <f aca="false">Dados!G61</f>
        <v>0.03</v>
      </c>
      <c r="E41" s="742"/>
      <c r="F41" s="690" t="n">
        <f aca="false">ROUND((F45*$D$41),2)</f>
        <v>177.74</v>
      </c>
      <c r="G41" s="690" t="n">
        <f aca="false">ROUND((G45*$D$41),2)</f>
        <v>177.74</v>
      </c>
      <c r="H41" s="690" t="n">
        <f aca="false">ROUND((H45*$D$41),2)</f>
        <v>15.1</v>
      </c>
      <c r="I41" s="690" t="n">
        <f aca="false">ROUND((I45*$D$41),2)</f>
        <v>0.99</v>
      </c>
      <c r="J41" s="691" t="n">
        <f aca="false">ROUND((J45*$D$41),2)</f>
        <v>0</v>
      </c>
    </row>
    <row r="42" customFormat="false" ht="19.5" hidden="false" customHeight="true" outlineLevel="0" collapsed="false">
      <c r="A42" s="710" t="s">
        <v>368</v>
      </c>
      <c r="B42" s="710"/>
      <c r="C42" s="710"/>
      <c r="D42" s="727" t="n">
        <f aca="false">Dados!G63</f>
        <v>0</v>
      </c>
      <c r="E42" s="742"/>
      <c r="F42" s="690" t="n">
        <f aca="false">ROUND((F45*$D$42),2)</f>
        <v>0</v>
      </c>
      <c r="G42" s="690" t="n">
        <f aca="false">ROUND((G45*$D$42),2)</f>
        <v>0</v>
      </c>
      <c r="H42" s="690" t="n">
        <f aca="false">ROUND((H45*$D$42),2)</f>
        <v>0</v>
      </c>
      <c r="I42" s="690" t="n">
        <f aca="false">ROUND((I45*$D$42),2)</f>
        <v>0</v>
      </c>
      <c r="J42" s="691" t="n">
        <f aca="false">ROUND((J45*$D$42),2)</f>
        <v>0</v>
      </c>
    </row>
    <row r="43" customFormat="false" ht="19.5" hidden="false" customHeight="true" outlineLevel="0" collapsed="false">
      <c r="A43" s="743" t="s">
        <v>728</v>
      </c>
      <c r="B43" s="743"/>
      <c r="C43" s="743"/>
      <c r="D43" s="744" t="n">
        <f aca="false">SUM(D39:D42)</f>
        <v>0.1225</v>
      </c>
      <c r="E43" s="745"/>
      <c r="F43" s="746" t="n">
        <f aca="false">SUM(F39:F42)</f>
        <v>725.79</v>
      </c>
      <c r="G43" s="746" t="n">
        <f aca="false">SUM(G39:G42)</f>
        <v>725.79</v>
      </c>
      <c r="H43" s="746" t="n">
        <f aca="false">SUM(H39:H42)</f>
        <v>61.65</v>
      </c>
      <c r="I43" s="746" t="n">
        <f aca="false">SUM(I39:I42)</f>
        <v>4.03</v>
      </c>
      <c r="J43" s="747" t="n">
        <f aca="false">SUM(J39:J41)</f>
        <v>0</v>
      </c>
    </row>
    <row r="44" customFormat="false" ht="19.5" hidden="false" customHeight="true" outlineLevel="0" collapsed="false">
      <c r="A44" s="748" t="str">
        <f aca="false">CONCATENATE("Custo Mensal - ",A7)</f>
        <v>Custo Mensal - Encarregado Geral</v>
      </c>
      <c r="B44" s="748"/>
      <c r="C44" s="748"/>
      <c r="D44" s="748"/>
      <c r="E44" s="748"/>
      <c r="F44" s="749" t="n">
        <f aca="false">ROUND(F37/(1-D43),2)</f>
        <v>5924.82</v>
      </c>
      <c r="G44" s="749" t="n">
        <f aca="false">ROUND(G37/(1-D43),2)</f>
        <v>5924.82</v>
      </c>
      <c r="H44" s="749" t="n">
        <f aca="false">ROUND(H37/(1-C43),2)</f>
        <v>503.33</v>
      </c>
      <c r="I44" s="749" t="n">
        <f aca="false">ROUND(I37/(1-D43),2)</f>
        <v>32.9</v>
      </c>
      <c r="J44" s="750" t="n">
        <f aca="false">ROUND(J37/(1-D43),2)</f>
        <v>0</v>
      </c>
    </row>
    <row r="45" customFormat="false" ht="19.5" hidden="false" customHeight="true" outlineLevel="0" collapsed="false">
      <c r="A45" s="751" t="str">
        <f aca="false">CONCATENATE("Valor do Custo Mensal - ",A7)</f>
        <v>Valor do Custo Mensal - Encarregado Geral</v>
      </c>
      <c r="B45" s="751"/>
      <c r="C45" s="751"/>
      <c r="D45" s="751"/>
      <c r="E45" s="751"/>
      <c r="F45" s="749" t="n">
        <f aca="false">F44</f>
        <v>5924.82</v>
      </c>
      <c r="G45" s="749" t="n">
        <f aca="false">G44</f>
        <v>5924.82</v>
      </c>
      <c r="H45" s="749" t="n">
        <f aca="false">H44</f>
        <v>503.33</v>
      </c>
      <c r="I45" s="749" t="n">
        <f aca="false">I44</f>
        <v>32.9</v>
      </c>
      <c r="J45" s="750" t="n">
        <f aca="false">J44</f>
        <v>0</v>
      </c>
      <c r="K45" s="752"/>
      <c r="L45" s="752"/>
    </row>
    <row r="46" customFormat="false" ht="27.75" hidden="false" customHeight="true" outlineLevel="0" collapsed="false">
      <c r="A46" s="753" t="s">
        <v>729</v>
      </c>
      <c r="B46" s="753"/>
      <c r="C46" s="753"/>
      <c r="D46" s="753"/>
      <c r="E46" s="753"/>
      <c r="F46" s="754" t="n">
        <f aca="false">(F45/F14)</f>
        <v>2.56182952614443</v>
      </c>
      <c r="G46" s="754" t="n">
        <f aca="false">(G45/G14)</f>
        <v>2.56182952614443</v>
      </c>
      <c r="H46" s="755" t="s">
        <v>730</v>
      </c>
      <c r="I46" s="755"/>
      <c r="J46" s="756" t="n">
        <v>0</v>
      </c>
    </row>
    <row r="47" customFormat="false" ht="19.5" hidden="false" customHeight="true" outlineLevel="0" collapsed="false"/>
  </sheetData>
  <sheetProtection sheet="true" password="c494" objects="true" scenarios="true"/>
  <mergeCells count="49">
    <mergeCell ref="A4:J4"/>
    <mergeCell ref="A5:J5"/>
    <mergeCell ref="A6:J6"/>
    <mergeCell ref="A7:E7"/>
    <mergeCell ref="F7:F8"/>
    <mergeCell ref="G7:G8"/>
    <mergeCell ref="H7:H8"/>
    <mergeCell ref="I7:I8"/>
    <mergeCell ref="J7:J8"/>
    <mergeCell ref="A8:D8"/>
    <mergeCell ref="A9:J9"/>
    <mergeCell ref="B10:C10"/>
    <mergeCell ref="F10:J10"/>
    <mergeCell ref="A11:A15"/>
    <mergeCell ref="B11:C11"/>
    <mergeCell ref="B12:C12"/>
    <mergeCell ref="B14:E14"/>
    <mergeCell ref="B15:D15"/>
    <mergeCell ref="A16:E16"/>
    <mergeCell ref="A17:J17"/>
    <mergeCell ref="A18:B18"/>
    <mergeCell ref="D18:E18"/>
    <mergeCell ref="F18:J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E29"/>
    <mergeCell ref="A30:E30"/>
    <mergeCell ref="A31:J31"/>
    <mergeCell ref="A32:C32"/>
    <mergeCell ref="E32:J32"/>
    <mergeCell ref="A34:C34"/>
    <mergeCell ref="A37:E37"/>
    <mergeCell ref="A38:J38"/>
    <mergeCell ref="A39:C39"/>
    <mergeCell ref="A40:C40"/>
    <mergeCell ref="A41:C41"/>
    <mergeCell ref="A42:C42"/>
    <mergeCell ref="A43:C43"/>
    <mergeCell ref="A44:E44"/>
    <mergeCell ref="A45:E45"/>
    <mergeCell ref="A46:E46"/>
    <mergeCell ref="H46:I4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6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2" activeCellId="0" sqref="A42"/>
    </sheetView>
  </sheetViews>
  <sheetFormatPr defaultColWidth="9.1484375" defaultRowHeight="15" zeroHeight="false" outlineLevelRow="0" outlineLevelCol="0"/>
  <cols>
    <col collapsed="false" customWidth="true" hidden="false" outlineLevel="0" max="1" min="1" style="148" width="10.57"/>
    <col collapsed="false" customWidth="true" hidden="false" outlineLevel="0" max="2" min="2" style="148" width="27.71"/>
    <col collapsed="false" customWidth="true" hidden="false" outlineLevel="0" max="3" min="3" style="148" width="14.42"/>
    <col collapsed="false" customWidth="true" hidden="false" outlineLevel="0" max="5" min="4" style="148" width="15"/>
    <col collapsed="false" customWidth="true" hidden="false" outlineLevel="0" max="6" min="6" style="662" width="16.71"/>
    <col collapsed="false" customWidth="true" hidden="false" outlineLevel="0" max="8" min="7" style="662" width="13.15"/>
    <col collapsed="false" customWidth="true" hidden="false" outlineLevel="0" max="10" min="9" style="662" width="12.57"/>
    <col collapsed="false" customWidth="false" hidden="false" outlineLevel="0" max="257" min="11" style="148" width="9.14"/>
    <col collapsed="false" customWidth="true" hidden="false" outlineLevel="0" max="258" min="258" style="148" width="10.57"/>
    <col collapsed="false" customWidth="true" hidden="false" outlineLevel="0" max="259" min="259" style="148" width="27.71"/>
    <col collapsed="false" customWidth="true" hidden="false" outlineLevel="0" max="260" min="260" style="148" width="14.42"/>
    <col collapsed="false" customWidth="true" hidden="false" outlineLevel="0" max="262" min="261" style="148" width="15"/>
    <col collapsed="false" customWidth="true" hidden="false" outlineLevel="0" max="263" min="263" style="148" width="16.71"/>
    <col collapsed="false" customWidth="true" hidden="false" outlineLevel="0" max="264" min="264" style="148" width="13.15"/>
    <col collapsed="false" customWidth="true" hidden="false" outlineLevel="0" max="266" min="265" style="148" width="12.57"/>
    <col collapsed="false" customWidth="false" hidden="false" outlineLevel="0" max="513" min="267" style="148" width="9.14"/>
    <col collapsed="false" customWidth="true" hidden="false" outlineLevel="0" max="514" min="514" style="148" width="10.57"/>
    <col collapsed="false" customWidth="true" hidden="false" outlineLevel="0" max="515" min="515" style="148" width="27.71"/>
    <col collapsed="false" customWidth="true" hidden="false" outlineLevel="0" max="516" min="516" style="148" width="14.42"/>
    <col collapsed="false" customWidth="true" hidden="false" outlineLevel="0" max="518" min="517" style="148" width="15"/>
    <col collapsed="false" customWidth="true" hidden="false" outlineLevel="0" max="519" min="519" style="148" width="16.71"/>
    <col collapsed="false" customWidth="true" hidden="false" outlineLevel="0" max="520" min="520" style="148" width="13.15"/>
    <col collapsed="false" customWidth="true" hidden="false" outlineLevel="0" max="522" min="521" style="148" width="12.57"/>
    <col collapsed="false" customWidth="false" hidden="false" outlineLevel="0" max="769" min="523" style="148" width="9.14"/>
    <col collapsed="false" customWidth="true" hidden="false" outlineLevel="0" max="770" min="770" style="148" width="10.57"/>
    <col collapsed="false" customWidth="true" hidden="false" outlineLevel="0" max="771" min="771" style="148" width="27.71"/>
    <col collapsed="false" customWidth="true" hidden="false" outlineLevel="0" max="772" min="772" style="148" width="14.42"/>
    <col collapsed="false" customWidth="true" hidden="false" outlineLevel="0" max="774" min="773" style="148" width="15"/>
    <col collapsed="false" customWidth="true" hidden="false" outlineLevel="0" max="775" min="775" style="148" width="16.71"/>
    <col collapsed="false" customWidth="true" hidden="false" outlineLevel="0" max="776" min="776" style="148" width="13.15"/>
    <col collapsed="false" customWidth="true" hidden="false" outlineLevel="0" max="778" min="777" style="148" width="12.57"/>
    <col collapsed="false" customWidth="false" hidden="false" outlineLevel="0" max="1024" min="779" style="148" width="9.14"/>
  </cols>
  <sheetData>
    <row r="1" customFormat="false" ht="15" hidden="false" customHeight="false" outlineLevel="0" collapsed="false">
      <c r="A1" s="663"/>
      <c r="B1" s="145" t="str">
        <f aca="false">INSTRUÇÕES!B1</f>
        <v>Tribunal Regional Federal da 6ª Região</v>
      </c>
      <c r="C1" s="664"/>
      <c r="D1" s="664"/>
      <c r="E1" s="664"/>
      <c r="F1" s="665"/>
      <c r="G1" s="666"/>
      <c r="H1" s="666"/>
      <c r="I1" s="665"/>
      <c r="J1" s="667"/>
    </row>
    <row r="2" customFormat="false" ht="15" hidden="false" customHeight="false" outlineLevel="0" collapsed="false">
      <c r="A2" s="668"/>
      <c r="B2" s="147" t="str">
        <f aca="false">INSTRUÇÕES!B2</f>
        <v>Seção Judiciária de Minas Gerais</v>
      </c>
      <c r="C2" s="669"/>
      <c r="D2" s="669"/>
      <c r="E2" s="669"/>
      <c r="F2" s="670"/>
      <c r="I2" s="670"/>
      <c r="J2" s="671"/>
    </row>
    <row r="3" customFormat="false" ht="15" hidden="false" customHeight="false" outlineLevel="0" collapsed="false">
      <c r="A3" s="672"/>
      <c r="B3" s="491" t="str">
        <f aca="false">INSTRUÇÕES!B3</f>
        <v>Subseção Judiciária de Juiz de Fora</v>
      </c>
      <c r="C3" s="669"/>
      <c r="D3" s="669"/>
      <c r="E3" s="669"/>
      <c r="F3" s="670"/>
      <c r="I3" s="670"/>
      <c r="J3" s="671"/>
    </row>
    <row r="4" customFormat="false" ht="19.5" hidden="false" customHeight="true" outlineLevel="0" collapsed="false">
      <c r="A4" s="673" t="s">
        <v>695</v>
      </c>
      <c r="B4" s="673"/>
      <c r="C4" s="673"/>
      <c r="D4" s="673"/>
      <c r="E4" s="673"/>
      <c r="F4" s="673"/>
      <c r="G4" s="673"/>
      <c r="H4" s="673"/>
      <c r="I4" s="673"/>
      <c r="J4" s="673"/>
    </row>
    <row r="5" customFormat="false" ht="19.5" hidden="false" customHeight="true" outlineLevel="0" collapsed="false">
      <c r="A5" s="674" t="s">
        <v>421</v>
      </c>
      <c r="B5" s="674"/>
      <c r="C5" s="674"/>
      <c r="D5" s="674"/>
      <c r="E5" s="674"/>
      <c r="F5" s="674"/>
      <c r="G5" s="674"/>
      <c r="H5" s="674"/>
      <c r="I5" s="674"/>
      <c r="J5" s="674"/>
    </row>
    <row r="6" customFormat="false" ht="36" hidden="false" customHeight="true" outlineLevel="0" collapsed="false">
      <c r="A6" s="675" t="str">
        <f aca="false">Dados!A4</f>
        <v>Sindicato utilizado - SINTEAC/JF. Vigência: 01/01/2023 à 31/12/2023. Sendo a data base da categoria 01º Janeiro. Com número de registro no MTE MG001725/2023.</v>
      </c>
      <c r="B6" s="675"/>
      <c r="C6" s="675"/>
      <c r="D6" s="675"/>
      <c r="E6" s="675"/>
      <c r="F6" s="675"/>
      <c r="G6" s="675"/>
      <c r="H6" s="675"/>
      <c r="I6" s="675"/>
      <c r="J6" s="675"/>
    </row>
    <row r="7" customFormat="false" ht="19.5" hidden="false" customHeight="true" outlineLevel="0" collapsed="false">
      <c r="A7" s="676" t="str">
        <f aca="false">Dados!C7</f>
        <v>Auxiliar Administrativo</v>
      </c>
      <c r="B7" s="676"/>
      <c r="C7" s="676"/>
      <c r="D7" s="676"/>
      <c r="E7" s="676"/>
      <c r="F7" s="677" t="s">
        <v>696</v>
      </c>
      <c r="G7" s="677" t="s">
        <v>697</v>
      </c>
      <c r="H7" s="677" t="s">
        <v>698</v>
      </c>
      <c r="I7" s="677" t="s">
        <v>699</v>
      </c>
      <c r="J7" s="677" t="s">
        <v>700</v>
      </c>
    </row>
    <row r="8" customFormat="false" ht="19.5" hidden="false" customHeight="true" outlineLevel="0" collapsed="false">
      <c r="A8" s="678" t="s">
        <v>701</v>
      </c>
      <c r="B8" s="678"/>
      <c r="C8" s="678"/>
      <c r="D8" s="678"/>
      <c r="E8" s="679" t="s">
        <v>518</v>
      </c>
      <c r="F8" s="677"/>
      <c r="G8" s="677"/>
      <c r="H8" s="677"/>
      <c r="I8" s="677"/>
      <c r="J8" s="677"/>
    </row>
    <row r="9" customFormat="false" ht="19.5" hidden="false" customHeight="true" outlineLevel="0" collapsed="false">
      <c r="A9" s="680" t="s">
        <v>702</v>
      </c>
      <c r="B9" s="680"/>
      <c r="C9" s="680"/>
      <c r="D9" s="680"/>
      <c r="E9" s="680"/>
      <c r="F9" s="680"/>
      <c r="G9" s="680"/>
      <c r="H9" s="680"/>
      <c r="I9" s="680"/>
      <c r="J9" s="680"/>
    </row>
    <row r="10" customFormat="false" ht="24" hidden="false" customHeight="true" outlineLevel="0" collapsed="false">
      <c r="A10" s="681" t="s">
        <v>519</v>
      </c>
      <c r="B10" s="682" t="s">
        <v>703</v>
      </c>
      <c r="C10" s="682"/>
      <c r="D10" s="683" t="s">
        <v>704</v>
      </c>
      <c r="E10" s="684" t="s">
        <v>705</v>
      </c>
      <c r="F10" s="685" t="s">
        <v>522</v>
      </c>
      <c r="G10" s="685"/>
      <c r="H10" s="685"/>
      <c r="I10" s="685"/>
      <c r="J10" s="685"/>
    </row>
    <row r="11" customFormat="false" ht="19.5" hidden="false" customHeight="true" outlineLevel="0" collapsed="false">
      <c r="A11" s="686" t="n">
        <v>1</v>
      </c>
      <c r="B11" s="687" t="str">
        <f aca="false">A7</f>
        <v>Auxiliar Administrativo</v>
      </c>
      <c r="C11" s="687"/>
      <c r="D11" s="688" t="n">
        <f aca="false">Dados!D7</f>
        <v>150</v>
      </c>
      <c r="E11" s="689" t="n">
        <f aca="false">Dados!$E$7</f>
        <v>1812.51</v>
      </c>
      <c r="F11" s="690" t="n">
        <f aca="false">ROUND(E11/220*D11,2)</f>
        <v>1235.8</v>
      </c>
      <c r="G11" s="690" t="n">
        <f aca="false">F11</f>
        <v>1235.8</v>
      </c>
      <c r="H11" s="690"/>
      <c r="I11" s="690"/>
      <c r="J11" s="691"/>
    </row>
    <row r="12" customFormat="false" ht="19.5" hidden="false" customHeight="true" outlineLevel="0" collapsed="false">
      <c r="A12" s="686"/>
      <c r="B12" s="687" t="s">
        <v>706</v>
      </c>
      <c r="C12" s="687"/>
      <c r="D12" s="692" t="n">
        <f aca="false">Dados!G7</f>
        <v>0</v>
      </c>
      <c r="E12" s="689" t="n">
        <f aca="false">Dados!$G$34</f>
        <v>1320</v>
      </c>
      <c r="F12" s="690" t="n">
        <f aca="false">D12*E12</f>
        <v>0</v>
      </c>
      <c r="G12" s="690" t="n">
        <f aca="false">F12</f>
        <v>0</v>
      </c>
      <c r="H12" s="690"/>
      <c r="I12" s="690"/>
      <c r="J12" s="691" t="n">
        <f aca="false">F12</f>
        <v>0</v>
      </c>
    </row>
    <row r="13" customFormat="false" ht="22.5" hidden="false" customHeight="true" outlineLevel="0" collapsed="false">
      <c r="A13" s="686"/>
      <c r="B13" s="693" t="s">
        <v>707</v>
      </c>
      <c r="C13" s="694" t="n">
        <f aca="false">Dados!$I$7</f>
        <v>0</v>
      </c>
      <c r="D13" s="694" t="n">
        <f aca="false">Dados!$J$7</f>
        <v>0</v>
      </c>
      <c r="E13" s="695" t="n">
        <f aca="false">Dados!$K$7</f>
        <v>0</v>
      </c>
      <c r="F13" s="696" t="n">
        <f aca="false">ROUND((E13*D13*C13),2)</f>
        <v>0</v>
      </c>
      <c r="G13" s="696" t="n">
        <f aca="false">F13</f>
        <v>0</v>
      </c>
      <c r="H13" s="696"/>
      <c r="I13" s="696"/>
      <c r="J13" s="697"/>
    </row>
    <row r="14" customFormat="false" ht="19.5" hidden="false" customHeight="true" outlineLevel="0" collapsed="false">
      <c r="A14" s="686"/>
      <c r="B14" s="698" t="s">
        <v>708</v>
      </c>
      <c r="C14" s="698"/>
      <c r="D14" s="698"/>
      <c r="E14" s="698"/>
      <c r="F14" s="699" t="n">
        <f aca="false">SUM(F11:F13)</f>
        <v>1235.8</v>
      </c>
      <c r="G14" s="699" t="n">
        <f aca="false">SUM(G11:G13)</f>
        <v>1235.8</v>
      </c>
      <c r="H14" s="699" t="n">
        <f aca="false">SUM(H11:H13)</f>
        <v>0</v>
      </c>
      <c r="I14" s="699" t="n">
        <f aca="false">SUM(I11:I13)</f>
        <v>0</v>
      </c>
      <c r="J14" s="700" t="n">
        <f aca="false">SUM(J11:J13)</f>
        <v>0</v>
      </c>
    </row>
    <row r="15" customFormat="false" ht="19.5" hidden="false" customHeight="true" outlineLevel="0" collapsed="false">
      <c r="A15" s="686"/>
      <c r="B15" s="701" t="s">
        <v>709</v>
      </c>
      <c r="C15" s="701"/>
      <c r="D15" s="701"/>
      <c r="E15" s="702" t="n">
        <f aca="false">Encargos!$C$57</f>
        <v>0.7905</v>
      </c>
      <c r="F15" s="690" t="n">
        <f aca="false">ROUND((E15*F14),2)</f>
        <v>976.9</v>
      </c>
      <c r="G15" s="690" t="n">
        <f aca="false">F15</f>
        <v>976.9</v>
      </c>
      <c r="H15" s="690"/>
      <c r="I15" s="690"/>
      <c r="J15" s="691" t="n">
        <f aca="false">ROUND((E15*J14),2)</f>
        <v>0</v>
      </c>
    </row>
    <row r="16" customFormat="false" ht="19.5" hidden="false" customHeight="true" outlineLevel="0" collapsed="false">
      <c r="A16" s="703" t="s">
        <v>710</v>
      </c>
      <c r="B16" s="703"/>
      <c r="C16" s="703"/>
      <c r="D16" s="703"/>
      <c r="E16" s="703"/>
      <c r="F16" s="704" t="n">
        <f aca="false">SUM(F14:F15)</f>
        <v>2212.7</v>
      </c>
      <c r="G16" s="704" t="n">
        <f aca="false">SUM(G14:G15)</f>
        <v>2212.7</v>
      </c>
      <c r="H16" s="704" t="n">
        <f aca="false">SUM(H14:H15)</f>
        <v>0</v>
      </c>
      <c r="I16" s="704" t="n">
        <f aca="false">SUM(I14:I15)</f>
        <v>0</v>
      </c>
      <c r="J16" s="705" t="n">
        <f aca="false">SUM(J14:J15)</f>
        <v>0</v>
      </c>
    </row>
    <row r="17" customFormat="false" ht="19.5" hidden="false" customHeight="true" outlineLevel="0" collapsed="false">
      <c r="A17" s="706" t="s">
        <v>711</v>
      </c>
      <c r="B17" s="706"/>
      <c r="C17" s="706"/>
      <c r="D17" s="706"/>
      <c r="E17" s="706"/>
      <c r="F17" s="706"/>
      <c r="G17" s="706"/>
      <c r="H17" s="706"/>
      <c r="I17" s="706"/>
      <c r="J17" s="706"/>
    </row>
    <row r="18" customFormat="false" ht="19.5" hidden="false" customHeight="true" outlineLevel="0" collapsed="false">
      <c r="A18" s="707" t="s">
        <v>712</v>
      </c>
      <c r="B18" s="707"/>
      <c r="C18" s="708" t="s">
        <v>521</v>
      </c>
      <c r="D18" s="708" t="s">
        <v>713</v>
      </c>
      <c r="E18" s="708"/>
      <c r="F18" s="709" t="s">
        <v>522</v>
      </c>
      <c r="G18" s="709"/>
      <c r="H18" s="709"/>
      <c r="I18" s="709"/>
      <c r="J18" s="709"/>
    </row>
    <row r="19" customFormat="false" ht="19.5" hidden="false" customHeight="true" outlineLevel="0" collapsed="false">
      <c r="A19" s="710" t="s">
        <v>714</v>
      </c>
      <c r="B19" s="710"/>
      <c r="C19" s="711"/>
      <c r="D19" s="711"/>
      <c r="E19" s="711"/>
      <c r="F19" s="690" t="n">
        <f aca="false">Dados!N7</f>
        <v>42.5</v>
      </c>
      <c r="G19" s="690" t="n">
        <f aca="false">F19</f>
        <v>42.5</v>
      </c>
      <c r="H19" s="690"/>
      <c r="I19" s="690"/>
      <c r="J19" s="691"/>
    </row>
    <row r="20" customFormat="false" ht="19.5" hidden="false" customHeight="true" outlineLevel="0" collapsed="false">
      <c r="A20" s="710" t="s">
        <v>715</v>
      </c>
      <c r="B20" s="710"/>
      <c r="C20" s="711"/>
      <c r="D20" s="711"/>
      <c r="E20" s="711"/>
      <c r="F20" s="690" t="n">
        <f aca="false">Dados!G37</f>
        <v>1.55</v>
      </c>
      <c r="G20" s="690" t="n">
        <f aca="false">F20</f>
        <v>1.55</v>
      </c>
      <c r="H20" s="690"/>
      <c r="I20" s="690"/>
      <c r="J20" s="691"/>
    </row>
    <row r="21" customFormat="false" ht="23.25" hidden="false" customHeight="true" outlineLevel="0" collapsed="false">
      <c r="A21" s="712" t="s">
        <v>354</v>
      </c>
      <c r="B21" s="712"/>
      <c r="C21" s="711"/>
      <c r="D21" s="711"/>
      <c r="E21" s="711"/>
      <c r="F21" s="690" t="n">
        <f aca="false">Dados!G38</f>
        <v>50.36</v>
      </c>
      <c r="G21" s="690" t="n">
        <f aca="false">F21</f>
        <v>50.36</v>
      </c>
      <c r="H21" s="690"/>
      <c r="I21" s="690"/>
      <c r="J21" s="691"/>
    </row>
    <row r="22" customFormat="false" ht="19.5" hidden="false" customHeight="true" outlineLevel="0" collapsed="false">
      <c r="A22" s="710" t="s">
        <v>355</v>
      </c>
      <c r="B22" s="710"/>
      <c r="C22" s="713" t="n">
        <f aca="false">Dados!$G$41</f>
        <v>22</v>
      </c>
      <c r="D22" s="713" t="n">
        <f aca="false">Dados!$G$40</f>
        <v>2</v>
      </c>
      <c r="E22" s="714" t="n">
        <f aca="false">Dados!$G$39</f>
        <v>3.75</v>
      </c>
      <c r="F22" s="690" t="n">
        <f aca="false">IF(ROUND((E22*D22*C22)-(F11*Dados!G42),2)&lt;0,0,ROUND((E22*D22*C22)-(F11*Dados!G42),2))</f>
        <v>90.85</v>
      </c>
      <c r="G22" s="690" t="n">
        <f aca="false">F22</f>
        <v>90.85</v>
      </c>
      <c r="H22" s="690"/>
      <c r="I22" s="690" t="n">
        <f aca="false">F22</f>
        <v>90.85</v>
      </c>
      <c r="J22" s="691"/>
    </row>
    <row r="23" customFormat="false" ht="19.5" hidden="false" customHeight="true" outlineLevel="0" collapsed="false">
      <c r="A23" s="710" t="s">
        <v>364</v>
      </c>
      <c r="B23" s="710"/>
      <c r="C23" s="713" t="n">
        <f aca="false">Dados!G45</f>
        <v>22</v>
      </c>
      <c r="D23" s="715" t="n">
        <f aca="false">Dados!G46</f>
        <v>0.2</v>
      </c>
      <c r="E23" s="714" t="n">
        <f aca="false">Dados!G44</f>
        <v>15.6</v>
      </c>
      <c r="F23" s="716" t="n">
        <f aca="false">ROUND((IF(D11&lt;200,((C23*E23)-(C23*(D23*E23))),0)),2)</f>
        <v>274.56</v>
      </c>
      <c r="G23" s="690" t="n">
        <f aca="false">F23</f>
        <v>274.56</v>
      </c>
      <c r="H23" s="690" t="n">
        <f aca="false">$F$23</f>
        <v>274.56</v>
      </c>
      <c r="I23" s="716"/>
      <c r="J23" s="691"/>
    </row>
    <row r="24" customFormat="false" ht="19.5" hidden="false" customHeight="true" outlineLevel="0" collapsed="false">
      <c r="A24" s="710" t="s">
        <v>368</v>
      </c>
      <c r="B24" s="710"/>
      <c r="C24" s="713"/>
      <c r="D24" s="713"/>
      <c r="E24" s="714"/>
      <c r="F24" s="716" t="n">
        <f aca="false">Dados!G47</f>
        <v>0</v>
      </c>
      <c r="G24" s="690"/>
      <c r="H24" s="690"/>
      <c r="I24" s="716"/>
      <c r="J24" s="691"/>
    </row>
    <row r="25" customFormat="false" ht="19.5" hidden="false" customHeight="true" outlineLevel="0" collapsed="false">
      <c r="A25" s="710" t="s">
        <v>368</v>
      </c>
      <c r="B25" s="710"/>
      <c r="C25" s="713"/>
      <c r="D25" s="713"/>
      <c r="E25" s="714"/>
      <c r="F25" s="716" t="n">
        <f aca="false">Dados!G48</f>
        <v>0</v>
      </c>
      <c r="G25" s="690"/>
      <c r="H25" s="690"/>
      <c r="I25" s="716"/>
      <c r="J25" s="691"/>
    </row>
    <row r="26" customFormat="false" ht="19.5" hidden="false" customHeight="true" outlineLevel="0" collapsed="false">
      <c r="A26" s="710" t="s">
        <v>716</v>
      </c>
      <c r="B26" s="710"/>
      <c r="C26" s="713"/>
      <c r="D26" s="714"/>
      <c r="E26" s="714"/>
      <c r="F26" s="690"/>
      <c r="G26" s="690"/>
      <c r="H26" s="690"/>
      <c r="I26" s="690"/>
      <c r="J26" s="691"/>
      <c r="L26" s="717"/>
    </row>
    <row r="27" customFormat="false" ht="19.5" hidden="false" customHeight="true" outlineLevel="0" collapsed="false">
      <c r="A27" s="710" t="s">
        <v>717</v>
      </c>
      <c r="B27" s="718"/>
      <c r="C27" s="713"/>
      <c r="D27" s="714"/>
      <c r="E27" s="714"/>
      <c r="F27" s="690" t="n">
        <f aca="false">Dados!R7</f>
        <v>0</v>
      </c>
      <c r="G27" s="690"/>
      <c r="H27" s="690"/>
      <c r="I27" s="690"/>
      <c r="J27" s="691"/>
    </row>
    <row r="28" customFormat="false" ht="19.5" hidden="false" customHeight="true" outlineLevel="0" collapsed="false">
      <c r="A28" s="719" t="s">
        <v>718</v>
      </c>
      <c r="B28" s="719"/>
      <c r="C28" s="720"/>
      <c r="D28" s="721"/>
      <c r="E28" s="721"/>
      <c r="F28" s="696" t="n">
        <f aca="false">Dados!T7</f>
        <v>0</v>
      </c>
      <c r="G28" s="696" t="n">
        <f aca="false">F28</f>
        <v>0</v>
      </c>
      <c r="H28" s="696"/>
      <c r="I28" s="696"/>
      <c r="J28" s="697"/>
    </row>
    <row r="29" customFormat="false" ht="19.5" hidden="false" customHeight="true" outlineLevel="0" collapsed="false">
      <c r="A29" s="722" t="s">
        <v>719</v>
      </c>
      <c r="B29" s="722"/>
      <c r="C29" s="722"/>
      <c r="D29" s="722"/>
      <c r="E29" s="722"/>
      <c r="F29" s="704" t="n">
        <f aca="false">SUM(F19:F28)</f>
        <v>459.82</v>
      </c>
      <c r="G29" s="704" t="n">
        <f aca="false">SUM(G19:G28)</f>
        <v>459.82</v>
      </c>
      <c r="H29" s="704" t="n">
        <f aca="false">SUM(H19:H28)</f>
        <v>274.56</v>
      </c>
      <c r="I29" s="704" t="n">
        <f aca="false">SUM(I19:I28)</f>
        <v>90.85</v>
      </c>
      <c r="J29" s="705" t="n">
        <f aca="false">SUM(J19:J28)</f>
        <v>0</v>
      </c>
    </row>
    <row r="30" customFormat="false" ht="19.5" hidden="false" customHeight="true" outlineLevel="0" collapsed="false">
      <c r="A30" s="722" t="s">
        <v>720</v>
      </c>
      <c r="B30" s="722"/>
      <c r="C30" s="722"/>
      <c r="D30" s="722"/>
      <c r="E30" s="722"/>
      <c r="F30" s="704" t="n">
        <f aca="false">F16+F29</f>
        <v>2672.52</v>
      </c>
      <c r="G30" s="704" t="n">
        <f aca="false">G16+G29</f>
        <v>2672.52</v>
      </c>
      <c r="H30" s="704" t="n">
        <f aca="false">H16+H29</f>
        <v>274.56</v>
      </c>
      <c r="I30" s="704" t="n">
        <f aca="false">I16+I29</f>
        <v>90.85</v>
      </c>
      <c r="J30" s="705" t="n">
        <f aca="false">J16+J29</f>
        <v>0</v>
      </c>
    </row>
    <row r="31" customFormat="false" ht="19.5" hidden="false" customHeight="true" outlineLevel="0" collapsed="false">
      <c r="A31" s="680" t="s">
        <v>721</v>
      </c>
      <c r="B31" s="680"/>
      <c r="C31" s="680"/>
      <c r="D31" s="680"/>
      <c r="E31" s="680"/>
      <c r="F31" s="680"/>
      <c r="G31" s="680"/>
      <c r="H31" s="680"/>
      <c r="I31" s="680"/>
      <c r="J31" s="680"/>
    </row>
    <row r="32" customFormat="false" ht="19.5" hidden="false" customHeight="true" outlineLevel="0" collapsed="false">
      <c r="A32" s="707" t="s">
        <v>722</v>
      </c>
      <c r="B32" s="707"/>
      <c r="C32" s="707"/>
      <c r="D32" s="723" t="s">
        <v>622</v>
      </c>
      <c r="E32" s="724" t="s">
        <v>522</v>
      </c>
      <c r="F32" s="724"/>
      <c r="G32" s="724"/>
      <c r="H32" s="724"/>
      <c r="I32" s="724"/>
      <c r="J32" s="724"/>
    </row>
    <row r="33" customFormat="false" ht="19.5" hidden="false" customHeight="true" outlineLevel="0" collapsed="false">
      <c r="A33" s="725" t="s">
        <v>723</v>
      </c>
      <c r="B33" s="726"/>
      <c r="C33" s="726"/>
      <c r="D33" s="727" t="n">
        <f aca="false">Dados!$G$51</f>
        <v>0.03</v>
      </c>
      <c r="E33" s="728"/>
      <c r="F33" s="690" t="n">
        <f aca="false">ROUND((F30*$D$33),2)</f>
        <v>80.18</v>
      </c>
      <c r="G33" s="690" t="n">
        <f aca="false">ROUND((G30*$D$33),2)</f>
        <v>80.18</v>
      </c>
      <c r="H33" s="690" t="n">
        <f aca="false">ROUND((H30*$D$33),2)</f>
        <v>8.24</v>
      </c>
      <c r="I33" s="690" t="n">
        <f aca="false">ROUND((I30*$D$33),2)</f>
        <v>2.73</v>
      </c>
      <c r="J33" s="691" t="n">
        <f aca="false">ROUND((J30*$D$33),2)</f>
        <v>0</v>
      </c>
    </row>
    <row r="34" customFormat="false" ht="19.5" hidden="false" customHeight="true" outlineLevel="0" collapsed="false">
      <c r="A34" s="729" t="s">
        <v>724</v>
      </c>
      <c r="B34" s="729"/>
      <c r="C34" s="729"/>
      <c r="D34" s="727"/>
      <c r="E34" s="728"/>
      <c r="F34" s="690" t="n">
        <f aca="false">F30+F33</f>
        <v>2752.7</v>
      </c>
      <c r="G34" s="690" t="n">
        <f aca="false">G30+G33</f>
        <v>2752.7</v>
      </c>
      <c r="H34" s="690" t="n">
        <f aca="false">H30+H33</f>
        <v>282.8</v>
      </c>
      <c r="I34" s="690" t="n">
        <f aca="false">I30+I33</f>
        <v>93.58</v>
      </c>
      <c r="J34" s="691" t="n">
        <f aca="false">J30+J33</f>
        <v>0</v>
      </c>
    </row>
    <row r="35" customFormat="false" ht="19.5" hidden="false" customHeight="true" outlineLevel="0" collapsed="false">
      <c r="A35" s="730" t="s">
        <v>373</v>
      </c>
      <c r="B35" s="731"/>
      <c r="C35" s="731"/>
      <c r="D35" s="732" t="n">
        <f aca="false">Dados!$G$52</f>
        <v>0.0679</v>
      </c>
      <c r="E35" s="733"/>
      <c r="F35" s="696" t="n">
        <f aca="false">ROUND((F34*$D$35),2)</f>
        <v>186.91</v>
      </c>
      <c r="G35" s="696" t="n">
        <f aca="false">ROUND((G34*$D$35),2)</f>
        <v>186.91</v>
      </c>
      <c r="H35" s="696" t="n">
        <f aca="false">ROUND((H34*$D$35),2)</f>
        <v>19.2</v>
      </c>
      <c r="I35" s="696" t="n">
        <f aca="false">ROUND((I34*$D$35),2)</f>
        <v>6.35</v>
      </c>
      <c r="J35" s="697" t="n">
        <f aca="false">ROUND((J34*$D$35),2)</f>
        <v>0</v>
      </c>
    </row>
    <row r="36" customFormat="false" ht="19.5" hidden="false" customHeight="true" outlineLevel="0" collapsed="false">
      <c r="A36" s="734" t="s">
        <v>725</v>
      </c>
      <c r="B36" s="735"/>
      <c r="C36" s="735"/>
      <c r="D36" s="736" t="n">
        <f aca="false">SUM(D33:D35)</f>
        <v>0.0979</v>
      </c>
      <c r="E36" s="737"/>
      <c r="F36" s="704" t="n">
        <f aca="false">F33+F35</f>
        <v>267.09</v>
      </c>
      <c r="G36" s="704" t="n">
        <f aca="false">G33+G35</f>
        <v>267.09</v>
      </c>
      <c r="H36" s="704" t="n">
        <f aca="false">H33+H35</f>
        <v>27.44</v>
      </c>
      <c r="I36" s="704" t="n">
        <f aca="false">I33+I35</f>
        <v>9.08</v>
      </c>
      <c r="J36" s="705" t="n">
        <f aca="false">J33+J35</f>
        <v>0</v>
      </c>
    </row>
    <row r="37" customFormat="false" ht="19.5" hidden="false" customHeight="true" outlineLevel="0" collapsed="false">
      <c r="A37" s="738" t="s">
        <v>726</v>
      </c>
      <c r="B37" s="738"/>
      <c r="C37" s="738"/>
      <c r="D37" s="738"/>
      <c r="E37" s="738"/>
      <c r="F37" s="739" t="n">
        <f aca="false">F30+F36</f>
        <v>2939.61</v>
      </c>
      <c r="G37" s="739" t="n">
        <f aca="false">G30+G36</f>
        <v>2939.61</v>
      </c>
      <c r="H37" s="739" t="n">
        <f aca="false">H30+H36</f>
        <v>302</v>
      </c>
      <c r="I37" s="739" t="n">
        <f aca="false">I30+I36</f>
        <v>99.93</v>
      </c>
      <c r="J37" s="740" t="n">
        <f aca="false">J30+J36</f>
        <v>0</v>
      </c>
    </row>
    <row r="38" customFormat="false" ht="19.5" hidden="false" customHeight="true" outlineLevel="0" collapsed="false">
      <c r="A38" s="741" t="s">
        <v>727</v>
      </c>
      <c r="B38" s="741"/>
      <c r="C38" s="741"/>
      <c r="D38" s="741"/>
      <c r="E38" s="741"/>
      <c r="F38" s="741"/>
      <c r="G38" s="741"/>
      <c r="H38" s="741"/>
      <c r="I38" s="741"/>
      <c r="J38" s="741"/>
    </row>
    <row r="39" customFormat="false" ht="19.5" hidden="false" customHeight="true" outlineLevel="0" collapsed="false">
      <c r="A39" s="710" t="s">
        <v>379</v>
      </c>
      <c r="B39" s="710"/>
      <c r="C39" s="710"/>
      <c r="D39" s="727" t="n">
        <f aca="false">Dados!G59</f>
        <v>0.076</v>
      </c>
      <c r="E39" s="742"/>
      <c r="F39" s="690" t="n">
        <f aca="false">ROUND(($F$45*D39),2)</f>
        <v>260.54</v>
      </c>
      <c r="G39" s="690" t="n">
        <f aca="false">ROUND((G45*$D$39),2)</f>
        <v>260.54</v>
      </c>
      <c r="H39" s="690" t="n">
        <f aca="false">ROUND((H45*$D$39),2)</f>
        <v>22.95</v>
      </c>
      <c r="I39" s="690" t="n">
        <f aca="false">ROUND((I45*$D$39),2)</f>
        <v>8.86</v>
      </c>
      <c r="J39" s="691" t="n">
        <f aca="false">ROUND((J45*$D$39),2)</f>
        <v>0</v>
      </c>
    </row>
    <row r="40" customFormat="false" ht="19.5" hidden="false" customHeight="true" outlineLevel="0" collapsed="false">
      <c r="A40" s="710" t="s">
        <v>381</v>
      </c>
      <c r="B40" s="710"/>
      <c r="C40" s="710"/>
      <c r="D40" s="727" t="n">
        <f aca="false">Dados!G60</f>
        <v>0.0165</v>
      </c>
      <c r="E40" s="742"/>
      <c r="F40" s="690" t="n">
        <f aca="false">ROUND((F45*$D$40),2)</f>
        <v>56.56</v>
      </c>
      <c r="G40" s="690" t="n">
        <f aca="false">ROUND((G45*$D$40),2)</f>
        <v>56.56</v>
      </c>
      <c r="H40" s="690" t="n">
        <f aca="false">ROUND((H45*$D$40),2)</f>
        <v>4.98</v>
      </c>
      <c r="I40" s="690" t="n">
        <f aca="false">ROUND((I45*$D$40),2)</f>
        <v>1.92</v>
      </c>
      <c r="J40" s="691" t="n">
        <f aca="false">ROUND((J45*$D$40),2)</f>
        <v>0</v>
      </c>
    </row>
    <row r="41" customFormat="false" ht="19.5" hidden="false" customHeight="true" outlineLevel="0" collapsed="false">
      <c r="A41" s="710" t="str">
        <f aca="false">Dados!B62</f>
        <v>ISSQN - Serviços Administrativos</v>
      </c>
      <c r="B41" s="710"/>
      <c r="C41" s="710"/>
      <c r="D41" s="727" t="n">
        <f aca="false">Dados!G62</f>
        <v>0.05</v>
      </c>
      <c r="E41" s="742"/>
      <c r="F41" s="690" t="n">
        <f aca="false">ROUND((F45*$D$41),2)</f>
        <v>171.41</v>
      </c>
      <c r="G41" s="690" t="n">
        <f aca="false">ROUND((G45*$D$41),2)</f>
        <v>171.41</v>
      </c>
      <c r="H41" s="690" t="n">
        <f aca="false">ROUND((H45*$D$41),2)</f>
        <v>15.1</v>
      </c>
      <c r="I41" s="690" t="n">
        <f aca="false">ROUND((I45*$D$41),2)</f>
        <v>5.83</v>
      </c>
      <c r="J41" s="691" t="n">
        <f aca="false">ROUND((J45*$D$41),2)</f>
        <v>0</v>
      </c>
    </row>
    <row r="42" customFormat="false" ht="19.5" hidden="false" customHeight="true" outlineLevel="0" collapsed="false">
      <c r="A42" s="710" t="s">
        <v>368</v>
      </c>
      <c r="B42" s="710"/>
      <c r="C42" s="710"/>
      <c r="D42" s="727" t="n">
        <f aca="false">Dados!G63</f>
        <v>0</v>
      </c>
      <c r="E42" s="742"/>
      <c r="F42" s="690" t="n">
        <f aca="false">ROUND((F45*$D$42),2)</f>
        <v>0</v>
      </c>
      <c r="G42" s="690" t="n">
        <f aca="false">ROUND((G45*$D$42),2)</f>
        <v>0</v>
      </c>
      <c r="H42" s="690" t="n">
        <f aca="false">ROUND((H45*$D$42),2)</f>
        <v>0</v>
      </c>
      <c r="I42" s="690" t="n">
        <f aca="false">ROUND((I45*$D$42),2)</f>
        <v>0</v>
      </c>
      <c r="J42" s="691" t="n">
        <f aca="false">ROUND((J45*$D$42),2)</f>
        <v>0</v>
      </c>
    </row>
    <row r="43" customFormat="false" ht="19.5" hidden="false" customHeight="true" outlineLevel="0" collapsed="false">
      <c r="A43" s="743" t="s">
        <v>728</v>
      </c>
      <c r="B43" s="743"/>
      <c r="C43" s="743"/>
      <c r="D43" s="744" t="n">
        <f aca="false">SUM(D39:D42)</f>
        <v>0.1425</v>
      </c>
      <c r="E43" s="745"/>
      <c r="F43" s="746" t="n">
        <f aca="false">SUM(F39:F42)</f>
        <v>488.51</v>
      </c>
      <c r="G43" s="746" t="n">
        <f aca="false">SUM(G39:G42)</f>
        <v>488.51</v>
      </c>
      <c r="H43" s="746" t="n">
        <f aca="false">SUM(H39:H42)</f>
        <v>43.03</v>
      </c>
      <c r="I43" s="746" t="n">
        <f aca="false">SUM(I39:I42)</f>
        <v>16.61</v>
      </c>
      <c r="J43" s="747" t="n">
        <f aca="false">SUM(J39:J41)</f>
        <v>0</v>
      </c>
    </row>
    <row r="44" customFormat="false" ht="19.5" hidden="false" customHeight="true" outlineLevel="0" collapsed="false">
      <c r="A44" s="748" t="str">
        <f aca="false">CONCATENATE("Custo Mensal - ",A7)</f>
        <v>Custo Mensal - Auxiliar Administrativo</v>
      </c>
      <c r="B44" s="748"/>
      <c r="C44" s="748"/>
      <c r="D44" s="748"/>
      <c r="E44" s="748"/>
      <c r="F44" s="749" t="n">
        <f aca="false">ROUND(F37/(1-D43),2)</f>
        <v>3428.12</v>
      </c>
      <c r="G44" s="749" t="n">
        <f aca="false">ROUND(G37/(1-D43),2)</f>
        <v>3428.12</v>
      </c>
      <c r="H44" s="749" t="n">
        <f aca="false">ROUND(H37/(1-C43),2)</f>
        <v>302</v>
      </c>
      <c r="I44" s="749" t="n">
        <f aca="false">ROUND(I37/(1-D43),2)</f>
        <v>116.54</v>
      </c>
      <c r="J44" s="750" t="n">
        <f aca="false">ROUND(J37/(1-D43),2)</f>
        <v>0</v>
      </c>
    </row>
    <row r="45" customFormat="false" ht="19.5" hidden="false" customHeight="true" outlineLevel="0" collapsed="false">
      <c r="A45" s="751" t="str">
        <f aca="false">CONCATENATE("Valor do Custo Mensal - ",A7)</f>
        <v>Valor do Custo Mensal - Auxiliar Administrativo</v>
      </c>
      <c r="B45" s="751"/>
      <c r="C45" s="751"/>
      <c r="D45" s="751"/>
      <c r="E45" s="751"/>
      <c r="F45" s="749" t="n">
        <f aca="false">F44</f>
        <v>3428.12</v>
      </c>
      <c r="G45" s="749" t="n">
        <f aca="false">G44</f>
        <v>3428.12</v>
      </c>
      <c r="H45" s="749" t="n">
        <f aca="false">H44</f>
        <v>302</v>
      </c>
      <c r="I45" s="749" t="n">
        <f aca="false">I44</f>
        <v>116.54</v>
      </c>
      <c r="J45" s="750" t="n">
        <f aca="false">J44</f>
        <v>0</v>
      </c>
      <c r="K45" s="752"/>
      <c r="L45" s="752"/>
    </row>
    <row r="46" customFormat="false" ht="27.75" hidden="false" customHeight="true" outlineLevel="0" collapsed="false">
      <c r="A46" s="753" t="s">
        <v>729</v>
      </c>
      <c r="B46" s="753"/>
      <c r="C46" s="753"/>
      <c r="D46" s="753"/>
      <c r="E46" s="753"/>
      <c r="F46" s="754" t="n">
        <f aca="false">(F45/F14)</f>
        <v>2.7740087392782</v>
      </c>
      <c r="G46" s="754" t="n">
        <f aca="false">(G45/G14)</f>
        <v>2.7740087392782</v>
      </c>
      <c r="H46" s="755" t="s">
        <v>730</v>
      </c>
      <c r="I46" s="755"/>
      <c r="J46" s="756" t="n">
        <v>0</v>
      </c>
    </row>
    <row r="47" customFormat="false" ht="19.5" hidden="false" customHeight="true" outlineLevel="0" collapsed="false"/>
  </sheetData>
  <sheetProtection sheet="true" password="c494" objects="true" scenarios="true"/>
  <mergeCells count="49">
    <mergeCell ref="A4:J4"/>
    <mergeCell ref="A5:J5"/>
    <mergeCell ref="A6:J6"/>
    <mergeCell ref="A7:E7"/>
    <mergeCell ref="F7:F8"/>
    <mergeCell ref="G7:G8"/>
    <mergeCell ref="H7:H8"/>
    <mergeCell ref="I7:I8"/>
    <mergeCell ref="J7:J8"/>
    <mergeCell ref="A8:D8"/>
    <mergeCell ref="A9:J9"/>
    <mergeCell ref="B10:C10"/>
    <mergeCell ref="F10:J10"/>
    <mergeCell ref="A11:A15"/>
    <mergeCell ref="B11:C11"/>
    <mergeCell ref="B12:C12"/>
    <mergeCell ref="B14:E14"/>
    <mergeCell ref="B15:D15"/>
    <mergeCell ref="A16:E16"/>
    <mergeCell ref="A17:J17"/>
    <mergeCell ref="A18:B18"/>
    <mergeCell ref="D18:E18"/>
    <mergeCell ref="F18:J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E29"/>
    <mergeCell ref="A30:E30"/>
    <mergeCell ref="A31:J31"/>
    <mergeCell ref="A32:C32"/>
    <mergeCell ref="E32:J32"/>
    <mergeCell ref="A34:C34"/>
    <mergeCell ref="A37:E37"/>
    <mergeCell ref="A38:J38"/>
    <mergeCell ref="A39:C39"/>
    <mergeCell ref="A40:C40"/>
    <mergeCell ref="A41:C41"/>
    <mergeCell ref="A42:C42"/>
    <mergeCell ref="A43:C43"/>
    <mergeCell ref="A44:E44"/>
    <mergeCell ref="A45:E45"/>
    <mergeCell ref="A46:E46"/>
    <mergeCell ref="H46:I4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6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2" activeCellId="0" sqref="A42"/>
    </sheetView>
  </sheetViews>
  <sheetFormatPr defaultColWidth="9.1484375" defaultRowHeight="15" zeroHeight="false" outlineLevelRow="0" outlineLevelCol="0"/>
  <cols>
    <col collapsed="false" customWidth="true" hidden="false" outlineLevel="0" max="1" min="1" style="148" width="10.57"/>
    <col collapsed="false" customWidth="true" hidden="false" outlineLevel="0" max="2" min="2" style="148" width="27.71"/>
    <col collapsed="false" customWidth="true" hidden="false" outlineLevel="0" max="3" min="3" style="148" width="14.42"/>
    <col collapsed="false" customWidth="true" hidden="false" outlineLevel="0" max="5" min="4" style="148" width="15"/>
    <col collapsed="false" customWidth="true" hidden="false" outlineLevel="0" max="6" min="6" style="662" width="16.71"/>
    <col collapsed="false" customWidth="true" hidden="false" outlineLevel="0" max="8" min="7" style="662" width="13.15"/>
    <col collapsed="false" customWidth="true" hidden="false" outlineLevel="0" max="10" min="9" style="662" width="12.57"/>
    <col collapsed="false" customWidth="false" hidden="false" outlineLevel="0" max="257" min="11" style="148" width="9.14"/>
    <col collapsed="false" customWidth="true" hidden="false" outlineLevel="0" max="258" min="258" style="148" width="10.57"/>
    <col collapsed="false" customWidth="true" hidden="false" outlineLevel="0" max="259" min="259" style="148" width="27.71"/>
    <col collapsed="false" customWidth="true" hidden="false" outlineLevel="0" max="260" min="260" style="148" width="14.42"/>
    <col collapsed="false" customWidth="true" hidden="false" outlineLevel="0" max="262" min="261" style="148" width="15"/>
    <col collapsed="false" customWidth="true" hidden="false" outlineLevel="0" max="263" min="263" style="148" width="16.71"/>
    <col collapsed="false" customWidth="true" hidden="false" outlineLevel="0" max="264" min="264" style="148" width="13.15"/>
    <col collapsed="false" customWidth="true" hidden="false" outlineLevel="0" max="266" min="265" style="148" width="12.57"/>
    <col collapsed="false" customWidth="false" hidden="false" outlineLevel="0" max="513" min="267" style="148" width="9.14"/>
    <col collapsed="false" customWidth="true" hidden="false" outlineLevel="0" max="514" min="514" style="148" width="10.57"/>
    <col collapsed="false" customWidth="true" hidden="false" outlineLevel="0" max="515" min="515" style="148" width="27.71"/>
    <col collapsed="false" customWidth="true" hidden="false" outlineLevel="0" max="516" min="516" style="148" width="14.42"/>
    <col collapsed="false" customWidth="true" hidden="false" outlineLevel="0" max="518" min="517" style="148" width="15"/>
    <col collapsed="false" customWidth="true" hidden="false" outlineLevel="0" max="519" min="519" style="148" width="16.71"/>
    <col collapsed="false" customWidth="true" hidden="false" outlineLevel="0" max="520" min="520" style="148" width="13.15"/>
    <col collapsed="false" customWidth="true" hidden="false" outlineLevel="0" max="522" min="521" style="148" width="12.57"/>
    <col collapsed="false" customWidth="false" hidden="false" outlineLevel="0" max="769" min="523" style="148" width="9.14"/>
    <col collapsed="false" customWidth="true" hidden="false" outlineLevel="0" max="770" min="770" style="148" width="10.57"/>
    <col collapsed="false" customWidth="true" hidden="false" outlineLevel="0" max="771" min="771" style="148" width="27.71"/>
    <col collapsed="false" customWidth="true" hidden="false" outlineLevel="0" max="772" min="772" style="148" width="14.42"/>
    <col collapsed="false" customWidth="true" hidden="false" outlineLevel="0" max="774" min="773" style="148" width="15"/>
    <col collapsed="false" customWidth="true" hidden="false" outlineLevel="0" max="775" min="775" style="148" width="16.71"/>
    <col collapsed="false" customWidth="true" hidden="false" outlineLevel="0" max="776" min="776" style="148" width="13.15"/>
    <col collapsed="false" customWidth="true" hidden="false" outlineLevel="0" max="778" min="777" style="148" width="12.57"/>
    <col collapsed="false" customWidth="false" hidden="false" outlineLevel="0" max="1024" min="779" style="148" width="9.14"/>
  </cols>
  <sheetData>
    <row r="1" customFormat="false" ht="15" hidden="false" customHeight="false" outlineLevel="0" collapsed="false">
      <c r="A1" s="663"/>
      <c r="B1" s="145" t="str">
        <f aca="false">INSTRUÇÕES!B1</f>
        <v>Tribunal Regional Federal da 6ª Região</v>
      </c>
      <c r="C1" s="664"/>
      <c r="D1" s="664"/>
      <c r="E1" s="664"/>
      <c r="F1" s="665"/>
      <c r="G1" s="666"/>
      <c r="H1" s="666"/>
      <c r="I1" s="665"/>
      <c r="J1" s="667"/>
    </row>
    <row r="2" customFormat="false" ht="15" hidden="false" customHeight="false" outlineLevel="0" collapsed="false">
      <c r="A2" s="668"/>
      <c r="B2" s="147" t="str">
        <f aca="false">INSTRUÇÕES!B2</f>
        <v>Seção Judiciária de Minas Gerais</v>
      </c>
      <c r="C2" s="669"/>
      <c r="D2" s="669"/>
      <c r="E2" s="669"/>
      <c r="F2" s="670"/>
      <c r="I2" s="670"/>
      <c r="J2" s="671"/>
    </row>
    <row r="3" customFormat="false" ht="15" hidden="false" customHeight="false" outlineLevel="0" collapsed="false">
      <c r="A3" s="672"/>
      <c r="B3" s="491" t="str">
        <f aca="false">INSTRUÇÕES!B3</f>
        <v>Subseção Judiciária de Juiz de Fora</v>
      </c>
      <c r="C3" s="669"/>
      <c r="D3" s="669"/>
      <c r="E3" s="669"/>
      <c r="F3" s="670"/>
      <c r="I3" s="670"/>
      <c r="J3" s="671"/>
    </row>
    <row r="4" customFormat="false" ht="19.5" hidden="false" customHeight="true" outlineLevel="0" collapsed="false">
      <c r="A4" s="673" t="s">
        <v>695</v>
      </c>
      <c r="B4" s="673"/>
      <c r="C4" s="673"/>
      <c r="D4" s="673"/>
      <c r="E4" s="673"/>
      <c r="F4" s="673"/>
      <c r="G4" s="673"/>
      <c r="H4" s="673"/>
      <c r="I4" s="673"/>
      <c r="J4" s="673"/>
    </row>
    <row r="5" customFormat="false" ht="19.5" hidden="false" customHeight="true" outlineLevel="0" collapsed="false">
      <c r="A5" s="674" t="s">
        <v>421</v>
      </c>
      <c r="B5" s="674"/>
      <c r="C5" s="674"/>
      <c r="D5" s="674"/>
      <c r="E5" s="674"/>
      <c r="F5" s="674"/>
      <c r="G5" s="674"/>
      <c r="H5" s="674"/>
      <c r="I5" s="674"/>
      <c r="J5" s="674"/>
    </row>
    <row r="6" customFormat="false" ht="36" hidden="false" customHeight="true" outlineLevel="0" collapsed="false">
      <c r="A6" s="675" t="str">
        <f aca="false">Dados!A4</f>
        <v>Sindicato utilizado - SINTEAC/JF. Vigência: 01/01/2023 à 31/12/2023. Sendo a data base da categoria 01º Janeiro. Com número de registro no MTE MG001725/2023.</v>
      </c>
      <c r="B6" s="675"/>
      <c r="C6" s="675"/>
      <c r="D6" s="675"/>
      <c r="E6" s="675"/>
      <c r="F6" s="675"/>
      <c r="G6" s="675"/>
      <c r="H6" s="675"/>
      <c r="I6" s="675"/>
      <c r="J6" s="675"/>
    </row>
    <row r="7" customFormat="false" ht="19.5" hidden="false" customHeight="true" outlineLevel="0" collapsed="false">
      <c r="A7" s="676" t="str">
        <f aca="false">Dados!C8</f>
        <v>Recepcionista</v>
      </c>
      <c r="B7" s="676"/>
      <c r="C7" s="676"/>
      <c r="D7" s="676"/>
      <c r="E7" s="676"/>
      <c r="F7" s="677" t="s">
        <v>696</v>
      </c>
      <c r="G7" s="677" t="s">
        <v>697</v>
      </c>
      <c r="H7" s="677" t="s">
        <v>698</v>
      </c>
      <c r="I7" s="677" t="s">
        <v>699</v>
      </c>
      <c r="J7" s="677" t="s">
        <v>700</v>
      </c>
    </row>
    <row r="8" customFormat="false" ht="19.5" hidden="false" customHeight="true" outlineLevel="0" collapsed="false">
      <c r="A8" s="678" t="s">
        <v>701</v>
      </c>
      <c r="B8" s="678"/>
      <c r="C8" s="678"/>
      <c r="D8" s="678"/>
      <c r="E8" s="679" t="s">
        <v>518</v>
      </c>
      <c r="F8" s="677"/>
      <c r="G8" s="677"/>
      <c r="H8" s="677"/>
      <c r="I8" s="677"/>
      <c r="J8" s="677"/>
    </row>
    <row r="9" customFormat="false" ht="19.5" hidden="false" customHeight="true" outlineLevel="0" collapsed="false">
      <c r="A9" s="680" t="s">
        <v>702</v>
      </c>
      <c r="B9" s="680"/>
      <c r="C9" s="680"/>
      <c r="D9" s="680"/>
      <c r="E9" s="680"/>
      <c r="F9" s="680"/>
      <c r="G9" s="680"/>
      <c r="H9" s="680"/>
      <c r="I9" s="680"/>
      <c r="J9" s="680"/>
    </row>
    <row r="10" customFormat="false" ht="24" hidden="false" customHeight="true" outlineLevel="0" collapsed="false">
      <c r="A10" s="681" t="s">
        <v>519</v>
      </c>
      <c r="B10" s="682" t="s">
        <v>703</v>
      </c>
      <c r="C10" s="682"/>
      <c r="D10" s="683" t="s">
        <v>704</v>
      </c>
      <c r="E10" s="684" t="s">
        <v>705</v>
      </c>
      <c r="F10" s="685" t="s">
        <v>522</v>
      </c>
      <c r="G10" s="685"/>
      <c r="H10" s="685"/>
      <c r="I10" s="685"/>
      <c r="J10" s="685"/>
    </row>
    <row r="11" customFormat="false" ht="19.5" hidden="false" customHeight="true" outlineLevel="0" collapsed="false">
      <c r="A11" s="686" t="n">
        <v>1</v>
      </c>
      <c r="B11" s="687" t="str">
        <f aca="false">A7</f>
        <v>Recepcionista</v>
      </c>
      <c r="C11" s="687"/>
      <c r="D11" s="688" t="n">
        <f aca="false">Dados!D8</f>
        <v>150</v>
      </c>
      <c r="E11" s="689" t="n">
        <f aca="false">Dados!$E$8</f>
        <v>2403.72</v>
      </c>
      <c r="F11" s="690" t="n">
        <f aca="false">ROUND(E11/220*D11,2)</f>
        <v>1638.9</v>
      </c>
      <c r="G11" s="690" t="n">
        <f aca="false">F11</f>
        <v>1638.9</v>
      </c>
      <c r="H11" s="690"/>
      <c r="I11" s="690"/>
      <c r="J11" s="691"/>
    </row>
    <row r="12" customFormat="false" ht="19.5" hidden="false" customHeight="true" outlineLevel="0" collapsed="false">
      <c r="A12" s="686"/>
      <c r="B12" s="687" t="s">
        <v>706</v>
      </c>
      <c r="C12" s="687"/>
      <c r="D12" s="692" t="n">
        <f aca="false">Dados!G8</f>
        <v>0</v>
      </c>
      <c r="E12" s="689" t="n">
        <f aca="false">Dados!$G$34</f>
        <v>1320</v>
      </c>
      <c r="F12" s="690" t="n">
        <f aca="false">D12*E12</f>
        <v>0</v>
      </c>
      <c r="G12" s="690" t="n">
        <f aca="false">F12</f>
        <v>0</v>
      </c>
      <c r="H12" s="690"/>
      <c r="I12" s="690"/>
      <c r="J12" s="691" t="n">
        <f aca="false">F12</f>
        <v>0</v>
      </c>
    </row>
    <row r="13" customFormat="false" ht="22.5" hidden="false" customHeight="true" outlineLevel="0" collapsed="false">
      <c r="A13" s="686"/>
      <c r="B13" s="693" t="s">
        <v>707</v>
      </c>
      <c r="C13" s="694" t="n">
        <f aca="false">Dados!$I$8</f>
        <v>0</v>
      </c>
      <c r="D13" s="694" t="n">
        <f aca="false">Dados!$J$8</f>
        <v>0</v>
      </c>
      <c r="E13" s="695" t="n">
        <f aca="false">Dados!$K$8</f>
        <v>0</v>
      </c>
      <c r="F13" s="696" t="n">
        <f aca="false">ROUND((E13*D13*C13),2)</f>
        <v>0</v>
      </c>
      <c r="G13" s="696" t="n">
        <f aca="false">F13</f>
        <v>0</v>
      </c>
      <c r="H13" s="696"/>
      <c r="I13" s="696"/>
      <c r="J13" s="697"/>
    </row>
    <row r="14" customFormat="false" ht="19.5" hidden="false" customHeight="true" outlineLevel="0" collapsed="false">
      <c r="A14" s="686"/>
      <c r="B14" s="698" t="s">
        <v>708</v>
      </c>
      <c r="C14" s="698"/>
      <c r="D14" s="698"/>
      <c r="E14" s="698"/>
      <c r="F14" s="699" t="n">
        <f aca="false">SUM(F11:F13)</f>
        <v>1638.9</v>
      </c>
      <c r="G14" s="699" t="n">
        <f aca="false">SUM(G11:G13)</f>
        <v>1638.9</v>
      </c>
      <c r="H14" s="699" t="n">
        <f aca="false">SUM(H11:H13)</f>
        <v>0</v>
      </c>
      <c r="I14" s="699" t="n">
        <f aca="false">SUM(I11:I13)</f>
        <v>0</v>
      </c>
      <c r="J14" s="700" t="n">
        <f aca="false">SUM(J11:J13)</f>
        <v>0</v>
      </c>
    </row>
    <row r="15" customFormat="false" ht="19.5" hidden="false" customHeight="true" outlineLevel="0" collapsed="false">
      <c r="A15" s="686"/>
      <c r="B15" s="701" t="s">
        <v>709</v>
      </c>
      <c r="C15" s="701"/>
      <c r="D15" s="701"/>
      <c r="E15" s="702" t="n">
        <f aca="false">Encargos!$C$57</f>
        <v>0.7905</v>
      </c>
      <c r="F15" s="690" t="n">
        <f aca="false">ROUND((E15*F14),2)</f>
        <v>1295.55</v>
      </c>
      <c r="G15" s="690" t="n">
        <f aca="false">F15</f>
        <v>1295.55</v>
      </c>
      <c r="H15" s="690"/>
      <c r="I15" s="690"/>
      <c r="J15" s="691" t="n">
        <f aca="false">ROUND((E15*J14),2)</f>
        <v>0</v>
      </c>
    </row>
    <row r="16" customFormat="false" ht="19.5" hidden="false" customHeight="true" outlineLevel="0" collapsed="false">
      <c r="A16" s="703" t="s">
        <v>710</v>
      </c>
      <c r="B16" s="703"/>
      <c r="C16" s="703"/>
      <c r="D16" s="703"/>
      <c r="E16" s="703"/>
      <c r="F16" s="704" t="n">
        <f aca="false">SUM(F14:F15)</f>
        <v>2934.45</v>
      </c>
      <c r="G16" s="704" t="n">
        <f aca="false">SUM(G14:G15)</f>
        <v>2934.45</v>
      </c>
      <c r="H16" s="704" t="n">
        <f aca="false">SUM(H14:H15)</f>
        <v>0</v>
      </c>
      <c r="I16" s="704" t="n">
        <f aca="false">SUM(I14:I15)</f>
        <v>0</v>
      </c>
      <c r="J16" s="705" t="n">
        <f aca="false">SUM(J14:J15)</f>
        <v>0</v>
      </c>
    </row>
    <row r="17" customFormat="false" ht="19.5" hidden="false" customHeight="true" outlineLevel="0" collapsed="false">
      <c r="A17" s="706" t="s">
        <v>711</v>
      </c>
      <c r="B17" s="706"/>
      <c r="C17" s="706"/>
      <c r="D17" s="706"/>
      <c r="E17" s="706"/>
      <c r="F17" s="706"/>
      <c r="G17" s="706"/>
      <c r="H17" s="706"/>
      <c r="I17" s="706"/>
      <c r="J17" s="706"/>
    </row>
    <row r="18" customFormat="false" ht="19.5" hidden="false" customHeight="true" outlineLevel="0" collapsed="false">
      <c r="A18" s="707" t="s">
        <v>712</v>
      </c>
      <c r="B18" s="707"/>
      <c r="C18" s="708" t="s">
        <v>521</v>
      </c>
      <c r="D18" s="708" t="s">
        <v>713</v>
      </c>
      <c r="E18" s="708"/>
      <c r="F18" s="709" t="s">
        <v>522</v>
      </c>
      <c r="G18" s="709"/>
      <c r="H18" s="709"/>
      <c r="I18" s="709"/>
      <c r="J18" s="709"/>
    </row>
    <row r="19" customFormat="false" ht="19.5" hidden="false" customHeight="true" outlineLevel="0" collapsed="false">
      <c r="A19" s="710" t="s">
        <v>714</v>
      </c>
      <c r="B19" s="710"/>
      <c r="C19" s="711"/>
      <c r="D19" s="711"/>
      <c r="E19" s="711"/>
      <c r="F19" s="690" t="n">
        <f aca="false">Dados!N8</f>
        <v>38.98</v>
      </c>
      <c r="G19" s="690" t="n">
        <f aca="false">F19</f>
        <v>38.98</v>
      </c>
      <c r="H19" s="690"/>
      <c r="I19" s="690"/>
      <c r="J19" s="691"/>
    </row>
    <row r="20" customFormat="false" ht="19.5" hidden="false" customHeight="true" outlineLevel="0" collapsed="false">
      <c r="A20" s="710" t="s">
        <v>715</v>
      </c>
      <c r="B20" s="710"/>
      <c r="C20" s="711"/>
      <c r="D20" s="711"/>
      <c r="E20" s="711"/>
      <c r="F20" s="690" t="n">
        <f aca="false">Dados!G37</f>
        <v>1.55</v>
      </c>
      <c r="G20" s="690" t="n">
        <f aca="false">F20</f>
        <v>1.55</v>
      </c>
      <c r="H20" s="690"/>
      <c r="I20" s="690"/>
      <c r="J20" s="691"/>
    </row>
    <row r="21" customFormat="false" ht="23.25" hidden="false" customHeight="true" outlineLevel="0" collapsed="false">
      <c r="A21" s="712" t="s">
        <v>354</v>
      </c>
      <c r="B21" s="712"/>
      <c r="C21" s="711"/>
      <c r="D21" s="711"/>
      <c r="E21" s="711"/>
      <c r="F21" s="690" t="n">
        <f aca="false">Dados!G38</f>
        <v>50.36</v>
      </c>
      <c r="G21" s="690" t="n">
        <f aca="false">F21</f>
        <v>50.36</v>
      </c>
      <c r="H21" s="690"/>
      <c r="I21" s="690"/>
      <c r="J21" s="691"/>
    </row>
    <row r="22" customFormat="false" ht="19.5" hidden="false" customHeight="true" outlineLevel="0" collapsed="false">
      <c r="A22" s="710" t="s">
        <v>355</v>
      </c>
      <c r="B22" s="710"/>
      <c r="C22" s="713" t="n">
        <f aca="false">Dados!$G$41</f>
        <v>22</v>
      </c>
      <c r="D22" s="713" t="n">
        <f aca="false">Dados!$G$40</f>
        <v>2</v>
      </c>
      <c r="E22" s="714" t="n">
        <f aca="false">Dados!$G$39</f>
        <v>3.75</v>
      </c>
      <c r="F22" s="690" t="n">
        <f aca="false">IF(ROUND((E22*D22*C22)-(F11*Dados!G42),2)&lt;0,0,ROUND((E22*D22*C22)-(F11*Dados!G42),2))</f>
        <v>66.67</v>
      </c>
      <c r="G22" s="690" t="n">
        <f aca="false">F22</f>
        <v>66.67</v>
      </c>
      <c r="H22" s="690"/>
      <c r="I22" s="690" t="n">
        <f aca="false">F22</f>
        <v>66.67</v>
      </c>
      <c r="J22" s="691"/>
    </row>
    <row r="23" customFormat="false" ht="19.5" hidden="false" customHeight="true" outlineLevel="0" collapsed="false">
      <c r="A23" s="710" t="s">
        <v>364</v>
      </c>
      <c r="B23" s="710"/>
      <c r="C23" s="713" t="n">
        <f aca="false">Dados!G45</f>
        <v>22</v>
      </c>
      <c r="D23" s="715" t="n">
        <f aca="false">Dados!G46</f>
        <v>0.2</v>
      </c>
      <c r="E23" s="714" t="n">
        <f aca="false">Dados!G44</f>
        <v>15.6</v>
      </c>
      <c r="F23" s="716" t="n">
        <f aca="false">ROUND((IF(D11&lt;200,((C23*E23)-(C23*(D23*E23))),0)),2)</f>
        <v>274.56</v>
      </c>
      <c r="G23" s="690" t="n">
        <f aca="false">F23</f>
        <v>274.56</v>
      </c>
      <c r="H23" s="690" t="n">
        <f aca="false">$F$23</f>
        <v>274.56</v>
      </c>
      <c r="I23" s="716"/>
      <c r="J23" s="691"/>
    </row>
    <row r="24" customFormat="false" ht="19.5" hidden="false" customHeight="true" outlineLevel="0" collapsed="false">
      <c r="A24" s="710" t="s">
        <v>368</v>
      </c>
      <c r="B24" s="710"/>
      <c r="C24" s="713"/>
      <c r="D24" s="713"/>
      <c r="E24" s="714"/>
      <c r="F24" s="716" t="n">
        <f aca="false">Dados!G47</f>
        <v>0</v>
      </c>
      <c r="G24" s="690"/>
      <c r="H24" s="690"/>
      <c r="I24" s="716"/>
      <c r="J24" s="691"/>
    </row>
    <row r="25" customFormat="false" ht="19.5" hidden="false" customHeight="true" outlineLevel="0" collapsed="false">
      <c r="A25" s="710" t="s">
        <v>368</v>
      </c>
      <c r="B25" s="710"/>
      <c r="C25" s="713"/>
      <c r="D25" s="713"/>
      <c r="E25" s="714"/>
      <c r="F25" s="716" t="n">
        <f aca="false">Dados!G48</f>
        <v>0</v>
      </c>
      <c r="G25" s="690"/>
      <c r="H25" s="690"/>
      <c r="I25" s="716"/>
      <c r="J25" s="691"/>
    </row>
    <row r="26" customFormat="false" ht="19.5" hidden="false" customHeight="true" outlineLevel="0" collapsed="false">
      <c r="A26" s="710" t="s">
        <v>716</v>
      </c>
      <c r="B26" s="710"/>
      <c r="C26" s="713"/>
      <c r="D26" s="714"/>
      <c r="E26" s="714"/>
      <c r="F26" s="690"/>
      <c r="G26" s="690"/>
      <c r="H26" s="690"/>
      <c r="I26" s="690"/>
      <c r="J26" s="691"/>
      <c r="L26" s="717"/>
    </row>
    <row r="27" customFormat="false" ht="19.5" hidden="false" customHeight="true" outlineLevel="0" collapsed="false">
      <c r="A27" s="710" t="s">
        <v>717</v>
      </c>
      <c r="B27" s="718"/>
      <c r="C27" s="713"/>
      <c r="D27" s="714"/>
      <c r="E27" s="714"/>
      <c r="F27" s="690" t="n">
        <f aca="false">Dados!R8</f>
        <v>0</v>
      </c>
      <c r="G27" s="690"/>
      <c r="H27" s="690"/>
      <c r="I27" s="690"/>
      <c r="J27" s="691"/>
    </row>
    <row r="28" customFormat="false" ht="19.5" hidden="false" customHeight="true" outlineLevel="0" collapsed="false">
      <c r="A28" s="719" t="s">
        <v>718</v>
      </c>
      <c r="B28" s="719"/>
      <c r="C28" s="720"/>
      <c r="D28" s="721"/>
      <c r="E28" s="721"/>
      <c r="F28" s="696" t="n">
        <f aca="false">Dados!T8</f>
        <v>0</v>
      </c>
      <c r="G28" s="696" t="n">
        <f aca="false">F28</f>
        <v>0</v>
      </c>
      <c r="H28" s="696"/>
      <c r="I28" s="696"/>
      <c r="J28" s="697"/>
    </row>
    <row r="29" customFormat="false" ht="19.5" hidden="false" customHeight="true" outlineLevel="0" collapsed="false">
      <c r="A29" s="722" t="s">
        <v>719</v>
      </c>
      <c r="B29" s="722"/>
      <c r="C29" s="722"/>
      <c r="D29" s="722"/>
      <c r="E29" s="722"/>
      <c r="F29" s="704" t="n">
        <f aca="false">SUM(F19:F28)</f>
        <v>432.12</v>
      </c>
      <c r="G29" s="704" t="n">
        <f aca="false">SUM(G19:G28)</f>
        <v>432.12</v>
      </c>
      <c r="H29" s="704" t="n">
        <f aca="false">SUM(H19:H28)</f>
        <v>274.56</v>
      </c>
      <c r="I29" s="704" t="n">
        <f aca="false">SUM(I19:I28)</f>
        <v>66.67</v>
      </c>
      <c r="J29" s="705" t="n">
        <f aca="false">SUM(J19:J28)</f>
        <v>0</v>
      </c>
    </row>
    <row r="30" customFormat="false" ht="19.5" hidden="false" customHeight="true" outlineLevel="0" collapsed="false">
      <c r="A30" s="722" t="s">
        <v>720</v>
      </c>
      <c r="B30" s="722"/>
      <c r="C30" s="722"/>
      <c r="D30" s="722"/>
      <c r="E30" s="722"/>
      <c r="F30" s="704" t="n">
        <f aca="false">F16+F29</f>
        <v>3366.57</v>
      </c>
      <c r="G30" s="704" t="n">
        <f aca="false">G16+G29</f>
        <v>3366.57</v>
      </c>
      <c r="H30" s="704" t="n">
        <f aca="false">H16+H29</f>
        <v>274.56</v>
      </c>
      <c r="I30" s="704" t="n">
        <f aca="false">I16+I29</f>
        <v>66.67</v>
      </c>
      <c r="J30" s="705" t="n">
        <f aca="false">J16+J29</f>
        <v>0</v>
      </c>
    </row>
    <row r="31" customFormat="false" ht="19.5" hidden="false" customHeight="true" outlineLevel="0" collapsed="false">
      <c r="A31" s="680" t="s">
        <v>721</v>
      </c>
      <c r="B31" s="680"/>
      <c r="C31" s="680"/>
      <c r="D31" s="680"/>
      <c r="E31" s="680"/>
      <c r="F31" s="680"/>
      <c r="G31" s="680"/>
      <c r="H31" s="680"/>
      <c r="I31" s="680"/>
      <c r="J31" s="680"/>
    </row>
    <row r="32" customFormat="false" ht="19.5" hidden="false" customHeight="true" outlineLevel="0" collapsed="false">
      <c r="A32" s="707" t="s">
        <v>722</v>
      </c>
      <c r="B32" s="707"/>
      <c r="C32" s="707"/>
      <c r="D32" s="723" t="s">
        <v>622</v>
      </c>
      <c r="E32" s="724" t="s">
        <v>522</v>
      </c>
      <c r="F32" s="724"/>
      <c r="G32" s="724"/>
      <c r="H32" s="724"/>
      <c r="I32" s="724"/>
      <c r="J32" s="724"/>
    </row>
    <row r="33" customFormat="false" ht="19.5" hidden="false" customHeight="true" outlineLevel="0" collapsed="false">
      <c r="A33" s="725" t="s">
        <v>723</v>
      </c>
      <c r="B33" s="726"/>
      <c r="C33" s="726"/>
      <c r="D33" s="727" t="n">
        <f aca="false">Dados!$G$51</f>
        <v>0.03</v>
      </c>
      <c r="E33" s="728"/>
      <c r="F33" s="690" t="n">
        <f aca="false">ROUND((F30*$D$33),2)</f>
        <v>101</v>
      </c>
      <c r="G33" s="690" t="n">
        <f aca="false">ROUND((G30*$D$33),2)</f>
        <v>101</v>
      </c>
      <c r="H33" s="690" t="n">
        <f aca="false">ROUND((H30*$D$33),2)</f>
        <v>8.24</v>
      </c>
      <c r="I33" s="690" t="n">
        <f aca="false">ROUND((I30*$D$33),2)</f>
        <v>2</v>
      </c>
      <c r="J33" s="691" t="n">
        <f aca="false">ROUND((J30*$D$33),2)</f>
        <v>0</v>
      </c>
    </row>
    <row r="34" customFormat="false" ht="19.5" hidden="false" customHeight="true" outlineLevel="0" collapsed="false">
      <c r="A34" s="729" t="s">
        <v>724</v>
      </c>
      <c r="B34" s="729"/>
      <c r="C34" s="729"/>
      <c r="D34" s="727"/>
      <c r="E34" s="728"/>
      <c r="F34" s="690" t="n">
        <f aca="false">F30+F33</f>
        <v>3467.57</v>
      </c>
      <c r="G34" s="690" t="n">
        <f aca="false">G30+G33</f>
        <v>3467.57</v>
      </c>
      <c r="H34" s="690" t="n">
        <f aca="false">H30+H33</f>
        <v>282.8</v>
      </c>
      <c r="I34" s="690" t="n">
        <f aca="false">I30+I33</f>
        <v>68.67</v>
      </c>
      <c r="J34" s="691" t="n">
        <f aca="false">J30+J33</f>
        <v>0</v>
      </c>
    </row>
    <row r="35" customFormat="false" ht="19.5" hidden="false" customHeight="true" outlineLevel="0" collapsed="false">
      <c r="A35" s="730" t="s">
        <v>373</v>
      </c>
      <c r="B35" s="731"/>
      <c r="C35" s="731"/>
      <c r="D35" s="732" t="n">
        <f aca="false">Dados!$G$52</f>
        <v>0.0679</v>
      </c>
      <c r="E35" s="733"/>
      <c r="F35" s="696" t="n">
        <f aca="false">ROUND((F34*$D$35),2)</f>
        <v>235.45</v>
      </c>
      <c r="G35" s="696" t="n">
        <f aca="false">ROUND((G34*$D$35),2)</f>
        <v>235.45</v>
      </c>
      <c r="H35" s="696" t="n">
        <f aca="false">ROUND((H34*$D$35),2)</f>
        <v>19.2</v>
      </c>
      <c r="I35" s="696" t="n">
        <f aca="false">ROUND((I34*$D$35),2)</f>
        <v>4.66</v>
      </c>
      <c r="J35" s="697" t="n">
        <f aca="false">ROUND((J34*$D$35),2)</f>
        <v>0</v>
      </c>
    </row>
    <row r="36" customFormat="false" ht="19.5" hidden="false" customHeight="true" outlineLevel="0" collapsed="false">
      <c r="A36" s="734" t="s">
        <v>725</v>
      </c>
      <c r="B36" s="735"/>
      <c r="C36" s="735"/>
      <c r="D36" s="736" t="n">
        <f aca="false">SUM(D33:D35)</f>
        <v>0.0979</v>
      </c>
      <c r="E36" s="737"/>
      <c r="F36" s="704" t="n">
        <f aca="false">F33+F35</f>
        <v>336.45</v>
      </c>
      <c r="G36" s="704" t="n">
        <f aca="false">G33+G35</f>
        <v>336.45</v>
      </c>
      <c r="H36" s="704" t="n">
        <f aca="false">H33+H35</f>
        <v>27.44</v>
      </c>
      <c r="I36" s="704" t="n">
        <f aca="false">I33+I35</f>
        <v>6.66</v>
      </c>
      <c r="J36" s="705" t="n">
        <f aca="false">J33+J35</f>
        <v>0</v>
      </c>
    </row>
    <row r="37" customFormat="false" ht="19.5" hidden="false" customHeight="true" outlineLevel="0" collapsed="false">
      <c r="A37" s="738" t="s">
        <v>726</v>
      </c>
      <c r="B37" s="738"/>
      <c r="C37" s="738"/>
      <c r="D37" s="738"/>
      <c r="E37" s="738"/>
      <c r="F37" s="739" t="n">
        <f aca="false">F30+F36</f>
        <v>3703.02</v>
      </c>
      <c r="G37" s="739" t="n">
        <f aca="false">G30+G36</f>
        <v>3703.02</v>
      </c>
      <c r="H37" s="739" t="n">
        <f aca="false">H30+H36</f>
        <v>302</v>
      </c>
      <c r="I37" s="739" t="n">
        <f aca="false">I30+I36</f>
        <v>73.33</v>
      </c>
      <c r="J37" s="740" t="n">
        <f aca="false">J30+J36</f>
        <v>0</v>
      </c>
    </row>
    <row r="38" customFormat="false" ht="19.5" hidden="false" customHeight="true" outlineLevel="0" collapsed="false">
      <c r="A38" s="741" t="s">
        <v>727</v>
      </c>
      <c r="B38" s="741"/>
      <c r="C38" s="741"/>
      <c r="D38" s="741"/>
      <c r="E38" s="741"/>
      <c r="F38" s="741"/>
      <c r="G38" s="741"/>
      <c r="H38" s="741"/>
      <c r="I38" s="741"/>
      <c r="J38" s="741"/>
    </row>
    <row r="39" customFormat="false" ht="19.5" hidden="false" customHeight="true" outlineLevel="0" collapsed="false">
      <c r="A39" s="710" t="s">
        <v>379</v>
      </c>
      <c r="B39" s="710"/>
      <c r="C39" s="710"/>
      <c r="D39" s="727" t="n">
        <f aca="false">Dados!G59</f>
        <v>0.076</v>
      </c>
      <c r="E39" s="742"/>
      <c r="F39" s="690" t="n">
        <f aca="false">ROUND(($F$45*D39),2)</f>
        <v>328.2</v>
      </c>
      <c r="G39" s="690" t="n">
        <f aca="false">ROUND((G45*$D$39),2)</f>
        <v>328.2</v>
      </c>
      <c r="H39" s="690" t="n">
        <f aca="false">ROUND((H45*$D$39),2)</f>
        <v>22.95</v>
      </c>
      <c r="I39" s="690" t="n">
        <f aca="false">ROUND((I45*$D$39),2)</f>
        <v>6.5</v>
      </c>
      <c r="J39" s="691" t="n">
        <f aca="false">ROUND((J45*$D$39),2)</f>
        <v>0</v>
      </c>
    </row>
    <row r="40" customFormat="false" ht="19.5" hidden="false" customHeight="true" outlineLevel="0" collapsed="false">
      <c r="A40" s="710" t="s">
        <v>381</v>
      </c>
      <c r="B40" s="710"/>
      <c r="C40" s="710"/>
      <c r="D40" s="727" t="n">
        <f aca="false">Dados!G60</f>
        <v>0.0165</v>
      </c>
      <c r="E40" s="742"/>
      <c r="F40" s="690" t="n">
        <f aca="false">ROUND((F45*$D$40),2)</f>
        <v>71.25</v>
      </c>
      <c r="G40" s="690" t="n">
        <f aca="false">ROUND((G45*$D$40),2)</f>
        <v>71.25</v>
      </c>
      <c r="H40" s="690" t="n">
        <f aca="false">ROUND((H45*$D$40),2)</f>
        <v>4.98</v>
      </c>
      <c r="I40" s="690" t="n">
        <f aca="false">ROUND((I45*$D$40),2)</f>
        <v>1.41</v>
      </c>
      <c r="J40" s="691" t="n">
        <f aca="false">ROUND((J45*$D$40),2)</f>
        <v>0</v>
      </c>
    </row>
    <row r="41" customFormat="false" ht="19.5" hidden="false" customHeight="true" outlineLevel="0" collapsed="false">
      <c r="A41" s="710" t="str">
        <f aca="false">Dados!B62</f>
        <v>ISSQN - Serviços Administrativos</v>
      </c>
      <c r="B41" s="710"/>
      <c r="C41" s="710"/>
      <c r="D41" s="727" t="n">
        <f aca="false">Dados!G62</f>
        <v>0.05</v>
      </c>
      <c r="E41" s="742"/>
      <c r="F41" s="690" t="n">
        <f aca="false">ROUND((F45*$D$41),2)</f>
        <v>215.92</v>
      </c>
      <c r="G41" s="690" t="n">
        <f aca="false">ROUND((G45*$D$41),2)</f>
        <v>215.92</v>
      </c>
      <c r="H41" s="690" t="n">
        <f aca="false">ROUND((H45*$D$41),2)</f>
        <v>15.1</v>
      </c>
      <c r="I41" s="690" t="n">
        <f aca="false">ROUND((I45*$D$41),2)</f>
        <v>4.28</v>
      </c>
      <c r="J41" s="691" t="n">
        <f aca="false">ROUND((J45*$D$41),2)</f>
        <v>0</v>
      </c>
    </row>
    <row r="42" customFormat="false" ht="19.5" hidden="false" customHeight="true" outlineLevel="0" collapsed="false">
      <c r="A42" s="710" t="s">
        <v>368</v>
      </c>
      <c r="B42" s="710"/>
      <c r="C42" s="710"/>
      <c r="D42" s="727" t="n">
        <f aca="false">Dados!G63</f>
        <v>0</v>
      </c>
      <c r="E42" s="742"/>
      <c r="F42" s="690" t="n">
        <f aca="false">ROUND((F45*$D$42),2)</f>
        <v>0</v>
      </c>
      <c r="G42" s="690" t="n">
        <f aca="false">ROUND((G45*$D$42),2)</f>
        <v>0</v>
      </c>
      <c r="H42" s="690" t="n">
        <f aca="false">ROUND((H45*$D$42),2)</f>
        <v>0</v>
      </c>
      <c r="I42" s="690" t="n">
        <f aca="false">ROUND((I45*$D$42),2)</f>
        <v>0</v>
      </c>
      <c r="J42" s="691" t="n">
        <f aca="false">ROUND((J45*$D$42),2)</f>
        <v>0</v>
      </c>
    </row>
    <row r="43" customFormat="false" ht="19.5" hidden="false" customHeight="true" outlineLevel="0" collapsed="false">
      <c r="A43" s="743" t="s">
        <v>728</v>
      </c>
      <c r="B43" s="743"/>
      <c r="C43" s="743"/>
      <c r="D43" s="744" t="n">
        <f aca="false">SUM(D39:D42)</f>
        <v>0.1425</v>
      </c>
      <c r="E43" s="745"/>
      <c r="F43" s="746" t="n">
        <f aca="false">SUM(F39:F42)</f>
        <v>615.37</v>
      </c>
      <c r="G43" s="746" t="n">
        <f aca="false">SUM(G39:G42)</f>
        <v>615.37</v>
      </c>
      <c r="H43" s="746" t="n">
        <f aca="false">SUM(H39:H42)</f>
        <v>43.03</v>
      </c>
      <c r="I43" s="746" t="n">
        <f aca="false">SUM(I39:I42)</f>
        <v>12.19</v>
      </c>
      <c r="J43" s="747" t="n">
        <f aca="false">SUM(J39:J41)</f>
        <v>0</v>
      </c>
    </row>
    <row r="44" customFormat="false" ht="19.5" hidden="false" customHeight="true" outlineLevel="0" collapsed="false">
      <c r="A44" s="748" t="str">
        <f aca="false">CONCATENATE("Custo Mensal - ",A7)</f>
        <v>Custo Mensal - Recepcionista</v>
      </c>
      <c r="B44" s="748"/>
      <c r="C44" s="748"/>
      <c r="D44" s="748"/>
      <c r="E44" s="748"/>
      <c r="F44" s="749" t="n">
        <f aca="false">ROUND(F37/(1-D43),2)</f>
        <v>4318.39</v>
      </c>
      <c r="G44" s="749" t="n">
        <f aca="false">ROUND(G37/(1-D43),2)</f>
        <v>4318.39</v>
      </c>
      <c r="H44" s="749" t="n">
        <f aca="false">ROUND(H37/(1-C43),2)</f>
        <v>302</v>
      </c>
      <c r="I44" s="749" t="n">
        <f aca="false">ROUND(I37/(1-D43),2)</f>
        <v>85.52</v>
      </c>
      <c r="J44" s="750" t="n">
        <f aca="false">ROUND(J37/(1-D43),2)</f>
        <v>0</v>
      </c>
    </row>
    <row r="45" customFormat="false" ht="19.5" hidden="false" customHeight="true" outlineLevel="0" collapsed="false">
      <c r="A45" s="751" t="str">
        <f aca="false">CONCATENATE("Valor do Custo Mensal - ",A7)</f>
        <v>Valor do Custo Mensal - Recepcionista</v>
      </c>
      <c r="B45" s="751"/>
      <c r="C45" s="751"/>
      <c r="D45" s="751"/>
      <c r="E45" s="751"/>
      <c r="F45" s="749" t="n">
        <f aca="false">F44</f>
        <v>4318.39</v>
      </c>
      <c r="G45" s="749" t="n">
        <f aca="false">G44</f>
        <v>4318.39</v>
      </c>
      <c r="H45" s="749" t="n">
        <f aca="false">H44</f>
        <v>302</v>
      </c>
      <c r="I45" s="749" t="n">
        <f aca="false">I44</f>
        <v>85.52</v>
      </c>
      <c r="J45" s="750" t="n">
        <f aca="false">J44</f>
        <v>0</v>
      </c>
      <c r="K45" s="752"/>
      <c r="L45" s="752"/>
    </row>
    <row r="46" customFormat="false" ht="27.75" hidden="false" customHeight="true" outlineLevel="0" collapsed="false">
      <c r="A46" s="753" t="s">
        <v>729</v>
      </c>
      <c r="B46" s="753"/>
      <c r="C46" s="753"/>
      <c r="D46" s="753"/>
      <c r="E46" s="753"/>
      <c r="F46" s="754" t="n">
        <f aca="false">(F45/F14)</f>
        <v>2.63493196656294</v>
      </c>
      <c r="G46" s="754" t="n">
        <f aca="false">(G45/G14)</f>
        <v>2.63493196656294</v>
      </c>
      <c r="H46" s="755" t="s">
        <v>730</v>
      </c>
      <c r="I46" s="755"/>
      <c r="J46" s="756" t="n">
        <v>0</v>
      </c>
    </row>
    <row r="47" customFormat="false" ht="19.5" hidden="false" customHeight="true" outlineLevel="0" collapsed="false"/>
  </sheetData>
  <sheetProtection sheet="true" password="c494" objects="true" scenarios="true"/>
  <mergeCells count="49">
    <mergeCell ref="A4:J4"/>
    <mergeCell ref="A5:J5"/>
    <mergeCell ref="A6:J6"/>
    <mergeCell ref="A7:E7"/>
    <mergeCell ref="F7:F8"/>
    <mergeCell ref="G7:G8"/>
    <mergeCell ref="H7:H8"/>
    <mergeCell ref="I7:I8"/>
    <mergeCell ref="J7:J8"/>
    <mergeCell ref="A8:D8"/>
    <mergeCell ref="A9:J9"/>
    <mergeCell ref="B10:C10"/>
    <mergeCell ref="F10:J10"/>
    <mergeCell ref="A11:A15"/>
    <mergeCell ref="B11:C11"/>
    <mergeCell ref="B12:C12"/>
    <mergeCell ref="B14:E14"/>
    <mergeCell ref="B15:D15"/>
    <mergeCell ref="A16:E16"/>
    <mergeCell ref="A17:J17"/>
    <mergeCell ref="A18:B18"/>
    <mergeCell ref="D18:E18"/>
    <mergeCell ref="F18:J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E29"/>
    <mergeCell ref="A30:E30"/>
    <mergeCell ref="A31:J31"/>
    <mergeCell ref="A32:C32"/>
    <mergeCell ref="E32:J32"/>
    <mergeCell ref="A34:C34"/>
    <mergeCell ref="A37:E37"/>
    <mergeCell ref="A38:J38"/>
    <mergeCell ref="A39:C39"/>
    <mergeCell ref="A40:C40"/>
    <mergeCell ref="A41:C41"/>
    <mergeCell ref="A42:C42"/>
    <mergeCell ref="A43:C43"/>
    <mergeCell ref="A44:E44"/>
    <mergeCell ref="A45:E45"/>
    <mergeCell ref="A46:E46"/>
    <mergeCell ref="H46:I4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6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2" activeCellId="0" sqref="A42"/>
    </sheetView>
  </sheetViews>
  <sheetFormatPr defaultColWidth="9.1484375" defaultRowHeight="15" zeroHeight="false" outlineLevelRow="0" outlineLevelCol="0"/>
  <cols>
    <col collapsed="false" customWidth="true" hidden="false" outlineLevel="0" max="1" min="1" style="148" width="10.57"/>
    <col collapsed="false" customWidth="true" hidden="false" outlineLevel="0" max="2" min="2" style="148" width="27.71"/>
    <col collapsed="false" customWidth="true" hidden="false" outlineLevel="0" max="3" min="3" style="148" width="14.42"/>
    <col collapsed="false" customWidth="true" hidden="false" outlineLevel="0" max="5" min="4" style="148" width="15"/>
    <col collapsed="false" customWidth="true" hidden="false" outlineLevel="0" max="6" min="6" style="662" width="16.71"/>
    <col collapsed="false" customWidth="true" hidden="false" outlineLevel="0" max="8" min="7" style="662" width="13.15"/>
    <col collapsed="false" customWidth="true" hidden="false" outlineLevel="0" max="10" min="9" style="662" width="12.57"/>
    <col collapsed="false" customWidth="false" hidden="false" outlineLevel="0" max="257" min="11" style="148" width="9.14"/>
    <col collapsed="false" customWidth="true" hidden="false" outlineLevel="0" max="258" min="258" style="148" width="10.57"/>
    <col collapsed="false" customWidth="true" hidden="false" outlineLevel="0" max="259" min="259" style="148" width="27.71"/>
    <col collapsed="false" customWidth="true" hidden="false" outlineLevel="0" max="260" min="260" style="148" width="14.42"/>
    <col collapsed="false" customWidth="true" hidden="false" outlineLevel="0" max="262" min="261" style="148" width="15"/>
    <col collapsed="false" customWidth="true" hidden="false" outlineLevel="0" max="263" min="263" style="148" width="16.71"/>
    <col collapsed="false" customWidth="true" hidden="false" outlineLevel="0" max="264" min="264" style="148" width="13.15"/>
    <col collapsed="false" customWidth="true" hidden="false" outlineLevel="0" max="266" min="265" style="148" width="12.57"/>
    <col collapsed="false" customWidth="false" hidden="false" outlineLevel="0" max="513" min="267" style="148" width="9.14"/>
    <col collapsed="false" customWidth="true" hidden="false" outlineLevel="0" max="514" min="514" style="148" width="10.57"/>
    <col collapsed="false" customWidth="true" hidden="false" outlineLevel="0" max="515" min="515" style="148" width="27.71"/>
    <col collapsed="false" customWidth="true" hidden="false" outlineLevel="0" max="516" min="516" style="148" width="14.42"/>
    <col collapsed="false" customWidth="true" hidden="false" outlineLevel="0" max="518" min="517" style="148" width="15"/>
    <col collapsed="false" customWidth="true" hidden="false" outlineLevel="0" max="519" min="519" style="148" width="16.71"/>
    <col collapsed="false" customWidth="true" hidden="false" outlineLevel="0" max="520" min="520" style="148" width="13.15"/>
    <col collapsed="false" customWidth="true" hidden="false" outlineLevel="0" max="522" min="521" style="148" width="12.57"/>
    <col collapsed="false" customWidth="false" hidden="false" outlineLevel="0" max="769" min="523" style="148" width="9.14"/>
    <col collapsed="false" customWidth="true" hidden="false" outlineLevel="0" max="770" min="770" style="148" width="10.57"/>
    <col collapsed="false" customWidth="true" hidden="false" outlineLevel="0" max="771" min="771" style="148" width="27.71"/>
    <col collapsed="false" customWidth="true" hidden="false" outlineLevel="0" max="772" min="772" style="148" width="14.42"/>
    <col collapsed="false" customWidth="true" hidden="false" outlineLevel="0" max="774" min="773" style="148" width="15"/>
    <col collapsed="false" customWidth="true" hidden="false" outlineLevel="0" max="775" min="775" style="148" width="16.71"/>
    <col collapsed="false" customWidth="true" hidden="false" outlineLevel="0" max="776" min="776" style="148" width="13.15"/>
    <col collapsed="false" customWidth="true" hidden="false" outlineLevel="0" max="778" min="777" style="148" width="12.57"/>
    <col collapsed="false" customWidth="false" hidden="false" outlineLevel="0" max="1024" min="779" style="148" width="9.14"/>
  </cols>
  <sheetData>
    <row r="1" customFormat="false" ht="15" hidden="false" customHeight="false" outlineLevel="0" collapsed="false">
      <c r="A1" s="663"/>
      <c r="B1" s="145" t="str">
        <f aca="false">INSTRUÇÕES!B1</f>
        <v>Tribunal Regional Federal da 6ª Região</v>
      </c>
      <c r="C1" s="664"/>
      <c r="D1" s="664"/>
      <c r="E1" s="664"/>
      <c r="F1" s="665"/>
      <c r="G1" s="666"/>
      <c r="H1" s="666"/>
      <c r="I1" s="665"/>
      <c r="J1" s="667"/>
    </row>
    <row r="2" customFormat="false" ht="15" hidden="false" customHeight="false" outlineLevel="0" collapsed="false">
      <c r="A2" s="668"/>
      <c r="B2" s="147" t="str">
        <f aca="false">INSTRUÇÕES!B2</f>
        <v>Seção Judiciária de Minas Gerais</v>
      </c>
      <c r="C2" s="669"/>
      <c r="D2" s="669"/>
      <c r="E2" s="669"/>
      <c r="F2" s="670"/>
      <c r="I2" s="670"/>
      <c r="J2" s="671"/>
    </row>
    <row r="3" customFormat="false" ht="15" hidden="false" customHeight="false" outlineLevel="0" collapsed="false">
      <c r="A3" s="672"/>
      <c r="B3" s="491" t="str">
        <f aca="false">INSTRUÇÕES!B3</f>
        <v>Subseção Judiciária de Juiz de Fora</v>
      </c>
      <c r="C3" s="669"/>
      <c r="D3" s="669"/>
      <c r="E3" s="669"/>
      <c r="F3" s="670"/>
      <c r="I3" s="670"/>
      <c r="J3" s="671"/>
    </row>
    <row r="4" customFormat="false" ht="19.5" hidden="false" customHeight="true" outlineLevel="0" collapsed="false">
      <c r="A4" s="673" t="s">
        <v>695</v>
      </c>
      <c r="B4" s="673"/>
      <c r="C4" s="673"/>
      <c r="D4" s="673"/>
      <c r="E4" s="673"/>
      <c r="F4" s="673"/>
      <c r="G4" s="673"/>
      <c r="H4" s="673"/>
      <c r="I4" s="673"/>
      <c r="J4" s="673"/>
    </row>
    <row r="5" customFormat="false" ht="19.5" hidden="false" customHeight="true" outlineLevel="0" collapsed="false">
      <c r="A5" s="674" t="s">
        <v>421</v>
      </c>
      <c r="B5" s="674"/>
      <c r="C5" s="674"/>
      <c r="D5" s="674"/>
      <c r="E5" s="674"/>
      <c r="F5" s="674"/>
      <c r="G5" s="674"/>
      <c r="H5" s="674"/>
      <c r="I5" s="674"/>
      <c r="J5" s="674"/>
    </row>
    <row r="6" customFormat="false" ht="36" hidden="false" customHeight="true" outlineLevel="0" collapsed="false">
      <c r="A6" s="675" t="str">
        <f aca="false">Dados!A4</f>
        <v>Sindicato utilizado - SINTEAC/JF. Vigência: 01/01/2023 à 31/12/2023. Sendo a data base da categoria 01º Janeiro. Com número de registro no MTE MG001725/2023.</v>
      </c>
      <c r="B6" s="675"/>
      <c r="C6" s="675"/>
      <c r="D6" s="675"/>
      <c r="E6" s="675"/>
      <c r="F6" s="675"/>
      <c r="G6" s="675"/>
      <c r="H6" s="675"/>
      <c r="I6" s="675"/>
      <c r="J6" s="675"/>
    </row>
    <row r="7" customFormat="false" ht="19.5" hidden="false" customHeight="true" outlineLevel="0" collapsed="false">
      <c r="A7" s="676" t="str">
        <f aca="false">Dados!C9</f>
        <v>Recepcionista</v>
      </c>
      <c r="B7" s="676"/>
      <c r="C7" s="676"/>
      <c r="D7" s="676"/>
      <c r="E7" s="676"/>
      <c r="F7" s="677" t="s">
        <v>696</v>
      </c>
      <c r="G7" s="677" t="s">
        <v>697</v>
      </c>
      <c r="H7" s="677" t="s">
        <v>698</v>
      </c>
      <c r="I7" s="677" t="s">
        <v>699</v>
      </c>
      <c r="J7" s="677" t="s">
        <v>700</v>
      </c>
    </row>
    <row r="8" customFormat="false" ht="19.5" hidden="false" customHeight="true" outlineLevel="0" collapsed="false">
      <c r="A8" s="678" t="s">
        <v>701</v>
      </c>
      <c r="B8" s="678"/>
      <c r="C8" s="678"/>
      <c r="D8" s="678"/>
      <c r="E8" s="679" t="s">
        <v>518</v>
      </c>
      <c r="F8" s="677"/>
      <c r="G8" s="677"/>
      <c r="H8" s="677"/>
      <c r="I8" s="677"/>
      <c r="J8" s="677"/>
    </row>
    <row r="9" customFormat="false" ht="19.5" hidden="false" customHeight="true" outlineLevel="0" collapsed="false">
      <c r="A9" s="680" t="s">
        <v>702</v>
      </c>
      <c r="B9" s="680"/>
      <c r="C9" s="680"/>
      <c r="D9" s="680"/>
      <c r="E9" s="680"/>
      <c r="F9" s="680"/>
      <c r="G9" s="680"/>
      <c r="H9" s="680"/>
      <c r="I9" s="680"/>
      <c r="J9" s="680"/>
    </row>
    <row r="10" customFormat="false" ht="24" hidden="false" customHeight="true" outlineLevel="0" collapsed="false">
      <c r="A10" s="681" t="s">
        <v>519</v>
      </c>
      <c r="B10" s="682" t="s">
        <v>703</v>
      </c>
      <c r="C10" s="682"/>
      <c r="D10" s="683" t="s">
        <v>704</v>
      </c>
      <c r="E10" s="684" t="s">
        <v>705</v>
      </c>
      <c r="F10" s="685" t="s">
        <v>522</v>
      </c>
      <c r="G10" s="685"/>
      <c r="H10" s="685"/>
      <c r="I10" s="685"/>
      <c r="J10" s="685"/>
    </row>
    <row r="11" customFormat="false" ht="19.5" hidden="false" customHeight="true" outlineLevel="0" collapsed="false">
      <c r="A11" s="686" t="n">
        <v>1</v>
      </c>
      <c r="B11" s="687" t="str">
        <f aca="false">A7</f>
        <v>Recepcionista</v>
      </c>
      <c r="C11" s="687"/>
      <c r="D11" s="688" t="n">
        <f aca="false">Dados!D9</f>
        <v>220</v>
      </c>
      <c r="E11" s="689" t="n">
        <f aca="false">Dados!$E$9</f>
        <v>2403.72</v>
      </c>
      <c r="F11" s="690" t="n">
        <f aca="false">ROUND(E11/220*D11,2)</f>
        <v>2403.72</v>
      </c>
      <c r="G11" s="690" t="n">
        <f aca="false">F11</f>
        <v>2403.72</v>
      </c>
      <c r="H11" s="690"/>
      <c r="I11" s="690"/>
      <c r="J11" s="691"/>
    </row>
    <row r="12" customFormat="false" ht="19.5" hidden="false" customHeight="true" outlineLevel="0" collapsed="false">
      <c r="A12" s="686"/>
      <c r="B12" s="687" t="s">
        <v>706</v>
      </c>
      <c r="C12" s="687"/>
      <c r="D12" s="692" t="n">
        <f aca="false">Dados!G9</f>
        <v>0</v>
      </c>
      <c r="E12" s="689" t="n">
        <f aca="false">Dados!$G$34</f>
        <v>1320</v>
      </c>
      <c r="F12" s="690" t="n">
        <f aca="false">D12*E12</f>
        <v>0</v>
      </c>
      <c r="G12" s="690" t="n">
        <f aca="false">F12</f>
        <v>0</v>
      </c>
      <c r="H12" s="690"/>
      <c r="I12" s="690"/>
      <c r="J12" s="691" t="n">
        <f aca="false">F12</f>
        <v>0</v>
      </c>
    </row>
    <row r="13" customFormat="false" ht="22.5" hidden="false" customHeight="true" outlineLevel="0" collapsed="false">
      <c r="A13" s="686"/>
      <c r="B13" s="693" t="s">
        <v>707</v>
      </c>
      <c r="C13" s="694" t="n">
        <f aca="false">Dados!$I$9</f>
        <v>0</v>
      </c>
      <c r="D13" s="694" t="n">
        <f aca="false">Dados!$J$9</f>
        <v>0</v>
      </c>
      <c r="E13" s="695" t="n">
        <f aca="false">Dados!$K$9</f>
        <v>0</v>
      </c>
      <c r="F13" s="696" t="n">
        <f aca="false">ROUND((E13*D13*C13),2)</f>
        <v>0</v>
      </c>
      <c r="G13" s="696" t="n">
        <f aca="false">F13</f>
        <v>0</v>
      </c>
      <c r="H13" s="696"/>
      <c r="I13" s="696"/>
      <c r="J13" s="697"/>
    </row>
    <row r="14" customFormat="false" ht="19.5" hidden="false" customHeight="true" outlineLevel="0" collapsed="false">
      <c r="A14" s="686"/>
      <c r="B14" s="698" t="s">
        <v>708</v>
      </c>
      <c r="C14" s="698"/>
      <c r="D14" s="698"/>
      <c r="E14" s="698"/>
      <c r="F14" s="699" t="n">
        <f aca="false">SUM(F11:F13)</f>
        <v>2403.72</v>
      </c>
      <c r="G14" s="699" t="n">
        <f aca="false">SUM(G11:G13)</f>
        <v>2403.72</v>
      </c>
      <c r="H14" s="699" t="n">
        <f aca="false">SUM(H11:H13)</f>
        <v>0</v>
      </c>
      <c r="I14" s="699" t="n">
        <f aca="false">SUM(I11:I13)</f>
        <v>0</v>
      </c>
      <c r="J14" s="700" t="n">
        <f aca="false">SUM(J11:J13)</f>
        <v>0</v>
      </c>
    </row>
    <row r="15" customFormat="false" ht="19.5" hidden="false" customHeight="true" outlineLevel="0" collapsed="false">
      <c r="A15" s="686"/>
      <c r="B15" s="701" t="s">
        <v>709</v>
      </c>
      <c r="C15" s="701"/>
      <c r="D15" s="701"/>
      <c r="E15" s="702" t="n">
        <f aca="false">Encargos!$C$57</f>
        <v>0.7905</v>
      </c>
      <c r="F15" s="690" t="n">
        <f aca="false">ROUND((E15*F14),2)</f>
        <v>1900.14</v>
      </c>
      <c r="G15" s="690" t="n">
        <f aca="false">F15</f>
        <v>1900.14</v>
      </c>
      <c r="H15" s="690"/>
      <c r="I15" s="690"/>
      <c r="J15" s="691" t="n">
        <f aca="false">ROUND((E15*J14),2)</f>
        <v>0</v>
      </c>
    </row>
    <row r="16" customFormat="false" ht="19.5" hidden="false" customHeight="true" outlineLevel="0" collapsed="false">
      <c r="A16" s="703" t="s">
        <v>710</v>
      </c>
      <c r="B16" s="703"/>
      <c r="C16" s="703"/>
      <c r="D16" s="703"/>
      <c r="E16" s="703"/>
      <c r="F16" s="704" t="n">
        <f aca="false">SUM(F14:F15)</f>
        <v>4303.86</v>
      </c>
      <c r="G16" s="704" t="n">
        <f aca="false">SUM(G14:G15)</f>
        <v>4303.86</v>
      </c>
      <c r="H16" s="704" t="n">
        <f aca="false">SUM(H14:H15)</f>
        <v>0</v>
      </c>
      <c r="I16" s="704" t="n">
        <f aca="false">SUM(I14:I15)</f>
        <v>0</v>
      </c>
      <c r="J16" s="705" t="n">
        <f aca="false">SUM(J14:J15)</f>
        <v>0</v>
      </c>
    </row>
    <row r="17" customFormat="false" ht="19.5" hidden="false" customHeight="true" outlineLevel="0" collapsed="false">
      <c r="A17" s="706" t="s">
        <v>711</v>
      </c>
      <c r="B17" s="706"/>
      <c r="C17" s="706"/>
      <c r="D17" s="706"/>
      <c r="E17" s="706"/>
      <c r="F17" s="706"/>
      <c r="G17" s="706"/>
      <c r="H17" s="706"/>
      <c r="I17" s="706"/>
      <c r="J17" s="706"/>
    </row>
    <row r="18" customFormat="false" ht="19.5" hidden="false" customHeight="true" outlineLevel="0" collapsed="false">
      <c r="A18" s="707" t="s">
        <v>712</v>
      </c>
      <c r="B18" s="707"/>
      <c r="C18" s="708" t="s">
        <v>521</v>
      </c>
      <c r="D18" s="708" t="s">
        <v>713</v>
      </c>
      <c r="E18" s="708"/>
      <c r="F18" s="709" t="s">
        <v>522</v>
      </c>
      <c r="G18" s="709"/>
      <c r="H18" s="709"/>
      <c r="I18" s="709"/>
      <c r="J18" s="709"/>
    </row>
    <row r="19" customFormat="false" ht="19.5" hidden="false" customHeight="true" outlineLevel="0" collapsed="false">
      <c r="A19" s="710" t="s">
        <v>714</v>
      </c>
      <c r="B19" s="710"/>
      <c r="C19" s="711"/>
      <c r="D19" s="711"/>
      <c r="E19" s="711"/>
      <c r="F19" s="690" t="n">
        <f aca="false">Dados!N9</f>
        <v>38.98</v>
      </c>
      <c r="G19" s="690" t="n">
        <f aca="false">F19</f>
        <v>38.98</v>
      </c>
      <c r="H19" s="690"/>
      <c r="I19" s="690"/>
      <c r="J19" s="691"/>
    </row>
    <row r="20" customFormat="false" ht="19.5" hidden="false" customHeight="true" outlineLevel="0" collapsed="false">
      <c r="A20" s="710" t="s">
        <v>715</v>
      </c>
      <c r="B20" s="710"/>
      <c r="C20" s="711"/>
      <c r="D20" s="711"/>
      <c r="E20" s="711"/>
      <c r="F20" s="690" t="n">
        <f aca="false">Dados!G37</f>
        <v>1.55</v>
      </c>
      <c r="G20" s="690" t="n">
        <f aca="false">F20</f>
        <v>1.55</v>
      </c>
      <c r="H20" s="690"/>
      <c r="I20" s="690"/>
      <c r="J20" s="691"/>
    </row>
    <row r="21" customFormat="false" ht="23.25" hidden="false" customHeight="true" outlineLevel="0" collapsed="false">
      <c r="A21" s="712" t="s">
        <v>354</v>
      </c>
      <c r="B21" s="712"/>
      <c r="C21" s="711"/>
      <c r="D21" s="711"/>
      <c r="E21" s="711"/>
      <c r="F21" s="690" t="n">
        <f aca="false">Dados!G38</f>
        <v>50.36</v>
      </c>
      <c r="G21" s="690" t="n">
        <f aca="false">F21</f>
        <v>50.36</v>
      </c>
      <c r="H21" s="690"/>
      <c r="I21" s="690"/>
      <c r="J21" s="691"/>
    </row>
    <row r="22" customFormat="false" ht="19.5" hidden="false" customHeight="true" outlineLevel="0" collapsed="false">
      <c r="A22" s="710" t="s">
        <v>355</v>
      </c>
      <c r="B22" s="710"/>
      <c r="C22" s="713" t="n">
        <f aca="false">Dados!$G$41</f>
        <v>22</v>
      </c>
      <c r="D22" s="713" t="n">
        <f aca="false">Dados!$G$40</f>
        <v>2</v>
      </c>
      <c r="E22" s="714" t="n">
        <f aca="false">Dados!$G$39</f>
        <v>3.75</v>
      </c>
      <c r="F22" s="690" t="n">
        <f aca="false">IF(ROUND((E22*D22*C22)-(F11*Dados!G42),2)&lt;0,0,ROUND((E22*D22*C22)-(F11*Dados!G42),2))</f>
        <v>20.78</v>
      </c>
      <c r="G22" s="690" t="n">
        <f aca="false">F22</f>
        <v>20.78</v>
      </c>
      <c r="H22" s="690"/>
      <c r="I22" s="690" t="n">
        <f aca="false">F22</f>
        <v>20.78</v>
      </c>
      <c r="J22" s="691"/>
    </row>
    <row r="23" customFormat="false" ht="19.5" hidden="false" customHeight="true" outlineLevel="0" collapsed="false">
      <c r="A23" s="710" t="s">
        <v>364</v>
      </c>
      <c r="B23" s="710"/>
      <c r="C23" s="713" t="n">
        <f aca="false">Dados!G45</f>
        <v>22</v>
      </c>
      <c r="D23" s="715" t="n">
        <f aca="false">Dados!G46</f>
        <v>0.2</v>
      </c>
      <c r="E23" s="714" t="n">
        <f aca="false">Dados!G43</f>
        <v>26</v>
      </c>
      <c r="F23" s="716" t="n">
        <f aca="false">ROUND((IF(D11&gt;150,((C23*E23)-(C23*(D23*E23))),0)),2)</f>
        <v>457.6</v>
      </c>
      <c r="G23" s="690" t="n">
        <f aca="false">F23</f>
        <v>457.6</v>
      </c>
      <c r="H23" s="690" t="n">
        <f aca="false">$F$23</f>
        <v>457.6</v>
      </c>
      <c r="I23" s="716"/>
      <c r="J23" s="691"/>
    </row>
    <row r="24" customFormat="false" ht="19.5" hidden="false" customHeight="true" outlineLevel="0" collapsed="false">
      <c r="A24" s="710" t="s">
        <v>368</v>
      </c>
      <c r="B24" s="710"/>
      <c r="C24" s="713"/>
      <c r="D24" s="713"/>
      <c r="E24" s="714"/>
      <c r="F24" s="716" t="n">
        <f aca="false">Dados!G47</f>
        <v>0</v>
      </c>
      <c r="G24" s="690"/>
      <c r="H24" s="690"/>
      <c r="I24" s="716"/>
      <c r="J24" s="691"/>
    </row>
    <row r="25" customFormat="false" ht="19.5" hidden="false" customHeight="true" outlineLevel="0" collapsed="false">
      <c r="A25" s="710" t="s">
        <v>368</v>
      </c>
      <c r="B25" s="710"/>
      <c r="C25" s="713"/>
      <c r="D25" s="713"/>
      <c r="E25" s="714"/>
      <c r="F25" s="716" t="n">
        <f aca="false">Dados!G48</f>
        <v>0</v>
      </c>
      <c r="G25" s="690"/>
      <c r="H25" s="690"/>
      <c r="I25" s="716"/>
      <c r="J25" s="691"/>
    </row>
    <row r="26" customFormat="false" ht="19.5" hidden="false" customHeight="true" outlineLevel="0" collapsed="false">
      <c r="A26" s="710" t="s">
        <v>716</v>
      </c>
      <c r="B26" s="710"/>
      <c r="C26" s="713"/>
      <c r="D26" s="714"/>
      <c r="E26" s="714"/>
      <c r="F26" s="690"/>
      <c r="G26" s="690"/>
      <c r="H26" s="690"/>
      <c r="I26" s="690"/>
      <c r="J26" s="691"/>
      <c r="L26" s="717"/>
    </row>
    <row r="27" customFormat="false" ht="19.5" hidden="false" customHeight="true" outlineLevel="0" collapsed="false">
      <c r="A27" s="710" t="s">
        <v>717</v>
      </c>
      <c r="B27" s="718"/>
      <c r="C27" s="713"/>
      <c r="D27" s="714"/>
      <c r="E27" s="714"/>
      <c r="F27" s="690" t="n">
        <f aca="false">Dados!R9</f>
        <v>0</v>
      </c>
      <c r="G27" s="690"/>
      <c r="H27" s="690"/>
      <c r="I27" s="690"/>
      <c r="J27" s="691"/>
    </row>
    <row r="28" customFormat="false" ht="19.5" hidden="false" customHeight="true" outlineLevel="0" collapsed="false">
      <c r="A28" s="719" t="s">
        <v>718</v>
      </c>
      <c r="B28" s="719"/>
      <c r="C28" s="720"/>
      <c r="D28" s="721"/>
      <c r="E28" s="721"/>
      <c r="F28" s="696" t="n">
        <f aca="false">Dados!T9</f>
        <v>0</v>
      </c>
      <c r="G28" s="696" t="n">
        <f aca="false">F28</f>
        <v>0</v>
      </c>
      <c r="H28" s="696"/>
      <c r="I28" s="696"/>
      <c r="J28" s="697"/>
    </row>
    <row r="29" customFormat="false" ht="19.5" hidden="false" customHeight="true" outlineLevel="0" collapsed="false">
      <c r="A29" s="722" t="s">
        <v>719</v>
      </c>
      <c r="B29" s="722"/>
      <c r="C29" s="722"/>
      <c r="D29" s="722"/>
      <c r="E29" s="722"/>
      <c r="F29" s="704" t="n">
        <f aca="false">SUM(F19:F28)</f>
        <v>569.27</v>
      </c>
      <c r="G29" s="704" t="n">
        <f aca="false">SUM(G19:G28)</f>
        <v>569.27</v>
      </c>
      <c r="H29" s="704" t="n">
        <f aca="false">SUM(H19:H28)</f>
        <v>457.6</v>
      </c>
      <c r="I29" s="704" t="n">
        <f aca="false">SUM(I19:I28)</f>
        <v>20.78</v>
      </c>
      <c r="J29" s="705" t="n">
        <f aca="false">SUM(J19:J28)</f>
        <v>0</v>
      </c>
    </row>
    <row r="30" customFormat="false" ht="19.5" hidden="false" customHeight="true" outlineLevel="0" collapsed="false">
      <c r="A30" s="722" t="s">
        <v>720</v>
      </c>
      <c r="B30" s="722"/>
      <c r="C30" s="722"/>
      <c r="D30" s="722"/>
      <c r="E30" s="722"/>
      <c r="F30" s="704" t="n">
        <f aca="false">F16+F29</f>
        <v>4873.13</v>
      </c>
      <c r="G30" s="704" t="n">
        <f aca="false">G16+G29</f>
        <v>4873.13</v>
      </c>
      <c r="H30" s="704" t="n">
        <f aca="false">H16+H29</f>
        <v>457.6</v>
      </c>
      <c r="I30" s="704" t="n">
        <f aca="false">I16+I29</f>
        <v>20.78</v>
      </c>
      <c r="J30" s="705" t="n">
        <f aca="false">J16+J29</f>
        <v>0</v>
      </c>
    </row>
    <row r="31" customFormat="false" ht="19.5" hidden="false" customHeight="true" outlineLevel="0" collapsed="false">
      <c r="A31" s="680" t="s">
        <v>721</v>
      </c>
      <c r="B31" s="680"/>
      <c r="C31" s="680"/>
      <c r="D31" s="680"/>
      <c r="E31" s="680"/>
      <c r="F31" s="680"/>
      <c r="G31" s="680"/>
      <c r="H31" s="680"/>
      <c r="I31" s="680"/>
      <c r="J31" s="680"/>
    </row>
    <row r="32" customFormat="false" ht="19.5" hidden="false" customHeight="true" outlineLevel="0" collapsed="false">
      <c r="A32" s="707" t="s">
        <v>722</v>
      </c>
      <c r="B32" s="707"/>
      <c r="C32" s="707"/>
      <c r="D32" s="723" t="s">
        <v>622</v>
      </c>
      <c r="E32" s="724" t="s">
        <v>522</v>
      </c>
      <c r="F32" s="724"/>
      <c r="G32" s="724"/>
      <c r="H32" s="724"/>
      <c r="I32" s="724"/>
      <c r="J32" s="724"/>
    </row>
    <row r="33" customFormat="false" ht="19.5" hidden="false" customHeight="true" outlineLevel="0" collapsed="false">
      <c r="A33" s="725" t="s">
        <v>723</v>
      </c>
      <c r="B33" s="726"/>
      <c r="C33" s="726"/>
      <c r="D33" s="727" t="n">
        <f aca="false">Dados!$G$51</f>
        <v>0.03</v>
      </c>
      <c r="E33" s="728"/>
      <c r="F33" s="690" t="n">
        <f aca="false">ROUND((F30*$D$33),2)</f>
        <v>146.19</v>
      </c>
      <c r="G33" s="690" t="n">
        <f aca="false">ROUND((G30*$D$33),2)</f>
        <v>146.19</v>
      </c>
      <c r="H33" s="690" t="n">
        <f aca="false">ROUND((H30*$D$33),2)</f>
        <v>13.73</v>
      </c>
      <c r="I33" s="690" t="n">
        <f aca="false">ROUND((I30*$D$33),2)</f>
        <v>0.62</v>
      </c>
      <c r="J33" s="691" t="n">
        <f aca="false">ROUND((J30*$D$33),2)</f>
        <v>0</v>
      </c>
    </row>
    <row r="34" customFormat="false" ht="19.5" hidden="false" customHeight="true" outlineLevel="0" collapsed="false">
      <c r="A34" s="729" t="s">
        <v>724</v>
      </c>
      <c r="B34" s="729"/>
      <c r="C34" s="729"/>
      <c r="D34" s="727"/>
      <c r="E34" s="728"/>
      <c r="F34" s="690" t="n">
        <f aca="false">F30+F33</f>
        <v>5019.32</v>
      </c>
      <c r="G34" s="690" t="n">
        <f aca="false">G30+G33</f>
        <v>5019.32</v>
      </c>
      <c r="H34" s="690" t="n">
        <f aca="false">H30+H33</f>
        <v>471.33</v>
      </c>
      <c r="I34" s="690" t="n">
        <f aca="false">I30+I33</f>
        <v>21.4</v>
      </c>
      <c r="J34" s="691" t="n">
        <f aca="false">J30+J33</f>
        <v>0</v>
      </c>
    </row>
    <row r="35" customFormat="false" ht="19.5" hidden="false" customHeight="true" outlineLevel="0" collapsed="false">
      <c r="A35" s="730" t="s">
        <v>373</v>
      </c>
      <c r="B35" s="731"/>
      <c r="C35" s="731"/>
      <c r="D35" s="732" t="n">
        <f aca="false">Dados!$G$52</f>
        <v>0.0679</v>
      </c>
      <c r="E35" s="733"/>
      <c r="F35" s="696" t="n">
        <f aca="false">ROUND((F34*$D$35),2)</f>
        <v>340.81</v>
      </c>
      <c r="G35" s="696" t="n">
        <f aca="false">ROUND((G34*$D$35),2)</f>
        <v>340.81</v>
      </c>
      <c r="H35" s="696" t="n">
        <f aca="false">ROUND((H34*$D$35),2)</f>
        <v>32</v>
      </c>
      <c r="I35" s="696" t="n">
        <f aca="false">ROUND((I34*$D$35),2)</f>
        <v>1.45</v>
      </c>
      <c r="J35" s="697" t="n">
        <f aca="false">ROUND((J34*$D$35),2)</f>
        <v>0</v>
      </c>
    </row>
    <row r="36" customFormat="false" ht="19.5" hidden="false" customHeight="true" outlineLevel="0" collapsed="false">
      <c r="A36" s="734" t="s">
        <v>725</v>
      </c>
      <c r="B36" s="735"/>
      <c r="C36" s="735"/>
      <c r="D36" s="736" t="n">
        <f aca="false">SUM(D33:D35)</f>
        <v>0.0979</v>
      </c>
      <c r="E36" s="737"/>
      <c r="F36" s="704" t="n">
        <f aca="false">F33+F35</f>
        <v>487</v>
      </c>
      <c r="G36" s="704" t="n">
        <f aca="false">G33+G35</f>
        <v>487</v>
      </c>
      <c r="H36" s="704" t="n">
        <f aca="false">H33+H35</f>
        <v>45.73</v>
      </c>
      <c r="I36" s="704" t="n">
        <f aca="false">I33+I35</f>
        <v>2.07</v>
      </c>
      <c r="J36" s="705" t="n">
        <f aca="false">J33+J35</f>
        <v>0</v>
      </c>
    </row>
    <row r="37" customFormat="false" ht="19.5" hidden="false" customHeight="true" outlineLevel="0" collapsed="false">
      <c r="A37" s="738" t="s">
        <v>726</v>
      </c>
      <c r="B37" s="738"/>
      <c r="C37" s="738"/>
      <c r="D37" s="738"/>
      <c r="E37" s="738"/>
      <c r="F37" s="739" t="n">
        <f aca="false">F30+F36</f>
        <v>5360.13</v>
      </c>
      <c r="G37" s="739" t="n">
        <f aca="false">G30+G36</f>
        <v>5360.13</v>
      </c>
      <c r="H37" s="739" t="n">
        <f aca="false">H30+H36</f>
        <v>503.33</v>
      </c>
      <c r="I37" s="739" t="n">
        <f aca="false">I30+I36</f>
        <v>22.85</v>
      </c>
      <c r="J37" s="740" t="n">
        <f aca="false">J30+J36</f>
        <v>0</v>
      </c>
    </row>
    <row r="38" customFormat="false" ht="19.5" hidden="false" customHeight="true" outlineLevel="0" collapsed="false">
      <c r="A38" s="741" t="s">
        <v>727</v>
      </c>
      <c r="B38" s="741"/>
      <c r="C38" s="741"/>
      <c r="D38" s="741"/>
      <c r="E38" s="741"/>
      <c r="F38" s="741"/>
      <c r="G38" s="741"/>
      <c r="H38" s="741"/>
      <c r="I38" s="741"/>
      <c r="J38" s="741"/>
    </row>
    <row r="39" customFormat="false" ht="19.5" hidden="false" customHeight="true" outlineLevel="0" collapsed="false">
      <c r="A39" s="710" t="s">
        <v>379</v>
      </c>
      <c r="B39" s="710"/>
      <c r="C39" s="710"/>
      <c r="D39" s="727" t="n">
        <f aca="false">Dados!G59</f>
        <v>0.076</v>
      </c>
      <c r="E39" s="742"/>
      <c r="F39" s="690" t="n">
        <f aca="false">ROUND(($F$45*D39),2)</f>
        <v>475.07</v>
      </c>
      <c r="G39" s="690" t="n">
        <f aca="false">ROUND((G45*$D$39),2)</f>
        <v>475.07</v>
      </c>
      <c r="H39" s="690" t="n">
        <f aca="false">ROUND((H45*$D$39),2)</f>
        <v>38.25</v>
      </c>
      <c r="I39" s="690" t="n">
        <f aca="false">ROUND((I45*$D$39),2)</f>
        <v>2.03</v>
      </c>
      <c r="J39" s="691" t="n">
        <f aca="false">ROUND((J45*$D$39),2)</f>
        <v>0</v>
      </c>
    </row>
    <row r="40" customFormat="false" ht="19.5" hidden="false" customHeight="true" outlineLevel="0" collapsed="false">
      <c r="A40" s="710" t="s">
        <v>381</v>
      </c>
      <c r="B40" s="710"/>
      <c r="C40" s="710"/>
      <c r="D40" s="727" t="n">
        <f aca="false">Dados!G60</f>
        <v>0.0165</v>
      </c>
      <c r="E40" s="742"/>
      <c r="F40" s="690" t="n">
        <f aca="false">ROUND((F45*$D$40),2)</f>
        <v>103.14</v>
      </c>
      <c r="G40" s="690" t="n">
        <f aca="false">ROUND((G45*$D$40),2)</f>
        <v>103.14</v>
      </c>
      <c r="H40" s="690" t="n">
        <f aca="false">ROUND((H45*$D$40),2)</f>
        <v>8.3</v>
      </c>
      <c r="I40" s="690" t="n">
        <f aca="false">ROUND((I45*$D$40),2)</f>
        <v>0.44</v>
      </c>
      <c r="J40" s="691" t="n">
        <f aca="false">ROUND((J45*$D$40),2)</f>
        <v>0</v>
      </c>
    </row>
    <row r="41" customFormat="false" ht="19.5" hidden="false" customHeight="true" outlineLevel="0" collapsed="false">
      <c r="A41" s="710" t="str">
        <f aca="false">Dados!B62</f>
        <v>ISSQN - Serviços Administrativos</v>
      </c>
      <c r="B41" s="710"/>
      <c r="C41" s="710"/>
      <c r="D41" s="727" t="n">
        <f aca="false">Dados!G62</f>
        <v>0.05</v>
      </c>
      <c r="E41" s="742"/>
      <c r="F41" s="690" t="n">
        <f aca="false">ROUND((F45*$D$41),2)</f>
        <v>312.54</v>
      </c>
      <c r="G41" s="690" t="n">
        <f aca="false">ROUND((G45*$D$41),2)</f>
        <v>312.54</v>
      </c>
      <c r="H41" s="690" t="n">
        <f aca="false">ROUND((H45*$D$41),2)</f>
        <v>25.17</v>
      </c>
      <c r="I41" s="690" t="n">
        <f aca="false">ROUND((I45*$D$41),2)</f>
        <v>1.33</v>
      </c>
      <c r="J41" s="691" t="n">
        <f aca="false">ROUND((J45*$D$41),2)</f>
        <v>0</v>
      </c>
    </row>
    <row r="42" customFormat="false" ht="19.5" hidden="false" customHeight="true" outlineLevel="0" collapsed="false">
      <c r="A42" s="710" t="s">
        <v>368</v>
      </c>
      <c r="B42" s="710"/>
      <c r="C42" s="710"/>
      <c r="D42" s="727" t="n">
        <f aca="false">Dados!G63</f>
        <v>0</v>
      </c>
      <c r="E42" s="742"/>
      <c r="F42" s="690" t="n">
        <f aca="false">ROUND((F45*$D$42),2)</f>
        <v>0</v>
      </c>
      <c r="G42" s="690" t="n">
        <f aca="false">ROUND((G45*$D$42),2)</f>
        <v>0</v>
      </c>
      <c r="H42" s="690" t="n">
        <f aca="false">ROUND((H45*$D$42),2)</f>
        <v>0</v>
      </c>
      <c r="I42" s="690" t="n">
        <f aca="false">ROUND((I45*$D$42),2)</f>
        <v>0</v>
      </c>
      <c r="J42" s="691" t="n">
        <f aca="false">ROUND((J45*$D$42),2)</f>
        <v>0</v>
      </c>
    </row>
    <row r="43" customFormat="false" ht="19.5" hidden="false" customHeight="true" outlineLevel="0" collapsed="false">
      <c r="A43" s="743" t="s">
        <v>728</v>
      </c>
      <c r="B43" s="743"/>
      <c r="C43" s="743"/>
      <c r="D43" s="744" t="n">
        <f aca="false">SUM(D39:D42)</f>
        <v>0.1425</v>
      </c>
      <c r="E43" s="745"/>
      <c r="F43" s="746" t="n">
        <f aca="false">SUM(F39:F42)</f>
        <v>890.75</v>
      </c>
      <c r="G43" s="746" t="n">
        <f aca="false">SUM(G39:G42)</f>
        <v>890.75</v>
      </c>
      <c r="H43" s="746" t="n">
        <f aca="false">SUM(H39:H42)</f>
        <v>71.72</v>
      </c>
      <c r="I43" s="746" t="n">
        <f aca="false">SUM(I39:I42)</f>
        <v>3.8</v>
      </c>
      <c r="J43" s="747" t="n">
        <f aca="false">SUM(J39:J41)</f>
        <v>0</v>
      </c>
    </row>
    <row r="44" customFormat="false" ht="19.5" hidden="false" customHeight="true" outlineLevel="0" collapsed="false">
      <c r="A44" s="748" t="str">
        <f aca="false">CONCATENATE("Custo Mensal - ",A7)</f>
        <v>Custo Mensal - Recepcionista</v>
      </c>
      <c r="B44" s="748"/>
      <c r="C44" s="748"/>
      <c r="D44" s="748"/>
      <c r="E44" s="748"/>
      <c r="F44" s="749" t="n">
        <f aca="false">ROUND(F37/(1-D43),2)</f>
        <v>6250.88</v>
      </c>
      <c r="G44" s="749" t="n">
        <f aca="false">ROUND(G37/(1-D43),2)</f>
        <v>6250.88</v>
      </c>
      <c r="H44" s="749" t="n">
        <f aca="false">ROUND(H37/(1-C43),2)</f>
        <v>503.33</v>
      </c>
      <c r="I44" s="749" t="n">
        <f aca="false">ROUND(I37/(1-D43),2)</f>
        <v>26.65</v>
      </c>
      <c r="J44" s="750" t="n">
        <f aca="false">ROUND(J37/(1-D43),2)</f>
        <v>0</v>
      </c>
    </row>
    <row r="45" customFormat="false" ht="19.5" hidden="false" customHeight="true" outlineLevel="0" collapsed="false">
      <c r="A45" s="751" t="str">
        <f aca="false">CONCATENATE("Valor do Custo Mensal - ",A7)</f>
        <v>Valor do Custo Mensal - Recepcionista</v>
      </c>
      <c r="B45" s="751"/>
      <c r="C45" s="751"/>
      <c r="D45" s="751"/>
      <c r="E45" s="751"/>
      <c r="F45" s="749" t="n">
        <f aca="false">F44</f>
        <v>6250.88</v>
      </c>
      <c r="G45" s="749" t="n">
        <f aca="false">G44</f>
        <v>6250.88</v>
      </c>
      <c r="H45" s="749" t="n">
        <f aca="false">H44</f>
        <v>503.33</v>
      </c>
      <c r="I45" s="749" t="n">
        <f aca="false">I44</f>
        <v>26.65</v>
      </c>
      <c r="J45" s="750" t="n">
        <f aca="false">J44</f>
        <v>0</v>
      </c>
      <c r="K45" s="752"/>
      <c r="L45" s="752"/>
    </row>
    <row r="46" customFormat="false" ht="27.75" hidden="false" customHeight="true" outlineLevel="0" collapsed="false">
      <c r="A46" s="753" t="s">
        <v>729</v>
      </c>
      <c r="B46" s="753"/>
      <c r="C46" s="753"/>
      <c r="D46" s="753"/>
      <c r="E46" s="753"/>
      <c r="F46" s="754" t="n">
        <f aca="false">(F45/F14)</f>
        <v>2.60050255437405</v>
      </c>
      <c r="G46" s="754" t="n">
        <f aca="false">(G45/G14)</f>
        <v>2.60050255437405</v>
      </c>
      <c r="H46" s="755" t="s">
        <v>730</v>
      </c>
      <c r="I46" s="755"/>
      <c r="J46" s="756" t="n">
        <v>0</v>
      </c>
    </row>
    <row r="47" customFormat="false" ht="19.5" hidden="false" customHeight="true" outlineLevel="0" collapsed="false"/>
  </sheetData>
  <sheetProtection sheet="true" password="c494" objects="true" scenarios="true"/>
  <mergeCells count="49">
    <mergeCell ref="A4:J4"/>
    <mergeCell ref="A5:J5"/>
    <mergeCell ref="A6:J6"/>
    <mergeCell ref="A7:E7"/>
    <mergeCell ref="F7:F8"/>
    <mergeCell ref="G7:G8"/>
    <mergeCell ref="H7:H8"/>
    <mergeCell ref="I7:I8"/>
    <mergeCell ref="J7:J8"/>
    <mergeCell ref="A8:D8"/>
    <mergeCell ref="A9:J9"/>
    <mergeCell ref="B10:C10"/>
    <mergeCell ref="F10:J10"/>
    <mergeCell ref="A11:A15"/>
    <mergeCell ref="B11:C11"/>
    <mergeCell ref="B12:C12"/>
    <mergeCell ref="B14:E14"/>
    <mergeCell ref="B15:D15"/>
    <mergeCell ref="A16:E16"/>
    <mergeCell ref="A17:J17"/>
    <mergeCell ref="A18:B18"/>
    <mergeCell ref="D18:E18"/>
    <mergeCell ref="F18:J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E29"/>
    <mergeCell ref="A30:E30"/>
    <mergeCell ref="A31:J31"/>
    <mergeCell ref="A32:C32"/>
    <mergeCell ref="E32:J32"/>
    <mergeCell ref="A34:C34"/>
    <mergeCell ref="A37:E37"/>
    <mergeCell ref="A38:J38"/>
    <mergeCell ref="A39:C39"/>
    <mergeCell ref="A40:C40"/>
    <mergeCell ref="A41:C41"/>
    <mergeCell ref="A42:C42"/>
    <mergeCell ref="A43:C43"/>
    <mergeCell ref="A44:E44"/>
    <mergeCell ref="A45:E45"/>
    <mergeCell ref="A46:E46"/>
    <mergeCell ref="H46:I4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6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2" activeCellId="0" sqref="A42"/>
    </sheetView>
  </sheetViews>
  <sheetFormatPr defaultColWidth="9.1484375" defaultRowHeight="15" zeroHeight="false" outlineLevelRow="0" outlineLevelCol="0"/>
  <cols>
    <col collapsed="false" customWidth="true" hidden="false" outlineLevel="0" max="1" min="1" style="148" width="10.57"/>
    <col collapsed="false" customWidth="true" hidden="false" outlineLevel="0" max="2" min="2" style="148" width="27.71"/>
    <col collapsed="false" customWidth="true" hidden="false" outlineLevel="0" max="3" min="3" style="148" width="14.42"/>
    <col collapsed="false" customWidth="true" hidden="false" outlineLevel="0" max="5" min="4" style="148" width="15"/>
    <col collapsed="false" customWidth="true" hidden="false" outlineLevel="0" max="6" min="6" style="662" width="16.71"/>
    <col collapsed="false" customWidth="true" hidden="false" outlineLevel="0" max="8" min="7" style="662" width="13.15"/>
    <col collapsed="false" customWidth="true" hidden="false" outlineLevel="0" max="10" min="9" style="662" width="12.57"/>
    <col collapsed="false" customWidth="false" hidden="false" outlineLevel="0" max="257" min="11" style="148" width="9.14"/>
    <col collapsed="false" customWidth="true" hidden="false" outlineLevel="0" max="258" min="258" style="148" width="10.57"/>
    <col collapsed="false" customWidth="true" hidden="false" outlineLevel="0" max="259" min="259" style="148" width="27.71"/>
    <col collapsed="false" customWidth="true" hidden="false" outlineLevel="0" max="260" min="260" style="148" width="14.42"/>
    <col collapsed="false" customWidth="true" hidden="false" outlineLevel="0" max="262" min="261" style="148" width="15"/>
    <col collapsed="false" customWidth="true" hidden="false" outlineLevel="0" max="263" min="263" style="148" width="16.71"/>
    <col collapsed="false" customWidth="true" hidden="false" outlineLevel="0" max="264" min="264" style="148" width="13.15"/>
    <col collapsed="false" customWidth="true" hidden="false" outlineLevel="0" max="266" min="265" style="148" width="12.57"/>
    <col collapsed="false" customWidth="false" hidden="false" outlineLevel="0" max="513" min="267" style="148" width="9.14"/>
    <col collapsed="false" customWidth="true" hidden="false" outlineLevel="0" max="514" min="514" style="148" width="10.57"/>
    <col collapsed="false" customWidth="true" hidden="false" outlineLevel="0" max="515" min="515" style="148" width="27.71"/>
    <col collapsed="false" customWidth="true" hidden="false" outlineLevel="0" max="516" min="516" style="148" width="14.42"/>
    <col collapsed="false" customWidth="true" hidden="false" outlineLevel="0" max="518" min="517" style="148" width="15"/>
    <col collapsed="false" customWidth="true" hidden="false" outlineLevel="0" max="519" min="519" style="148" width="16.71"/>
    <col collapsed="false" customWidth="true" hidden="false" outlineLevel="0" max="520" min="520" style="148" width="13.15"/>
    <col collapsed="false" customWidth="true" hidden="false" outlineLevel="0" max="522" min="521" style="148" width="12.57"/>
    <col collapsed="false" customWidth="false" hidden="false" outlineLevel="0" max="769" min="523" style="148" width="9.14"/>
    <col collapsed="false" customWidth="true" hidden="false" outlineLevel="0" max="770" min="770" style="148" width="10.57"/>
    <col collapsed="false" customWidth="true" hidden="false" outlineLevel="0" max="771" min="771" style="148" width="27.71"/>
    <col collapsed="false" customWidth="true" hidden="false" outlineLevel="0" max="772" min="772" style="148" width="14.42"/>
    <col collapsed="false" customWidth="true" hidden="false" outlineLevel="0" max="774" min="773" style="148" width="15"/>
    <col collapsed="false" customWidth="true" hidden="false" outlineLevel="0" max="775" min="775" style="148" width="16.71"/>
    <col collapsed="false" customWidth="true" hidden="false" outlineLevel="0" max="776" min="776" style="148" width="13.15"/>
    <col collapsed="false" customWidth="true" hidden="false" outlineLevel="0" max="778" min="777" style="148" width="12.57"/>
    <col collapsed="false" customWidth="false" hidden="false" outlineLevel="0" max="1024" min="779" style="148" width="9.14"/>
  </cols>
  <sheetData>
    <row r="1" customFormat="false" ht="15" hidden="false" customHeight="false" outlineLevel="0" collapsed="false">
      <c r="A1" s="663"/>
      <c r="B1" s="145" t="str">
        <f aca="false">INSTRUÇÕES!B1</f>
        <v>Tribunal Regional Federal da 6ª Região</v>
      </c>
      <c r="C1" s="664"/>
      <c r="D1" s="664"/>
      <c r="E1" s="664"/>
      <c r="F1" s="665"/>
      <c r="G1" s="666"/>
      <c r="H1" s="666"/>
      <c r="I1" s="665"/>
      <c r="J1" s="667"/>
    </row>
    <row r="2" customFormat="false" ht="15" hidden="false" customHeight="false" outlineLevel="0" collapsed="false">
      <c r="A2" s="668"/>
      <c r="B2" s="147" t="str">
        <f aca="false">INSTRUÇÕES!B2</f>
        <v>Seção Judiciária de Minas Gerais</v>
      </c>
      <c r="C2" s="669"/>
      <c r="D2" s="669"/>
      <c r="E2" s="669"/>
      <c r="F2" s="670"/>
      <c r="I2" s="670"/>
      <c r="J2" s="671"/>
    </row>
    <row r="3" customFormat="false" ht="15" hidden="false" customHeight="false" outlineLevel="0" collapsed="false">
      <c r="A3" s="672"/>
      <c r="B3" s="491" t="str">
        <f aca="false">INSTRUÇÕES!B3</f>
        <v>Subseção Judiciária de Juiz de Fora</v>
      </c>
      <c r="C3" s="669"/>
      <c r="D3" s="669"/>
      <c r="E3" s="669"/>
      <c r="F3" s="670"/>
      <c r="I3" s="670"/>
      <c r="J3" s="671"/>
    </row>
    <row r="4" customFormat="false" ht="19.5" hidden="false" customHeight="true" outlineLevel="0" collapsed="false">
      <c r="A4" s="673" t="s">
        <v>695</v>
      </c>
      <c r="B4" s="673"/>
      <c r="C4" s="673"/>
      <c r="D4" s="673"/>
      <c r="E4" s="673"/>
      <c r="F4" s="673"/>
      <c r="G4" s="673"/>
      <c r="H4" s="673"/>
      <c r="I4" s="673"/>
      <c r="J4" s="673"/>
    </row>
    <row r="5" customFormat="false" ht="19.5" hidden="false" customHeight="true" outlineLevel="0" collapsed="false">
      <c r="A5" s="674" t="s">
        <v>421</v>
      </c>
      <c r="B5" s="674"/>
      <c r="C5" s="674"/>
      <c r="D5" s="674"/>
      <c r="E5" s="674"/>
      <c r="F5" s="674"/>
      <c r="G5" s="674"/>
      <c r="H5" s="674"/>
      <c r="I5" s="674"/>
      <c r="J5" s="674"/>
    </row>
    <row r="6" customFormat="false" ht="36" hidden="false" customHeight="true" outlineLevel="0" collapsed="false">
      <c r="A6" s="675" t="str">
        <f aca="false">Dados!A4</f>
        <v>Sindicato utilizado - SINTEAC/JF. Vigência: 01/01/2023 à 31/12/2023. Sendo a data base da categoria 01º Janeiro. Com número de registro no MTE MG001725/2023.</v>
      </c>
      <c r="B6" s="675"/>
      <c r="C6" s="675"/>
      <c r="D6" s="675"/>
      <c r="E6" s="675"/>
      <c r="F6" s="675"/>
      <c r="G6" s="675"/>
      <c r="H6" s="675"/>
      <c r="I6" s="675"/>
      <c r="J6" s="675"/>
    </row>
    <row r="7" customFormat="false" ht="19.5" hidden="false" customHeight="true" outlineLevel="0" collapsed="false">
      <c r="A7" s="676" t="str">
        <f aca="false">Dados!C10</f>
        <v>Auxiliar de Operador de Carga</v>
      </c>
      <c r="B7" s="676"/>
      <c r="C7" s="676"/>
      <c r="D7" s="676"/>
      <c r="E7" s="676"/>
      <c r="F7" s="677" t="s">
        <v>696</v>
      </c>
      <c r="G7" s="677" t="s">
        <v>697</v>
      </c>
      <c r="H7" s="677" t="s">
        <v>698</v>
      </c>
      <c r="I7" s="677" t="s">
        <v>699</v>
      </c>
      <c r="J7" s="677" t="s">
        <v>700</v>
      </c>
    </row>
    <row r="8" customFormat="false" ht="19.5" hidden="false" customHeight="true" outlineLevel="0" collapsed="false">
      <c r="A8" s="678" t="s">
        <v>701</v>
      </c>
      <c r="B8" s="678"/>
      <c r="C8" s="678"/>
      <c r="D8" s="678"/>
      <c r="E8" s="679" t="s">
        <v>518</v>
      </c>
      <c r="F8" s="677"/>
      <c r="G8" s="677"/>
      <c r="H8" s="677"/>
      <c r="I8" s="677"/>
      <c r="J8" s="677"/>
    </row>
    <row r="9" customFormat="false" ht="19.5" hidden="false" customHeight="true" outlineLevel="0" collapsed="false">
      <c r="A9" s="680" t="s">
        <v>702</v>
      </c>
      <c r="B9" s="680"/>
      <c r="C9" s="680"/>
      <c r="D9" s="680"/>
      <c r="E9" s="680"/>
      <c r="F9" s="680"/>
      <c r="G9" s="680"/>
      <c r="H9" s="680"/>
      <c r="I9" s="680"/>
      <c r="J9" s="680"/>
    </row>
    <row r="10" customFormat="false" ht="24" hidden="false" customHeight="true" outlineLevel="0" collapsed="false">
      <c r="A10" s="681" t="s">
        <v>519</v>
      </c>
      <c r="B10" s="682" t="s">
        <v>703</v>
      </c>
      <c r="C10" s="682"/>
      <c r="D10" s="683" t="s">
        <v>704</v>
      </c>
      <c r="E10" s="684" t="s">
        <v>705</v>
      </c>
      <c r="F10" s="685" t="s">
        <v>522</v>
      </c>
      <c r="G10" s="685"/>
      <c r="H10" s="685"/>
      <c r="I10" s="685"/>
      <c r="J10" s="685"/>
    </row>
    <row r="11" customFormat="false" ht="19.5" hidden="false" customHeight="true" outlineLevel="0" collapsed="false">
      <c r="A11" s="686" t="n">
        <v>1</v>
      </c>
      <c r="B11" s="687" t="str">
        <f aca="false">A7</f>
        <v>Auxiliar de Operador de Carga</v>
      </c>
      <c r="C11" s="687"/>
      <c r="D11" s="688" t="n">
        <f aca="false">Dados!D10</f>
        <v>150</v>
      </c>
      <c r="E11" s="689" t="n">
        <f aca="false">Dados!E10</f>
        <v>2175.03</v>
      </c>
      <c r="F11" s="690" t="n">
        <f aca="false">ROUND(E11/220*D11,2)</f>
        <v>1482.98</v>
      </c>
      <c r="G11" s="690" t="n">
        <f aca="false">F11</f>
        <v>1482.98</v>
      </c>
      <c r="H11" s="690"/>
      <c r="I11" s="690"/>
      <c r="J11" s="691"/>
    </row>
    <row r="12" customFormat="false" ht="19.5" hidden="false" customHeight="true" outlineLevel="0" collapsed="false">
      <c r="A12" s="686"/>
      <c r="B12" s="687" t="s">
        <v>706</v>
      </c>
      <c r="C12" s="687"/>
      <c r="D12" s="692" t="n">
        <f aca="false">Dados!G10</f>
        <v>0</v>
      </c>
      <c r="E12" s="689" t="n">
        <f aca="false">Dados!$G$34</f>
        <v>1320</v>
      </c>
      <c r="F12" s="690" t="n">
        <f aca="false">D12*E12</f>
        <v>0</v>
      </c>
      <c r="G12" s="690" t="n">
        <f aca="false">F12</f>
        <v>0</v>
      </c>
      <c r="H12" s="690"/>
      <c r="I12" s="690"/>
      <c r="J12" s="691" t="n">
        <f aca="false">F12</f>
        <v>0</v>
      </c>
    </row>
    <row r="13" customFormat="false" ht="22.5" hidden="false" customHeight="true" outlineLevel="0" collapsed="false">
      <c r="A13" s="686"/>
      <c r="B13" s="693" t="s">
        <v>707</v>
      </c>
      <c r="C13" s="694" t="n">
        <f aca="false">Dados!$I$10</f>
        <v>0</v>
      </c>
      <c r="D13" s="694" t="n">
        <f aca="false">Dados!$J$10</f>
        <v>0</v>
      </c>
      <c r="E13" s="695" t="n">
        <f aca="false">Dados!$K$10</f>
        <v>0</v>
      </c>
      <c r="F13" s="696" t="n">
        <f aca="false">ROUND((E13*D13*C13),2)</f>
        <v>0</v>
      </c>
      <c r="G13" s="696" t="n">
        <f aca="false">F13</f>
        <v>0</v>
      </c>
      <c r="H13" s="696"/>
      <c r="I13" s="696"/>
      <c r="J13" s="697"/>
    </row>
    <row r="14" customFormat="false" ht="19.5" hidden="false" customHeight="true" outlineLevel="0" collapsed="false">
      <c r="A14" s="686"/>
      <c r="B14" s="698" t="s">
        <v>708</v>
      </c>
      <c r="C14" s="698"/>
      <c r="D14" s="698"/>
      <c r="E14" s="698"/>
      <c r="F14" s="699" t="n">
        <f aca="false">SUM(F11:F13)</f>
        <v>1482.98</v>
      </c>
      <c r="G14" s="699" t="n">
        <f aca="false">SUM(G11:G13)</f>
        <v>1482.98</v>
      </c>
      <c r="H14" s="699" t="n">
        <f aca="false">SUM(H11:H13)</f>
        <v>0</v>
      </c>
      <c r="I14" s="699" t="n">
        <f aca="false">SUM(I11:I13)</f>
        <v>0</v>
      </c>
      <c r="J14" s="700" t="n">
        <f aca="false">SUM(J11:J13)</f>
        <v>0</v>
      </c>
    </row>
    <row r="15" customFormat="false" ht="19.5" hidden="false" customHeight="true" outlineLevel="0" collapsed="false">
      <c r="A15" s="686"/>
      <c r="B15" s="701" t="s">
        <v>709</v>
      </c>
      <c r="C15" s="701"/>
      <c r="D15" s="701"/>
      <c r="E15" s="702" t="n">
        <f aca="false">Encargos!$C$57</f>
        <v>0.7905</v>
      </c>
      <c r="F15" s="690" t="n">
        <f aca="false">ROUND((E15*F14),2)</f>
        <v>1172.3</v>
      </c>
      <c r="G15" s="690" t="n">
        <f aca="false">F15</f>
        <v>1172.3</v>
      </c>
      <c r="H15" s="690"/>
      <c r="I15" s="690"/>
      <c r="J15" s="691" t="n">
        <f aca="false">ROUND((E15*J14),2)</f>
        <v>0</v>
      </c>
    </row>
    <row r="16" customFormat="false" ht="19.5" hidden="false" customHeight="true" outlineLevel="0" collapsed="false">
      <c r="A16" s="703" t="s">
        <v>710</v>
      </c>
      <c r="B16" s="703"/>
      <c r="C16" s="703"/>
      <c r="D16" s="703"/>
      <c r="E16" s="703"/>
      <c r="F16" s="704" t="n">
        <f aca="false">SUM(F14:F15)</f>
        <v>2655.28</v>
      </c>
      <c r="G16" s="704" t="n">
        <f aca="false">SUM(G14:G15)</f>
        <v>2655.28</v>
      </c>
      <c r="H16" s="704" t="n">
        <f aca="false">SUM(H14:H15)</f>
        <v>0</v>
      </c>
      <c r="I16" s="704" t="n">
        <f aca="false">SUM(I14:I15)</f>
        <v>0</v>
      </c>
      <c r="J16" s="705" t="n">
        <f aca="false">SUM(J14:J15)</f>
        <v>0</v>
      </c>
    </row>
    <row r="17" customFormat="false" ht="19.5" hidden="false" customHeight="true" outlineLevel="0" collapsed="false">
      <c r="A17" s="706" t="s">
        <v>711</v>
      </c>
      <c r="B17" s="706"/>
      <c r="C17" s="706"/>
      <c r="D17" s="706"/>
      <c r="E17" s="706"/>
      <c r="F17" s="706"/>
      <c r="G17" s="706"/>
      <c r="H17" s="706"/>
      <c r="I17" s="706"/>
      <c r="J17" s="706"/>
    </row>
    <row r="18" customFormat="false" ht="19.5" hidden="false" customHeight="true" outlineLevel="0" collapsed="false">
      <c r="A18" s="707" t="s">
        <v>712</v>
      </c>
      <c r="B18" s="707"/>
      <c r="C18" s="708" t="s">
        <v>521</v>
      </c>
      <c r="D18" s="708" t="s">
        <v>713</v>
      </c>
      <c r="E18" s="708"/>
      <c r="F18" s="709" t="s">
        <v>522</v>
      </c>
      <c r="G18" s="709"/>
      <c r="H18" s="709"/>
      <c r="I18" s="709"/>
      <c r="J18" s="709"/>
    </row>
    <row r="19" customFormat="false" ht="19.5" hidden="false" customHeight="true" outlineLevel="0" collapsed="false">
      <c r="A19" s="710" t="s">
        <v>714</v>
      </c>
      <c r="B19" s="710"/>
      <c r="C19" s="711"/>
      <c r="D19" s="711"/>
      <c r="E19" s="711"/>
      <c r="F19" s="690" t="n">
        <f aca="false">Dados!N10</f>
        <v>45.31</v>
      </c>
      <c r="G19" s="690" t="n">
        <f aca="false">F19</f>
        <v>45.31</v>
      </c>
      <c r="H19" s="690"/>
      <c r="I19" s="690"/>
      <c r="J19" s="691"/>
    </row>
    <row r="20" customFormat="false" ht="19.5" hidden="false" customHeight="true" outlineLevel="0" collapsed="false">
      <c r="A20" s="710" t="s">
        <v>715</v>
      </c>
      <c r="B20" s="710"/>
      <c r="C20" s="711"/>
      <c r="D20" s="711"/>
      <c r="E20" s="711"/>
      <c r="F20" s="690" t="n">
        <f aca="false">Dados!G37</f>
        <v>1.55</v>
      </c>
      <c r="G20" s="690" t="n">
        <f aca="false">F20</f>
        <v>1.55</v>
      </c>
      <c r="H20" s="690"/>
      <c r="I20" s="690"/>
      <c r="J20" s="691"/>
    </row>
    <row r="21" customFormat="false" ht="23.25" hidden="false" customHeight="true" outlineLevel="0" collapsed="false">
      <c r="A21" s="712" t="s">
        <v>354</v>
      </c>
      <c r="B21" s="712"/>
      <c r="C21" s="711"/>
      <c r="D21" s="711"/>
      <c r="E21" s="711"/>
      <c r="F21" s="690" t="n">
        <f aca="false">Dados!G38</f>
        <v>50.36</v>
      </c>
      <c r="G21" s="690" t="n">
        <f aca="false">F21</f>
        <v>50.36</v>
      </c>
      <c r="H21" s="690"/>
      <c r="I21" s="690"/>
      <c r="J21" s="691"/>
    </row>
    <row r="22" customFormat="false" ht="19.5" hidden="false" customHeight="true" outlineLevel="0" collapsed="false">
      <c r="A22" s="710" t="s">
        <v>355</v>
      </c>
      <c r="B22" s="710"/>
      <c r="C22" s="713" t="n">
        <f aca="false">Dados!$G$41</f>
        <v>22</v>
      </c>
      <c r="D22" s="713" t="n">
        <f aca="false">Dados!$G$40</f>
        <v>2</v>
      </c>
      <c r="E22" s="714" t="n">
        <f aca="false">Dados!$G$39</f>
        <v>3.75</v>
      </c>
      <c r="F22" s="690" t="n">
        <f aca="false">IF(ROUND((E22*D22*C22)-(F11*Dados!G42),2)&lt;0,0,ROUND((E22*D22*C22)-(F11*Dados!G42),2))</f>
        <v>76.02</v>
      </c>
      <c r="G22" s="690" t="n">
        <f aca="false">F22</f>
        <v>76.02</v>
      </c>
      <c r="H22" s="690"/>
      <c r="I22" s="690" t="n">
        <f aca="false">F22</f>
        <v>76.02</v>
      </c>
      <c r="J22" s="691"/>
    </row>
    <row r="23" customFormat="false" ht="19.5" hidden="false" customHeight="true" outlineLevel="0" collapsed="false">
      <c r="A23" s="710" t="s">
        <v>364</v>
      </c>
      <c r="B23" s="710"/>
      <c r="C23" s="713" t="n">
        <f aca="false">Dados!G45</f>
        <v>22</v>
      </c>
      <c r="D23" s="715" t="n">
        <f aca="false">Dados!G46</f>
        <v>0.2</v>
      </c>
      <c r="E23" s="714" t="n">
        <f aca="false">Dados!G44</f>
        <v>15.6</v>
      </c>
      <c r="F23" s="716" t="n">
        <f aca="false">ROUND((IF(D11&lt;200,((C23*E23)-(C23*(D23*E23))),0)),2)</f>
        <v>274.56</v>
      </c>
      <c r="G23" s="690" t="n">
        <f aca="false">F23</f>
        <v>274.56</v>
      </c>
      <c r="H23" s="690" t="n">
        <f aca="false">$F$23</f>
        <v>274.56</v>
      </c>
      <c r="I23" s="716"/>
      <c r="J23" s="691"/>
    </row>
    <row r="24" customFormat="false" ht="19.5" hidden="false" customHeight="true" outlineLevel="0" collapsed="false">
      <c r="A24" s="710" t="s">
        <v>368</v>
      </c>
      <c r="B24" s="710"/>
      <c r="C24" s="713"/>
      <c r="D24" s="713"/>
      <c r="E24" s="714"/>
      <c r="F24" s="716" t="n">
        <f aca="false">Dados!G47</f>
        <v>0</v>
      </c>
      <c r="G24" s="690"/>
      <c r="H24" s="690"/>
      <c r="I24" s="716"/>
      <c r="J24" s="691"/>
    </row>
    <row r="25" customFormat="false" ht="19.5" hidden="false" customHeight="true" outlineLevel="0" collapsed="false">
      <c r="A25" s="710" t="s">
        <v>368</v>
      </c>
      <c r="B25" s="710"/>
      <c r="C25" s="713"/>
      <c r="D25" s="713"/>
      <c r="E25" s="714"/>
      <c r="F25" s="716" t="n">
        <f aca="false">Dados!G48</f>
        <v>0</v>
      </c>
      <c r="G25" s="690"/>
      <c r="H25" s="690"/>
      <c r="I25" s="716"/>
      <c r="J25" s="691"/>
    </row>
    <row r="26" customFormat="false" ht="19.5" hidden="false" customHeight="true" outlineLevel="0" collapsed="false">
      <c r="A26" s="710" t="s">
        <v>716</v>
      </c>
      <c r="B26" s="710"/>
      <c r="C26" s="713"/>
      <c r="D26" s="714"/>
      <c r="E26" s="714"/>
      <c r="F26" s="690"/>
      <c r="G26" s="690"/>
      <c r="H26" s="690"/>
      <c r="I26" s="690"/>
      <c r="J26" s="691"/>
      <c r="L26" s="717"/>
    </row>
    <row r="27" customFormat="false" ht="19.5" hidden="false" customHeight="true" outlineLevel="0" collapsed="false">
      <c r="A27" s="710" t="s">
        <v>717</v>
      </c>
      <c r="B27" s="718"/>
      <c r="C27" s="713"/>
      <c r="D27" s="714"/>
      <c r="E27" s="714"/>
      <c r="F27" s="690" t="n">
        <f aca="false">Dados!R10</f>
        <v>0</v>
      </c>
      <c r="G27" s="690"/>
      <c r="H27" s="690"/>
      <c r="I27" s="690"/>
      <c r="J27" s="691"/>
    </row>
    <row r="28" customFormat="false" ht="19.5" hidden="false" customHeight="true" outlineLevel="0" collapsed="false">
      <c r="A28" s="719" t="s">
        <v>718</v>
      </c>
      <c r="B28" s="719"/>
      <c r="C28" s="720"/>
      <c r="D28" s="721"/>
      <c r="E28" s="721"/>
      <c r="F28" s="696" t="n">
        <f aca="false">Dados!T10</f>
        <v>0</v>
      </c>
      <c r="G28" s="696" t="n">
        <f aca="false">F28</f>
        <v>0</v>
      </c>
      <c r="H28" s="696"/>
      <c r="I28" s="696"/>
      <c r="J28" s="697"/>
    </row>
    <row r="29" customFormat="false" ht="19.5" hidden="false" customHeight="true" outlineLevel="0" collapsed="false">
      <c r="A29" s="722" t="s">
        <v>719</v>
      </c>
      <c r="B29" s="722"/>
      <c r="C29" s="722"/>
      <c r="D29" s="722"/>
      <c r="E29" s="722"/>
      <c r="F29" s="704" t="n">
        <f aca="false">SUM(F19:F28)</f>
        <v>447.8</v>
      </c>
      <c r="G29" s="704" t="n">
        <f aca="false">SUM(G19:G28)</f>
        <v>447.8</v>
      </c>
      <c r="H29" s="704" t="n">
        <f aca="false">SUM(H19:H28)</f>
        <v>274.56</v>
      </c>
      <c r="I29" s="704" t="n">
        <f aca="false">SUM(I19:I28)</f>
        <v>76.02</v>
      </c>
      <c r="J29" s="705" t="n">
        <f aca="false">SUM(J19:J28)</f>
        <v>0</v>
      </c>
    </row>
    <row r="30" customFormat="false" ht="19.5" hidden="false" customHeight="true" outlineLevel="0" collapsed="false">
      <c r="A30" s="722" t="s">
        <v>720</v>
      </c>
      <c r="B30" s="722"/>
      <c r="C30" s="722"/>
      <c r="D30" s="722"/>
      <c r="E30" s="722"/>
      <c r="F30" s="704" t="n">
        <f aca="false">F16+F29</f>
        <v>3103.08</v>
      </c>
      <c r="G30" s="704" t="n">
        <f aca="false">G16+G29</f>
        <v>3103.08</v>
      </c>
      <c r="H30" s="704" t="n">
        <f aca="false">H16+H29</f>
        <v>274.56</v>
      </c>
      <c r="I30" s="704" t="n">
        <f aca="false">I16+I29</f>
        <v>76.02</v>
      </c>
      <c r="J30" s="705" t="n">
        <f aca="false">J16+J29</f>
        <v>0</v>
      </c>
    </row>
    <row r="31" customFormat="false" ht="19.5" hidden="false" customHeight="true" outlineLevel="0" collapsed="false">
      <c r="A31" s="680" t="s">
        <v>721</v>
      </c>
      <c r="B31" s="680"/>
      <c r="C31" s="680"/>
      <c r="D31" s="680"/>
      <c r="E31" s="680"/>
      <c r="F31" s="680"/>
      <c r="G31" s="680"/>
      <c r="H31" s="680"/>
      <c r="I31" s="680"/>
      <c r="J31" s="680"/>
    </row>
    <row r="32" customFormat="false" ht="19.5" hidden="false" customHeight="true" outlineLevel="0" collapsed="false">
      <c r="A32" s="707" t="s">
        <v>722</v>
      </c>
      <c r="B32" s="707"/>
      <c r="C32" s="707"/>
      <c r="D32" s="723" t="s">
        <v>622</v>
      </c>
      <c r="E32" s="724" t="s">
        <v>522</v>
      </c>
      <c r="F32" s="724"/>
      <c r="G32" s="724"/>
      <c r="H32" s="724"/>
      <c r="I32" s="724"/>
      <c r="J32" s="724"/>
    </row>
    <row r="33" customFormat="false" ht="19.5" hidden="false" customHeight="true" outlineLevel="0" collapsed="false">
      <c r="A33" s="725" t="s">
        <v>723</v>
      </c>
      <c r="B33" s="726"/>
      <c r="C33" s="726"/>
      <c r="D33" s="727" t="n">
        <f aca="false">Dados!$G$51</f>
        <v>0.03</v>
      </c>
      <c r="E33" s="728"/>
      <c r="F33" s="690" t="n">
        <f aca="false">ROUND((F30*$D$33),2)</f>
        <v>93.09</v>
      </c>
      <c r="G33" s="690" t="n">
        <f aca="false">ROUND((G30*$D$33),2)</f>
        <v>93.09</v>
      </c>
      <c r="H33" s="690" t="n">
        <f aca="false">ROUND((H30*$D$33),2)</f>
        <v>8.24</v>
      </c>
      <c r="I33" s="690" t="n">
        <f aca="false">ROUND((I30*$D$33),2)</f>
        <v>2.28</v>
      </c>
      <c r="J33" s="691" t="n">
        <f aca="false">ROUND((J30*$D$33),2)</f>
        <v>0</v>
      </c>
    </row>
    <row r="34" customFormat="false" ht="19.5" hidden="false" customHeight="true" outlineLevel="0" collapsed="false">
      <c r="A34" s="729" t="s">
        <v>724</v>
      </c>
      <c r="B34" s="729"/>
      <c r="C34" s="729"/>
      <c r="D34" s="727"/>
      <c r="E34" s="728"/>
      <c r="F34" s="690" t="n">
        <f aca="false">F30+F33</f>
        <v>3196.17</v>
      </c>
      <c r="G34" s="690" t="n">
        <f aca="false">G30+G33</f>
        <v>3196.17</v>
      </c>
      <c r="H34" s="690" t="n">
        <f aca="false">H30+H33</f>
        <v>282.8</v>
      </c>
      <c r="I34" s="690" t="n">
        <f aca="false">I30+I33</f>
        <v>78.3</v>
      </c>
      <c r="J34" s="691" t="n">
        <f aca="false">J30+J33</f>
        <v>0</v>
      </c>
    </row>
    <row r="35" customFormat="false" ht="19.5" hidden="false" customHeight="true" outlineLevel="0" collapsed="false">
      <c r="A35" s="730" t="s">
        <v>373</v>
      </c>
      <c r="B35" s="731"/>
      <c r="C35" s="731"/>
      <c r="D35" s="732" t="n">
        <f aca="false">Dados!$G$52</f>
        <v>0.0679</v>
      </c>
      <c r="E35" s="733"/>
      <c r="F35" s="696" t="n">
        <f aca="false">ROUND((F34*$D$35),2)</f>
        <v>217.02</v>
      </c>
      <c r="G35" s="696" t="n">
        <f aca="false">ROUND((G34*$D$35),2)</f>
        <v>217.02</v>
      </c>
      <c r="H35" s="696" t="n">
        <f aca="false">ROUND((H34*$D$35),2)</f>
        <v>19.2</v>
      </c>
      <c r="I35" s="696" t="n">
        <f aca="false">ROUND((I34*$D$35),2)</f>
        <v>5.32</v>
      </c>
      <c r="J35" s="697" t="n">
        <f aca="false">ROUND((J34*$D$35),2)</f>
        <v>0</v>
      </c>
    </row>
    <row r="36" customFormat="false" ht="19.5" hidden="false" customHeight="true" outlineLevel="0" collapsed="false">
      <c r="A36" s="734" t="s">
        <v>725</v>
      </c>
      <c r="B36" s="735"/>
      <c r="C36" s="735"/>
      <c r="D36" s="736" t="n">
        <f aca="false">SUM(D33:D35)</f>
        <v>0.0979</v>
      </c>
      <c r="E36" s="737"/>
      <c r="F36" s="704" t="n">
        <f aca="false">F33+F35</f>
        <v>310.11</v>
      </c>
      <c r="G36" s="704" t="n">
        <f aca="false">G33+G35</f>
        <v>310.11</v>
      </c>
      <c r="H36" s="704" t="n">
        <f aca="false">H33+H35</f>
        <v>27.44</v>
      </c>
      <c r="I36" s="704" t="n">
        <f aca="false">I33+I35</f>
        <v>7.6</v>
      </c>
      <c r="J36" s="705" t="n">
        <f aca="false">J33+J35</f>
        <v>0</v>
      </c>
    </row>
    <row r="37" customFormat="false" ht="19.5" hidden="false" customHeight="true" outlineLevel="0" collapsed="false">
      <c r="A37" s="738" t="s">
        <v>726</v>
      </c>
      <c r="B37" s="738"/>
      <c r="C37" s="738"/>
      <c r="D37" s="738"/>
      <c r="E37" s="738"/>
      <c r="F37" s="739" t="n">
        <f aca="false">F30+F36</f>
        <v>3413.19</v>
      </c>
      <c r="G37" s="739" t="n">
        <f aca="false">G30+G36</f>
        <v>3413.19</v>
      </c>
      <c r="H37" s="739" t="n">
        <f aca="false">H30+H36</f>
        <v>302</v>
      </c>
      <c r="I37" s="739" t="n">
        <f aca="false">I30+I36</f>
        <v>83.62</v>
      </c>
      <c r="J37" s="740" t="n">
        <f aca="false">J30+J36</f>
        <v>0</v>
      </c>
    </row>
    <row r="38" customFormat="false" ht="19.5" hidden="false" customHeight="true" outlineLevel="0" collapsed="false">
      <c r="A38" s="741" t="s">
        <v>727</v>
      </c>
      <c r="B38" s="741"/>
      <c r="C38" s="741"/>
      <c r="D38" s="741"/>
      <c r="E38" s="741"/>
      <c r="F38" s="741"/>
      <c r="G38" s="741"/>
      <c r="H38" s="741"/>
      <c r="I38" s="741"/>
      <c r="J38" s="741"/>
    </row>
    <row r="39" customFormat="false" ht="19.5" hidden="false" customHeight="true" outlineLevel="0" collapsed="false">
      <c r="A39" s="710" t="s">
        <v>379</v>
      </c>
      <c r="B39" s="710"/>
      <c r="C39" s="710"/>
      <c r="D39" s="727" t="n">
        <f aca="false">Dados!G59</f>
        <v>0.076</v>
      </c>
      <c r="E39" s="742"/>
      <c r="F39" s="690" t="n">
        <f aca="false">ROUND(($F$45*D39),2)</f>
        <v>302.51</v>
      </c>
      <c r="G39" s="690" t="n">
        <f aca="false">ROUND((G45*$D$39),2)</f>
        <v>302.51</v>
      </c>
      <c r="H39" s="690" t="n">
        <f aca="false">ROUND((H45*$D$39),2)</f>
        <v>22.95</v>
      </c>
      <c r="I39" s="690" t="n">
        <f aca="false">ROUND((I45*$D$39),2)</f>
        <v>7.41</v>
      </c>
      <c r="J39" s="691" t="n">
        <f aca="false">ROUND((J45*$D$39),2)</f>
        <v>0</v>
      </c>
    </row>
    <row r="40" customFormat="false" ht="19.5" hidden="false" customHeight="true" outlineLevel="0" collapsed="false">
      <c r="A40" s="710" t="s">
        <v>381</v>
      </c>
      <c r="B40" s="710"/>
      <c r="C40" s="710"/>
      <c r="D40" s="727" t="n">
        <f aca="false">Dados!G60</f>
        <v>0.0165</v>
      </c>
      <c r="E40" s="742"/>
      <c r="F40" s="690" t="n">
        <f aca="false">ROUND((F45*$D$40),2)</f>
        <v>65.68</v>
      </c>
      <c r="G40" s="690" t="n">
        <f aca="false">ROUND((G45*$D$40),2)</f>
        <v>65.68</v>
      </c>
      <c r="H40" s="690" t="n">
        <f aca="false">ROUND((H45*$D$40),2)</f>
        <v>4.98</v>
      </c>
      <c r="I40" s="690" t="n">
        <f aca="false">ROUND((I45*$D$40),2)</f>
        <v>1.61</v>
      </c>
      <c r="J40" s="691" t="n">
        <f aca="false">ROUND((J45*$D$40),2)</f>
        <v>0</v>
      </c>
    </row>
    <row r="41" customFormat="false" ht="19.5" hidden="false" customHeight="true" outlineLevel="0" collapsed="false">
      <c r="A41" s="710" t="str">
        <f aca="false">Dados!B62</f>
        <v>ISSQN - Serviços Administrativos</v>
      </c>
      <c r="B41" s="710"/>
      <c r="C41" s="710"/>
      <c r="D41" s="727" t="n">
        <f aca="false">Dados!G62</f>
        <v>0.05</v>
      </c>
      <c r="E41" s="742"/>
      <c r="F41" s="690" t="n">
        <f aca="false">ROUND((F45*$D$41),2)</f>
        <v>199.02</v>
      </c>
      <c r="G41" s="690" t="n">
        <f aca="false">ROUND((G45*$D$41),2)</f>
        <v>199.02</v>
      </c>
      <c r="H41" s="690" t="n">
        <f aca="false">ROUND((H45*$D$41),2)</f>
        <v>15.1</v>
      </c>
      <c r="I41" s="690" t="n">
        <f aca="false">ROUND((I45*$D$41),2)</f>
        <v>4.88</v>
      </c>
      <c r="J41" s="691" t="n">
        <f aca="false">ROUND((J45*$D$41),2)</f>
        <v>0</v>
      </c>
    </row>
    <row r="42" customFormat="false" ht="19.5" hidden="false" customHeight="true" outlineLevel="0" collapsed="false">
      <c r="A42" s="710" t="s">
        <v>368</v>
      </c>
      <c r="B42" s="710"/>
      <c r="C42" s="710"/>
      <c r="D42" s="727" t="n">
        <f aca="false">Dados!G63</f>
        <v>0</v>
      </c>
      <c r="E42" s="742"/>
      <c r="F42" s="690" t="n">
        <f aca="false">ROUND((F45*$D$42),2)</f>
        <v>0</v>
      </c>
      <c r="G42" s="690" t="n">
        <f aca="false">ROUND((G45*$D$42),2)</f>
        <v>0</v>
      </c>
      <c r="H42" s="690" t="n">
        <f aca="false">ROUND((H45*$D$42),2)</f>
        <v>0</v>
      </c>
      <c r="I42" s="690" t="n">
        <f aca="false">ROUND((I45*$D$42),2)</f>
        <v>0</v>
      </c>
      <c r="J42" s="691" t="n">
        <f aca="false">ROUND((J45*$D$42),2)</f>
        <v>0</v>
      </c>
    </row>
    <row r="43" customFormat="false" ht="19.5" hidden="false" customHeight="true" outlineLevel="0" collapsed="false">
      <c r="A43" s="743" t="s">
        <v>728</v>
      </c>
      <c r="B43" s="743"/>
      <c r="C43" s="743"/>
      <c r="D43" s="744" t="n">
        <f aca="false">SUM(D39:D42)</f>
        <v>0.1425</v>
      </c>
      <c r="E43" s="745"/>
      <c r="F43" s="746" t="n">
        <f aca="false">SUM(F39:F42)</f>
        <v>567.21</v>
      </c>
      <c r="G43" s="746" t="n">
        <f aca="false">SUM(G39:G42)</f>
        <v>567.21</v>
      </c>
      <c r="H43" s="746" t="n">
        <f aca="false">SUM(H39:H42)</f>
        <v>43.03</v>
      </c>
      <c r="I43" s="746" t="n">
        <f aca="false">SUM(I39:I42)</f>
        <v>13.9</v>
      </c>
      <c r="J43" s="747" t="n">
        <f aca="false">SUM(J39:J41)</f>
        <v>0</v>
      </c>
    </row>
    <row r="44" customFormat="false" ht="19.5" hidden="false" customHeight="true" outlineLevel="0" collapsed="false">
      <c r="A44" s="748" t="str">
        <f aca="false">CONCATENATE("Custo Mensal - ",A7)</f>
        <v>Custo Mensal - Auxiliar de Operador de Carga</v>
      </c>
      <c r="B44" s="748"/>
      <c r="C44" s="748"/>
      <c r="D44" s="748"/>
      <c r="E44" s="748"/>
      <c r="F44" s="749" t="n">
        <f aca="false">ROUND(F37/(1-D43),2)</f>
        <v>3980.4</v>
      </c>
      <c r="G44" s="749" t="n">
        <f aca="false">ROUND(G37/(1-D43),2)</f>
        <v>3980.4</v>
      </c>
      <c r="H44" s="749" t="n">
        <f aca="false">ROUND(H37/(1-C43),2)</f>
        <v>302</v>
      </c>
      <c r="I44" s="749" t="n">
        <f aca="false">ROUND(I37/(1-D43),2)</f>
        <v>97.52</v>
      </c>
      <c r="J44" s="750" t="n">
        <f aca="false">ROUND(J37/(1-D43),2)</f>
        <v>0</v>
      </c>
    </row>
    <row r="45" customFormat="false" ht="19.5" hidden="false" customHeight="true" outlineLevel="0" collapsed="false">
      <c r="A45" s="751" t="str">
        <f aca="false">CONCATENATE("Valor do Custo Mensal - ",A7)</f>
        <v>Valor do Custo Mensal - Auxiliar de Operador de Carga</v>
      </c>
      <c r="B45" s="751"/>
      <c r="C45" s="751"/>
      <c r="D45" s="751"/>
      <c r="E45" s="751"/>
      <c r="F45" s="749" t="n">
        <f aca="false">F44</f>
        <v>3980.4</v>
      </c>
      <c r="G45" s="749" t="n">
        <f aca="false">G44</f>
        <v>3980.4</v>
      </c>
      <c r="H45" s="749" t="n">
        <f aca="false">H44</f>
        <v>302</v>
      </c>
      <c r="I45" s="749" t="n">
        <f aca="false">I44</f>
        <v>97.52</v>
      </c>
      <c r="J45" s="750" t="n">
        <f aca="false">J44</f>
        <v>0</v>
      </c>
      <c r="K45" s="752"/>
      <c r="L45" s="752"/>
    </row>
    <row r="46" customFormat="false" ht="27.75" hidden="false" customHeight="true" outlineLevel="0" collapsed="false">
      <c r="A46" s="753" t="s">
        <v>729</v>
      </c>
      <c r="B46" s="753"/>
      <c r="C46" s="753"/>
      <c r="D46" s="753"/>
      <c r="E46" s="753"/>
      <c r="F46" s="754" t="n">
        <f aca="false">(F45/F14)</f>
        <v>2.68405507828831</v>
      </c>
      <c r="G46" s="754" t="n">
        <f aca="false">(G45/G14)</f>
        <v>2.68405507828831</v>
      </c>
      <c r="H46" s="755" t="s">
        <v>730</v>
      </c>
      <c r="I46" s="755"/>
      <c r="J46" s="756" t="n">
        <v>0</v>
      </c>
    </row>
    <row r="47" customFormat="false" ht="19.5" hidden="false" customHeight="true" outlineLevel="0" collapsed="false"/>
  </sheetData>
  <sheetProtection sheet="true" password="c354" objects="true" scenarios="true"/>
  <mergeCells count="49">
    <mergeCell ref="A4:J4"/>
    <mergeCell ref="A5:J5"/>
    <mergeCell ref="A6:J6"/>
    <mergeCell ref="A7:E7"/>
    <mergeCell ref="F7:F8"/>
    <mergeCell ref="G7:G8"/>
    <mergeCell ref="H7:H8"/>
    <mergeCell ref="I7:I8"/>
    <mergeCell ref="J7:J8"/>
    <mergeCell ref="A8:D8"/>
    <mergeCell ref="A9:J9"/>
    <mergeCell ref="B10:C10"/>
    <mergeCell ref="F10:J10"/>
    <mergeCell ref="A11:A15"/>
    <mergeCell ref="B11:C11"/>
    <mergeCell ref="B12:C12"/>
    <mergeCell ref="B14:E14"/>
    <mergeCell ref="B15:D15"/>
    <mergeCell ref="A16:E16"/>
    <mergeCell ref="A17:J17"/>
    <mergeCell ref="A18:B18"/>
    <mergeCell ref="D18:E18"/>
    <mergeCell ref="F18:J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E29"/>
    <mergeCell ref="A30:E30"/>
    <mergeCell ref="A31:J31"/>
    <mergeCell ref="A32:C32"/>
    <mergeCell ref="E32:J32"/>
    <mergeCell ref="A34:C34"/>
    <mergeCell ref="A37:E37"/>
    <mergeCell ref="A38:J38"/>
    <mergeCell ref="A39:C39"/>
    <mergeCell ref="A40:C40"/>
    <mergeCell ref="A41:C41"/>
    <mergeCell ref="A42:C42"/>
    <mergeCell ref="A43:C43"/>
    <mergeCell ref="A44:E44"/>
    <mergeCell ref="A45:E45"/>
    <mergeCell ref="A46:E46"/>
    <mergeCell ref="H46:I4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6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2" activeCellId="0" sqref="A42"/>
    </sheetView>
  </sheetViews>
  <sheetFormatPr defaultColWidth="9.1484375" defaultRowHeight="15" zeroHeight="false" outlineLevelRow="0" outlineLevelCol="0"/>
  <cols>
    <col collapsed="false" customWidth="true" hidden="false" outlineLevel="0" max="1" min="1" style="148" width="10.57"/>
    <col collapsed="false" customWidth="true" hidden="false" outlineLevel="0" max="2" min="2" style="148" width="27.71"/>
    <col collapsed="false" customWidth="true" hidden="false" outlineLevel="0" max="3" min="3" style="148" width="14.42"/>
    <col collapsed="false" customWidth="true" hidden="false" outlineLevel="0" max="5" min="4" style="148" width="15"/>
    <col collapsed="false" customWidth="true" hidden="false" outlineLevel="0" max="6" min="6" style="662" width="16.71"/>
    <col collapsed="false" customWidth="true" hidden="false" outlineLevel="0" max="8" min="7" style="662" width="13.15"/>
    <col collapsed="false" customWidth="true" hidden="false" outlineLevel="0" max="10" min="9" style="662" width="12.57"/>
    <col collapsed="false" customWidth="false" hidden="false" outlineLevel="0" max="257" min="11" style="148" width="9.14"/>
    <col collapsed="false" customWidth="true" hidden="false" outlineLevel="0" max="258" min="258" style="148" width="10.57"/>
    <col collapsed="false" customWidth="true" hidden="false" outlineLevel="0" max="259" min="259" style="148" width="27.71"/>
    <col collapsed="false" customWidth="true" hidden="false" outlineLevel="0" max="260" min="260" style="148" width="14.42"/>
    <col collapsed="false" customWidth="true" hidden="false" outlineLevel="0" max="262" min="261" style="148" width="15"/>
    <col collapsed="false" customWidth="true" hidden="false" outlineLevel="0" max="263" min="263" style="148" width="16.71"/>
    <col collapsed="false" customWidth="true" hidden="false" outlineLevel="0" max="264" min="264" style="148" width="13.15"/>
    <col collapsed="false" customWidth="true" hidden="false" outlineLevel="0" max="266" min="265" style="148" width="12.57"/>
    <col collapsed="false" customWidth="false" hidden="false" outlineLevel="0" max="513" min="267" style="148" width="9.14"/>
    <col collapsed="false" customWidth="true" hidden="false" outlineLevel="0" max="514" min="514" style="148" width="10.57"/>
    <col collapsed="false" customWidth="true" hidden="false" outlineLevel="0" max="515" min="515" style="148" width="27.71"/>
    <col collapsed="false" customWidth="true" hidden="false" outlineLevel="0" max="516" min="516" style="148" width="14.42"/>
    <col collapsed="false" customWidth="true" hidden="false" outlineLevel="0" max="518" min="517" style="148" width="15"/>
    <col collapsed="false" customWidth="true" hidden="false" outlineLevel="0" max="519" min="519" style="148" width="16.71"/>
    <col collapsed="false" customWidth="true" hidden="false" outlineLevel="0" max="520" min="520" style="148" width="13.15"/>
    <col collapsed="false" customWidth="true" hidden="false" outlineLevel="0" max="522" min="521" style="148" width="12.57"/>
    <col collapsed="false" customWidth="false" hidden="false" outlineLevel="0" max="769" min="523" style="148" width="9.14"/>
    <col collapsed="false" customWidth="true" hidden="false" outlineLevel="0" max="770" min="770" style="148" width="10.57"/>
    <col collapsed="false" customWidth="true" hidden="false" outlineLevel="0" max="771" min="771" style="148" width="27.71"/>
    <col collapsed="false" customWidth="true" hidden="false" outlineLevel="0" max="772" min="772" style="148" width="14.42"/>
    <col collapsed="false" customWidth="true" hidden="false" outlineLevel="0" max="774" min="773" style="148" width="15"/>
    <col collapsed="false" customWidth="true" hidden="false" outlineLevel="0" max="775" min="775" style="148" width="16.71"/>
    <col collapsed="false" customWidth="true" hidden="false" outlineLevel="0" max="776" min="776" style="148" width="13.15"/>
    <col collapsed="false" customWidth="true" hidden="false" outlineLevel="0" max="778" min="777" style="148" width="12.57"/>
    <col collapsed="false" customWidth="false" hidden="false" outlineLevel="0" max="1024" min="779" style="148" width="9.14"/>
  </cols>
  <sheetData>
    <row r="1" customFormat="false" ht="15" hidden="false" customHeight="false" outlineLevel="0" collapsed="false">
      <c r="A1" s="663"/>
      <c r="B1" s="145" t="str">
        <f aca="false">INSTRUÇÕES!B1</f>
        <v>Tribunal Regional Federal da 6ª Região</v>
      </c>
      <c r="C1" s="664"/>
      <c r="D1" s="664"/>
      <c r="E1" s="664"/>
      <c r="F1" s="665"/>
      <c r="G1" s="666"/>
      <c r="H1" s="666"/>
      <c r="I1" s="665"/>
      <c r="J1" s="667"/>
    </row>
    <row r="2" customFormat="false" ht="15" hidden="false" customHeight="false" outlineLevel="0" collapsed="false">
      <c r="A2" s="668"/>
      <c r="B2" s="147" t="str">
        <f aca="false">INSTRUÇÕES!B2</f>
        <v>Seção Judiciária de Minas Gerais</v>
      </c>
      <c r="C2" s="669"/>
      <c r="D2" s="669"/>
      <c r="E2" s="669"/>
      <c r="F2" s="670"/>
      <c r="I2" s="670"/>
      <c r="J2" s="671"/>
    </row>
    <row r="3" customFormat="false" ht="15" hidden="false" customHeight="false" outlineLevel="0" collapsed="false">
      <c r="A3" s="672"/>
      <c r="B3" s="491" t="str">
        <f aca="false">INSTRUÇÕES!B3</f>
        <v>Subseção Judiciária de Juiz de Fora</v>
      </c>
      <c r="C3" s="669"/>
      <c r="D3" s="669"/>
      <c r="E3" s="669"/>
      <c r="F3" s="670"/>
      <c r="I3" s="670"/>
      <c r="J3" s="671"/>
    </row>
    <row r="4" customFormat="false" ht="19.5" hidden="false" customHeight="true" outlineLevel="0" collapsed="false">
      <c r="A4" s="673" t="s">
        <v>695</v>
      </c>
      <c r="B4" s="673"/>
      <c r="C4" s="673"/>
      <c r="D4" s="673"/>
      <c r="E4" s="673"/>
      <c r="F4" s="673"/>
      <c r="G4" s="673"/>
      <c r="H4" s="673"/>
      <c r="I4" s="673"/>
      <c r="J4" s="673"/>
    </row>
    <row r="5" customFormat="false" ht="19.5" hidden="false" customHeight="true" outlineLevel="0" collapsed="false">
      <c r="A5" s="674" t="s">
        <v>421</v>
      </c>
      <c r="B5" s="674"/>
      <c r="C5" s="674"/>
      <c r="D5" s="674"/>
      <c r="E5" s="674"/>
      <c r="F5" s="674"/>
      <c r="G5" s="674"/>
      <c r="H5" s="674"/>
      <c r="I5" s="674"/>
      <c r="J5" s="674"/>
    </row>
    <row r="6" customFormat="false" ht="36" hidden="false" customHeight="true" outlineLevel="0" collapsed="false">
      <c r="A6" s="675" t="str">
        <f aca="false">Dados!A4</f>
        <v>Sindicato utilizado - SINTEAC/JF. Vigência: 01/01/2023 à 31/12/2023. Sendo a data base da categoria 01º Janeiro. Com número de registro no MTE MG001725/2023.</v>
      </c>
      <c r="B6" s="675"/>
      <c r="C6" s="675"/>
      <c r="D6" s="675"/>
      <c r="E6" s="675"/>
      <c r="F6" s="675"/>
      <c r="G6" s="675"/>
      <c r="H6" s="675"/>
      <c r="I6" s="675"/>
      <c r="J6" s="675"/>
    </row>
    <row r="7" customFormat="false" ht="19.5" hidden="false" customHeight="true" outlineLevel="0" collapsed="false">
      <c r="A7" s="676" t="str">
        <f aca="false">Dados!C11</f>
        <v>Jardineiro</v>
      </c>
      <c r="B7" s="676"/>
      <c r="C7" s="676"/>
      <c r="D7" s="676"/>
      <c r="E7" s="676"/>
      <c r="F7" s="677" t="s">
        <v>696</v>
      </c>
      <c r="G7" s="677" t="s">
        <v>697</v>
      </c>
      <c r="H7" s="677" t="s">
        <v>698</v>
      </c>
      <c r="I7" s="677" t="s">
        <v>699</v>
      </c>
      <c r="J7" s="677" t="s">
        <v>700</v>
      </c>
    </row>
    <row r="8" customFormat="false" ht="19.5" hidden="false" customHeight="true" outlineLevel="0" collapsed="false">
      <c r="A8" s="678" t="s">
        <v>701</v>
      </c>
      <c r="B8" s="678"/>
      <c r="C8" s="678"/>
      <c r="D8" s="678"/>
      <c r="E8" s="679" t="s">
        <v>518</v>
      </c>
      <c r="F8" s="677"/>
      <c r="G8" s="677"/>
      <c r="H8" s="677"/>
      <c r="I8" s="677"/>
      <c r="J8" s="677"/>
    </row>
    <row r="9" customFormat="false" ht="19.5" hidden="false" customHeight="true" outlineLevel="0" collapsed="false">
      <c r="A9" s="680" t="s">
        <v>702</v>
      </c>
      <c r="B9" s="680"/>
      <c r="C9" s="680"/>
      <c r="D9" s="680"/>
      <c r="E9" s="680"/>
      <c r="F9" s="680"/>
      <c r="G9" s="680"/>
      <c r="H9" s="680"/>
      <c r="I9" s="680"/>
      <c r="J9" s="680"/>
    </row>
    <row r="10" customFormat="false" ht="24" hidden="false" customHeight="true" outlineLevel="0" collapsed="false">
      <c r="A10" s="681" t="s">
        <v>519</v>
      </c>
      <c r="B10" s="682" t="s">
        <v>703</v>
      </c>
      <c r="C10" s="682"/>
      <c r="D10" s="683" t="s">
        <v>704</v>
      </c>
      <c r="E10" s="684" t="s">
        <v>705</v>
      </c>
      <c r="F10" s="685" t="s">
        <v>522</v>
      </c>
      <c r="G10" s="685"/>
      <c r="H10" s="685"/>
      <c r="I10" s="685"/>
      <c r="J10" s="685"/>
    </row>
    <row r="11" customFormat="false" ht="19.5" hidden="false" customHeight="true" outlineLevel="0" collapsed="false">
      <c r="A11" s="686" t="n">
        <v>1</v>
      </c>
      <c r="B11" s="687" t="str">
        <f aca="false">A7</f>
        <v>Jardineiro</v>
      </c>
      <c r="C11" s="687"/>
      <c r="D11" s="688" t="n">
        <f aca="false">Dados!D11</f>
        <v>150</v>
      </c>
      <c r="E11" s="689" t="n">
        <f aca="false">Dados!E11</f>
        <v>2006.13</v>
      </c>
      <c r="F11" s="690" t="n">
        <f aca="false">ROUND(E11/220*D11,2)</f>
        <v>1367.82</v>
      </c>
      <c r="G11" s="690" t="n">
        <f aca="false">F11</f>
        <v>1367.82</v>
      </c>
      <c r="H11" s="690"/>
      <c r="I11" s="690"/>
      <c r="J11" s="691"/>
    </row>
    <row r="12" customFormat="false" ht="19.5" hidden="false" customHeight="true" outlineLevel="0" collapsed="false">
      <c r="A12" s="686"/>
      <c r="B12" s="687" t="s">
        <v>706</v>
      </c>
      <c r="C12" s="687"/>
      <c r="D12" s="692" t="n">
        <f aca="false">Dados!G11</f>
        <v>0</v>
      </c>
      <c r="E12" s="689" t="n">
        <f aca="false">Dados!$G$34</f>
        <v>1320</v>
      </c>
      <c r="F12" s="690" t="n">
        <f aca="false">D12*E12</f>
        <v>0</v>
      </c>
      <c r="G12" s="690" t="n">
        <f aca="false">F12</f>
        <v>0</v>
      </c>
      <c r="H12" s="690"/>
      <c r="I12" s="690"/>
      <c r="J12" s="691" t="n">
        <f aca="false">F12</f>
        <v>0</v>
      </c>
    </row>
    <row r="13" customFormat="false" ht="22.5" hidden="false" customHeight="true" outlineLevel="0" collapsed="false">
      <c r="A13" s="686"/>
      <c r="B13" s="693" t="s">
        <v>707</v>
      </c>
      <c r="C13" s="694" t="n">
        <f aca="false">Dados!$I$11</f>
        <v>0</v>
      </c>
      <c r="D13" s="694" t="n">
        <f aca="false">Dados!$J$11</f>
        <v>0</v>
      </c>
      <c r="E13" s="695" t="n">
        <f aca="false">Dados!$K$11</f>
        <v>0</v>
      </c>
      <c r="F13" s="696" t="n">
        <f aca="false">ROUND((E13*D13*C13),2)</f>
        <v>0</v>
      </c>
      <c r="G13" s="696" t="n">
        <f aca="false">F13</f>
        <v>0</v>
      </c>
      <c r="H13" s="696"/>
      <c r="I13" s="696"/>
      <c r="J13" s="697"/>
    </row>
    <row r="14" customFormat="false" ht="19.5" hidden="false" customHeight="true" outlineLevel="0" collapsed="false">
      <c r="A14" s="686"/>
      <c r="B14" s="698" t="s">
        <v>708</v>
      </c>
      <c r="C14" s="698"/>
      <c r="D14" s="698"/>
      <c r="E14" s="698"/>
      <c r="F14" s="699" t="n">
        <f aca="false">SUM(F11:F13)</f>
        <v>1367.82</v>
      </c>
      <c r="G14" s="699" t="n">
        <f aca="false">SUM(G11:G13)</f>
        <v>1367.82</v>
      </c>
      <c r="H14" s="699" t="n">
        <f aca="false">SUM(H11:H13)</f>
        <v>0</v>
      </c>
      <c r="I14" s="699" t="n">
        <f aca="false">SUM(I11:I13)</f>
        <v>0</v>
      </c>
      <c r="J14" s="700" t="n">
        <f aca="false">SUM(J11:J13)</f>
        <v>0</v>
      </c>
    </row>
    <row r="15" customFormat="false" ht="19.5" hidden="false" customHeight="true" outlineLevel="0" collapsed="false">
      <c r="A15" s="686"/>
      <c r="B15" s="701" t="s">
        <v>709</v>
      </c>
      <c r="C15" s="701"/>
      <c r="D15" s="701"/>
      <c r="E15" s="702" t="n">
        <f aca="false">Encargos!$C$57</f>
        <v>0.7905</v>
      </c>
      <c r="F15" s="690" t="n">
        <f aca="false">ROUND((E15*F14),2)</f>
        <v>1081.26</v>
      </c>
      <c r="G15" s="690" t="n">
        <f aca="false">F15</f>
        <v>1081.26</v>
      </c>
      <c r="H15" s="690"/>
      <c r="I15" s="690"/>
      <c r="J15" s="691" t="n">
        <f aca="false">ROUND((E15*J14),2)</f>
        <v>0</v>
      </c>
    </row>
    <row r="16" customFormat="false" ht="19.5" hidden="false" customHeight="true" outlineLevel="0" collapsed="false">
      <c r="A16" s="703" t="s">
        <v>710</v>
      </c>
      <c r="B16" s="703"/>
      <c r="C16" s="703"/>
      <c r="D16" s="703"/>
      <c r="E16" s="703"/>
      <c r="F16" s="704" t="n">
        <f aca="false">SUM(F14:F15)</f>
        <v>2449.08</v>
      </c>
      <c r="G16" s="704" t="n">
        <f aca="false">SUM(G14:G15)</f>
        <v>2449.08</v>
      </c>
      <c r="H16" s="704" t="n">
        <f aca="false">SUM(H14:H15)</f>
        <v>0</v>
      </c>
      <c r="I16" s="704" t="n">
        <f aca="false">SUM(I14:I15)</f>
        <v>0</v>
      </c>
      <c r="J16" s="705" t="n">
        <f aca="false">SUM(J14:J15)</f>
        <v>0</v>
      </c>
    </row>
    <row r="17" customFormat="false" ht="19.5" hidden="false" customHeight="true" outlineLevel="0" collapsed="false">
      <c r="A17" s="706" t="s">
        <v>711</v>
      </c>
      <c r="B17" s="706"/>
      <c r="C17" s="706"/>
      <c r="D17" s="706"/>
      <c r="E17" s="706"/>
      <c r="F17" s="706"/>
      <c r="G17" s="706"/>
      <c r="H17" s="706"/>
      <c r="I17" s="706"/>
      <c r="J17" s="706"/>
    </row>
    <row r="18" customFormat="false" ht="19.5" hidden="false" customHeight="true" outlineLevel="0" collapsed="false">
      <c r="A18" s="707" t="s">
        <v>712</v>
      </c>
      <c r="B18" s="707"/>
      <c r="C18" s="708" t="s">
        <v>521</v>
      </c>
      <c r="D18" s="708" t="s">
        <v>713</v>
      </c>
      <c r="E18" s="708"/>
      <c r="F18" s="709" t="s">
        <v>522</v>
      </c>
      <c r="G18" s="709"/>
      <c r="H18" s="709"/>
      <c r="I18" s="709"/>
      <c r="J18" s="709"/>
    </row>
    <row r="19" customFormat="false" ht="19.5" hidden="false" customHeight="true" outlineLevel="0" collapsed="false">
      <c r="A19" s="710" t="s">
        <v>714</v>
      </c>
      <c r="B19" s="710"/>
      <c r="C19" s="711"/>
      <c r="D19" s="711"/>
      <c r="E19" s="711"/>
      <c r="F19" s="690" t="n">
        <f aca="false">Dados!N11</f>
        <v>30.93</v>
      </c>
      <c r="G19" s="690" t="n">
        <f aca="false">F19</f>
        <v>30.93</v>
      </c>
      <c r="H19" s="690"/>
      <c r="I19" s="690"/>
      <c r="J19" s="691"/>
    </row>
    <row r="20" customFormat="false" ht="19.5" hidden="false" customHeight="true" outlineLevel="0" collapsed="false">
      <c r="A20" s="710" t="s">
        <v>715</v>
      </c>
      <c r="B20" s="710"/>
      <c r="C20" s="711"/>
      <c r="D20" s="711"/>
      <c r="E20" s="711"/>
      <c r="F20" s="690" t="n">
        <f aca="false">Dados!G37</f>
        <v>1.55</v>
      </c>
      <c r="G20" s="690" t="n">
        <f aca="false">F20</f>
        <v>1.55</v>
      </c>
      <c r="H20" s="690"/>
      <c r="I20" s="690"/>
      <c r="J20" s="691"/>
    </row>
    <row r="21" customFormat="false" ht="23.25" hidden="false" customHeight="true" outlineLevel="0" collapsed="false">
      <c r="A21" s="712" t="s">
        <v>354</v>
      </c>
      <c r="B21" s="712"/>
      <c r="C21" s="711"/>
      <c r="D21" s="711"/>
      <c r="E21" s="711"/>
      <c r="F21" s="690" t="n">
        <f aca="false">Dados!G38</f>
        <v>50.36</v>
      </c>
      <c r="G21" s="690" t="n">
        <f aca="false">F21</f>
        <v>50.36</v>
      </c>
      <c r="H21" s="690"/>
      <c r="I21" s="690"/>
      <c r="J21" s="691"/>
    </row>
    <row r="22" customFormat="false" ht="19.5" hidden="false" customHeight="true" outlineLevel="0" collapsed="false">
      <c r="A22" s="710" t="s">
        <v>355</v>
      </c>
      <c r="B22" s="710"/>
      <c r="C22" s="713" t="n">
        <f aca="false">Dados!$G$41</f>
        <v>22</v>
      </c>
      <c r="D22" s="713" t="n">
        <f aca="false">Dados!$G$40</f>
        <v>2</v>
      </c>
      <c r="E22" s="714" t="n">
        <f aca="false">Dados!$G$39</f>
        <v>3.75</v>
      </c>
      <c r="F22" s="690" t="n">
        <f aca="false">IF(ROUND((E22*D22*C22)-(F11*Dados!G42),2)&lt;0,0,ROUND((E22*D22*C22)-(F11*Dados!G42),2))</f>
        <v>82.93</v>
      </c>
      <c r="G22" s="690" t="n">
        <f aca="false">F22</f>
        <v>82.93</v>
      </c>
      <c r="H22" s="690"/>
      <c r="I22" s="690" t="n">
        <f aca="false">F22</f>
        <v>82.93</v>
      </c>
      <c r="J22" s="691"/>
    </row>
    <row r="23" customFormat="false" ht="19.5" hidden="false" customHeight="true" outlineLevel="0" collapsed="false">
      <c r="A23" s="710" t="s">
        <v>364</v>
      </c>
      <c r="B23" s="710"/>
      <c r="C23" s="713" t="n">
        <f aca="false">Dados!G45</f>
        <v>22</v>
      </c>
      <c r="D23" s="715" t="n">
        <f aca="false">Dados!G46</f>
        <v>0.2</v>
      </c>
      <c r="E23" s="714" t="n">
        <f aca="false">Dados!G44</f>
        <v>15.6</v>
      </c>
      <c r="F23" s="716" t="n">
        <f aca="false">ROUND((IF(D11&lt;200,((C23*E23)-(C23*(D23*E23))),0)),2)</f>
        <v>274.56</v>
      </c>
      <c r="G23" s="690" t="n">
        <f aca="false">F23</f>
        <v>274.56</v>
      </c>
      <c r="H23" s="690" t="n">
        <f aca="false">$F$23</f>
        <v>274.56</v>
      </c>
      <c r="I23" s="716"/>
      <c r="J23" s="691"/>
    </row>
    <row r="24" customFormat="false" ht="19.5" hidden="false" customHeight="true" outlineLevel="0" collapsed="false">
      <c r="A24" s="710" t="s">
        <v>368</v>
      </c>
      <c r="B24" s="710"/>
      <c r="C24" s="713"/>
      <c r="D24" s="713"/>
      <c r="E24" s="714"/>
      <c r="F24" s="716" t="n">
        <f aca="false">Dados!G47</f>
        <v>0</v>
      </c>
      <c r="G24" s="690"/>
      <c r="H24" s="690"/>
      <c r="I24" s="716"/>
      <c r="J24" s="691"/>
    </row>
    <row r="25" customFormat="false" ht="19.5" hidden="false" customHeight="true" outlineLevel="0" collapsed="false">
      <c r="A25" s="710" t="s">
        <v>368</v>
      </c>
      <c r="B25" s="710"/>
      <c r="C25" s="713"/>
      <c r="D25" s="713"/>
      <c r="E25" s="714"/>
      <c r="F25" s="716" t="n">
        <f aca="false">Dados!G48</f>
        <v>0</v>
      </c>
      <c r="G25" s="690"/>
      <c r="H25" s="690"/>
      <c r="I25" s="716"/>
      <c r="J25" s="691"/>
    </row>
    <row r="26" customFormat="false" ht="19.5" hidden="false" customHeight="true" outlineLevel="0" collapsed="false">
      <c r="A26" s="710" t="s">
        <v>716</v>
      </c>
      <c r="B26" s="710"/>
      <c r="C26" s="713"/>
      <c r="D26" s="714"/>
      <c r="E26" s="714"/>
      <c r="F26" s="690"/>
      <c r="G26" s="690"/>
      <c r="H26" s="690"/>
      <c r="I26" s="690"/>
      <c r="J26" s="691"/>
      <c r="L26" s="717"/>
    </row>
    <row r="27" customFormat="false" ht="19.5" hidden="false" customHeight="true" outlineLevel="0" collapsed="false">
      <c r="A27" s="710" t="s">
        <v>731</v>
      </c>
      <c r="B27" s="718"/>
      <c r="C27" s="713"/>
      <c r="D27" s="714"/>
      <c r="E27" s="714"/>
      <c r="F27" s="690" t="n">
        <f aca="false">Dados!R11</f>
        <v>157.1</v>
      </c>
      <c r="G27" s="690"/>
      <c r="H27" s="690"/>
      <c r="I27" s="690"/>
      <c r="J27" s="691"/>
    </row>
    <row r="28" customFormat="false" ht="19.5" hidden="false" customHeight="true" outlineLevel="0" collapsed="false">
      <c r="A28" s="719" t="s">
        <v>718</v>
      </c>
      <c r="B28" s="719"/>
      <c r="C28" s="720"/>
      <c r="D28" s="721"/>
      <c r="E28" s="721"/>
      <c r="F28" s="696" t="n">
        <f aca="false">Dados!T11</f>
        <v>29.52</v>
      </c>
      <c r="G28" s="696" t="n">
        <f aca="false">F28</f>
        <v>29.52</v>
      </c>
      <c r="H28" s="696"/>
      <c r="I28" s="696"/>
      <c r="J28" s="697"/>
    </row>
    <row r="29" customFormat="false" ht="19.5" hidden="false" customHeight="true" outlineLevel="0" collapsed="false">
      <c r="A29" s="722" t="s">
        <v>719</v>
      </c>
      <c r="B29" s="722"/>
      <c r="C29" s="722"/>
      <c r="D29" s="722"/>
      <c r="E29" s="722"/>
      <c r="F29" s="704" t="n">
        <f aca="false">SUM(F19:F28)</f>
        <v>626.95</v>
      </c>
      <c r="G29" s="704" t="n">
        <f aca="false">SUM(G19:G28)</f>
        <v>469.85</v>
      </c>
      <c r="H29" s="704" t="n">
        <f aca="false">SUM(H19:H28)</f>
        <v>274.56</v>
      </c>
      <c r="I29" s="704" t="n">
        <f aca="false">SUM(I19:I28)</f>
        <v>82.93</v>
      </c>
      <c r="J29" s="705" t="n">
        <f aca="false">SUM(J19:J28)</f>
        <v>0</v>
      </c>
    </row>
    <row r="30" customFormat="false" ht="19.5" hidden="false" customHeight="true" outlineLevel="0" collapsed="false">
      <c r="A30" s="722" t="s">
        <v>720</v>
      </c>
      <c r="B30" s="722"/>
      <c r="C30" s="722"/>
      <c r="D30" s="722"/>
      <c r="E30" s="722"/>
      <c r="F30" s="704" t="n">
        <f aca="false">F16+F29</f>
        <v>3076.03</v>
      </c>
      <c r="G30" s="704" t="n">
        <f aca="false">G16+G29</f>
        <v>2918.93</v>
      </c>
      <c r="H30" s="704" t="n">
        <f aca="false">H16+H29</f>
        <v>274.56</v>
      </c>
      <c r="I30" s="704" t="n">
        <f aca="false">I16+I29</f>
        <v>82.93</v>
      </c>
      <c r="J30" s="705" t="n">
        <f aca="false">J16+J29</f>
        <v>0</v>
      </c>
    </row>
    <row r="31" customFormat="false" ht="19.5" hidden="false" customHeight="true" outlineLevel="0" collapsed="false">
      <c r="A31" s="680" t="s">
        <v>721</v>
      </c>
      <c r="B31" s="680"/>
      <c r="C31" s="680"/>
      <c r="D31" s="680"/>
      <c r="E31" s="680"/>
      <c r="F31" s="680"/>
      <c r="G31" s="680"/>
      <c r="H31" s="680"/>
      <c r="I31" s="680"/>
      <c r="J31" s="680"/>
    </row>
    <row r="32" customFormat="false" ht="19.5" hidden="false" customHeight="true" outlineLevel="0" collapsed="false">
      <c r="A32" s="707" t="s">
        <v>722</v>
      </c>
      <c r="B32" s="707"/>
      <c r="C32" s="707"/>
      <c r="D32" s="723" t="s">
        <v>622</v>
      </c>
      <c r="E32" s="724" t="s">
        <v>522</v>
      </c>
      <c r="F32" s="724"/>
      <c r="G32" s="724"/>
      <c r="H32" s="724"/>
      <c r="I32" s="724"/>
      <c r="J32" s="724"/>
    </row>
    <row r="33" customFormat="false" ht="19.5" hidden="false" customHeight="true" outlineLevel="0" collapsed="false">
      <c r="A33" s="725" t="s">
        <v>723</v>
      </c>
      <c r="B33" s="726"/>
      <c r="C33" s="726"/>
      <c r="D33" s="727" t="n">
        <f aca="false">Dados!$G$51</f>
        <v>0.03</v>
      </c>
      <c r="E33" s="728"/>
      <c r="F33" s="690" t="n">
        <f aca="false">ROUND((F30*$D$33),2)</f>
        <v>92.28</v>
      </c>
      <c r="G33" s="690" t="n">
        <f aca="false">ROUND((G30*$D$33),2)</f>
        <v>87.57</v>
      </c>
      <c r="H33" s="690" t="n">
        <f aca="false">ROUND((H30*$D$33),2)</f>
        <v>8.24</v>
      </c>
      <c r="I33" s="690" t="n">
        <f aca="false">ROUND((I30*$D$33),2)</f>
        <v>2.49</v>
      </c>
      <c r="J33" s="691" t="n">
        <f aca="false">ROUND((J30*$D$33),2)</f>
        <v>0</v>
      </c>
    </row>
    <row r="34" customFormat="false" ht="19.5" hidden="false" customHeight="true" outlineLevel="0" collapsed="false">
      <c r="A34" s="729" t="s">
        <v>724</v>
      </c>
      <c r="B34" s="729"/>
      <c r="C34" s="729"/>
      <c r="D34" s="727"/>
      <c r="E34" s="728"/>
      <c r="F34" s="690" t="n">
        <f aca="false">F30+F33</f>
        <v>3168.31</v>
      </c>
      <c r="G34" s="690" t="n">
        <f aca="false">G30+G33</f>
        <v>3006.5</v>
      </c>
      <c r="H34" s="690" t="n">
        <f aca="false">H30+H33</f>
        <v>282.8</v>
      </c>
      <c r="I34" s="690" t="n">
        <f aca="false">I30+I33</f>
        <v>85.42</v>
      </c>
      <c r="J34" s="691" t="n">
        <f aca="false">J30+J33</f>
        <v>0</v>
      </c>
    </row>
    <row r="35" customFormat="false" ht="19.5" hidden="false" customHeight="true" outlineLevel="0" collapsed="false">
      <c r="A35" s="730" t="s">
        <v>373</v>
      </c>
      <c r="B35" s="731"/>
      <c r="C35" s="731"/>
      <c r="D35" s="732" t="n">
        <f aca="false">Dados!$G$52</f>
        <v>0.0679</v>
      </c>
      <c r="E35" s="733"/>
      <c r="F35" s="696" t="n">
        <f aca="false">ROUND((F34*$D$35),2)</f>
        <v>215.13</v>
      </c>
      <c r="G35" s="696" t="n">
        <f aca="false">ROUND((G34*$D$35),2)</f>
        <v>204.14</v>
      </c>
      <c r="H35" s="696" t="n">
        <f aca="false">ROUND((H34*$D$35),2)</f>
        <v>19.2</v>
      </c>
      <c r="I35" s="696" t="n">
        <f aca="false">ROUND((I34*$D$35),2)</f>
        <v>5.8</v>
      </c>
      <c r="J35" s="697" t="n">
        <f aca="false">ROUND((J34*$D$35),2)</f>
        <v>0</v>
      </c>
    </row>
    <row r="36" customFormat="false" ht="19.5" hidden="false" customHeight="true" outlineLevel="0" collapsed="false">
      <c r="A36" s="734" t="s">
        <v>725</v>
      </c>
      <c r="B36" s="735"/>
      <c r="C36" s="735"/>
      <c r="D36" s="736" t="n">
        <f aca="false">SUM(D33:D35)</f>
        <v>0.0979</v>
      </c>
      <c r="E36" s="737"/>
      <c r="F36" s="704" t="n">
        <f aca="false">F33+F35</f>
        <v>307.41</v>
      </c>
      <c r="G36" s="704" t="n">
        <f aca="false">G33+G35</f>
        <v>291.71</v>
      </c>
      <c r="H36" s="704" t="n">
        <f aca="false">H33+H35</f>
        <v>27.44</v>
      </c>
      <c r="I36" s="704" t="n">
        <f aca="false">I33+I35</f>
        <v>8.29</v>
      </c>
      <c r="J36" s="705" t="n">
        <f aca="false">J33+J35</f>
        <v>0</v>
      </c>
    </row>
    <row r="37" customFormat="false" ht="19.5" hidden="false" customHeight="true" outlineLevel="0" collapsed="false">
      <c r="A37" s="738" t="s">
        <v>726</v>
      </c>
      <c r="B37" s="738"/>
      <c r="C37" s="738"/>
      <c r="D37" s="738"/>
      <c r="E37" s="738"/>
      <c r="F37" s="739" t="n">
        <f aca="false">F30+F36</f>
        <v>3383.44</v>
      </c>
      <c r="G37" s="739" t="n">
        <f aca="false">G30+G36</f>
        <v>3210.64</v>
      </c>
      <c r="H37" s="739" t="n">
        <f aca="false">H30+H36</f>
        <v>302</v>
      </c>
      <c r="I37" s="739" t="n">
        <f aca="false">I30+I36</f>
        <v>91.22</v>
      </c>
      <c r="J37" s="740" t="n">
        <f aca="false">J30+J36</f>
        <v>0</v>
      </c>
    </row>
    <row r="38" customFormat="false" ht="19.5" hidden="false" customHeight="true" outlineLevel="0" collapsed="false">
      <c r="A38" s="741" t="s">
        <v>727</v>
      </c>
      <c r="B38" s="741"/>
      <c r="C38" s="741"/>
      <c r="D38" s="741"/>
      <c r="E38" s="741"/>
      <c r="F38" s="741"/>
      <c r="G38" s="741"/>
      <c r="H38" s="741"/>
      <c r="I38" s="741"/>
      <c r="J38" s="741"/>
    </row>
    <row r="39" customFormat="false" ht="19.5" hidden="false" customHeight="true" outlineLevel="0" collapsed="false">
      <c r="A39" s="710" t="s">
        <v>379</v>
      </c>
      <c r="B39" s="710"/>
      <c r="C39" s="710"/>
      <c r="D39" s="727" t="n">
        <f aca="false">Dados!G59</f>
        <v>0.076</v>
      </c>
      <c r="E39" s="742"/>
      <c r="F39" s="690" t="n">
        <f aca="false">ROUND(($F$45*D39),2)</f>
        <v>293.04</v>
      </c>
      <c r="G39" s="690" t="n">
        <f aca="false">ROUND((G45*$D$39),2)</f>
        <v>278.07</v>
      </c>
      <c r="H39" s="690" t="n">
        <f aca="false">ROUND((H45*$D$39),2)</f>
        <v>22.95</v>
      </c>
      <c r="I39" s="690" t="n">
        <f aca="false">ROUND((I45*$D$39),2)</f>
        <v>7.9</v>
      </c>
      <c r="J39" s="691" t="n">
        <f aca="false">ROUND((J45*$D$39),2)</f>
        <v>0</v>
      </c>
    </row>
    <row r="40" customFormat="false" ht="19.5" hidden="false" customHeight="true" outlineLevel="0" collapsed="false">
      <c r="A40" s="710" t="s">
        <v>381</v>
      </c>
      <c r="B40" s="710"/>
      <c r="C40" s="710"/>
      <c r="D40" s="727" t="n">
        <f aca="false">Dados!G60</f>
        <v>0.0165</v>
      </c>
      <c r="E40" s="742"/>
      <c r="F40" s="690" t="n">
        <f aca="false">ROUND((F45*$D$40),2)</f>
        <v>63.62</v>
      </c>
      <c r="G40" s="690" t="n">
        <f aca="false">ROUND((G45*$D$40),2)</f>
        <v>60.37</v>
      </c>
      <c r="H40" s="690" t="n">
        <f aca="false">ROUND((H45*$D$40),2)</f>
        <v>4.98</v>
      </c>
      <c r="I40" s="690" t="n">
        <f aca="false">ROUND((I45*$D$40),2)</f>
        <v>1.72</v>
      </c>
      <c r="J40" s="691" t="n">
        <f aca="false">ROUND((J45*$D$40),2)</f>
        <v>0</v>
      </c>
    </row>
    <row r="41" customFormat="false" ht="19.5" hidden="false" customHeight="true" outlineLevel="0" collapsed="false">
      <c r="A41" s="710" t="str">
        <f aca="false">Dados!B61</f>
        <v>ISSQN - Limpeza e Manutenção</v>
      </c>
      <c r="B41" s="710"/>
      <c r="C41" s="710"/>
      <c r="D41" s="727" t="n">
        <f aca="false">Dados!G61</f>
        <v>0.03</v>
      </c>
      <c r="E41" s="742"/>
      <c r="F41" s="690" t="n">
        <f aca="false">ROUND((F45*$D$41),2)</f>
        <v>115.67</v>
      </c>
      <c r="G41" s="690" t="n">
        <f aca="false">ROUND((G45*$D$41),2)</f>
        <v>109.77</v>
      </c>
      <c r="H41" s="690" t="n">
        <f aca="false">ROUND((H45*$D$41),2)</f>
        <v>9.06</v>
      </c>
      <c r="I41" s="690" t="n">
        <f aca="false">ROUND((I45*$D$41),2)</f>
        <v>3.12</v>
      </c>
      <c r="J41" s="691" t="n">
        <f aca="false">ROUND((J45*$D$41),2)</f>
        <v>0</v>
      </c>
    </row>
    <row r="42" customFormat="false" ht="19.5" hidden="false" customHeight="true" outlineLevel="0" collapsed="false">
      <c r="A42" s="710" t="s">
        <v>368</v>
      </c>
      <c r="B42" s="710"/>
      <c r="C42" s="710"/>
      <c r="D42" s="727" t="n">
        <f aca="false">Dados!G63</f>
        <v>0</v>
      </c>
      <c r="E42" s="742"/>
      <c r="F42" s="690" t="n">
        <f aca="false">ROUND((F45*$D$42),2)</f>
        <v>0</v>
      </c>
      <c r="G42" s="690" t="n">
        <f aca="false">ROUND((G45*$D$42),2)</f>
        <v>0</v>
      </c>
      <c r="H42" s="690" t="n">
        <f aca="false">ROUND((H45*$D$42),2)</f>
        <v>0</v>
      </c>
      <c r="I42" s="690" t="n">
        <f aca="false">ROUND((I45*$D$42),2)</f>
        <v>0</v>
      </c>
      <c r="J42" s="691" t="n">
        <f aca="false">ROUND((J45*$D$42),2)</f>
        <v>0</v>
      </c>
    </row>
    <row r="43" customFormat="false" ht="19.5" hidden="false" customHeight="true" outlineLevel="0" collapsed="false">
      <c r="A43" s="743" t="s">
        <v>728</v>
      </c>
      <c r="B43" s="743"/>
      <c r="C43" s="743"/>
      <c r="D43" s="744" t="n">
        <f aca="false">SUM(D39:D42)</f>
        <v>0.1225</v>
      </c>
      <c r="E43" s="745"/>
      <c r="F43" s="746" t="n">
        <f aca="false">SUM(F39:F42)</f>
        <v>472.33</v>
      </c>
      <c r="G43" s="746" t="n">
        <f aca="false">SUM(G39:G42)</f>
        <v>448.21</v>
      </c>
      <c r="H43" s="746" t="n">
        <f aca="false">SUM(H39:H42)</f>
        <v>36.99</v>
      </c>
      <c r="I43" s="746" t="n">
        <f aca="false">SUM(I39:I42)</f>
        <v>12.74</v>
      </c>
      <c r="J43" s="747" t="n">
        <f aca="false">SUM(J39:J41)</f>
        <v>0</v>
      </c>
    </row>
    <row r="44" customFormat="false" ht="19.5" hidden="false" customHeight="true" outlineLevel="0" collapsed="false">
      <c r="A44" s="748" t="str">
        <f aca="false">CONCATENATE("Custo Mensal - ",A7)</f>
        <v>Custo Mensal - Jardineiro</v>
      </c>
      <c r="B44" s="748"/>
      <c r="C44" s="748"/>
      <c r="D44" s="748"/>
      <c r="E44" s="748"/>
      <c r="F44" s="749" t="n">
        <f aca="false">ROUND(F37/(1-D43),2)</f>
        <v>3855.77</v>
      </c>
      <c r="G44" s="749" t="n">
        <f aca="false">ROUND(G37/(1-D43),2)</f>
        <v>3658.85</v>
      </c>
      <c r="H44" s="749" t="n">
        <f aca="false">ROUND(H37/(1-C43),2)</f>
        <v>302</v>
      </c>
      <c r="I44" s="749" t="n">
        <f aca="false">ROUND(I37/(1-D43),2)</f>
        <v>103.95</v>
      </c>
      <c r="J44" s="750" t="n">
        <f aca="false">ROUND(J37/(1-D43),2)</f>
        <v>0</v>
      </c>
    </row>
    <row r="45" customFormat="false" ht="19.5" hidden="false" customHeight="true" outlineLevel="0" collapsed="false">
      <c r="A45" s="751" t="str">
        <f aca="false">CONCATENATE("Valor do Custo Mensal - ",A7)</f>
        <v>Valor do Custo Mensal - Jardineiro</v>
      </c>
      <c r="B45" s="751"/>
      <c r="C45" s="751"/>
      <c r="D45" s="751"/>
      <c r="E45" s="751"/>
      <c r="F45" s="749" t="n">
        <f aca="false">F44</f>
        <v>3855.77</v>
      </c>
      <c r="G45" s="749" t="n">
        <f aca="false">G44</f>
        <v>3658.85</v>
      </c>
      <c r="H45" s="749" t="n">
        <f aca="false">H44</f>
        <v>302</v>
      </c>
      <c r="I45" s="749" t="n">
        <f aca="false">I44</f>
        <v>103.95</v>
      </c>
      <c r="J45" s="750" t="n">
        <f aca="false">J44</f>
        <v>0</v>
      </c>
      <c r="K45" s="752"/>
      <c r="L45" s="752"/>
    </row>
    <row r="46" customFormat="false" ht="27.75" hidden="false" customHeight="true" outlineLevel="0" collapsed="false">
      <c r="A46" s="753" t="s">
        <v>729</v>
      </c>
      <c r="B46" s="753"/>
      <c r="C46" s="753"/>
      <c r="D46" s="753"/>
      <c r="E46" s="753"/>
      <c r="F46" s="754" t="n">
        <f aca="false">(F45/F14)</f>
        <v>2.81891623166791</v>
      </c>
      <c r="G46" s="754" t="n">
        <f aca="false">(G45/G14)</f>
        <v>2.67494992031115</v>
      </c>
      <c r="H46" s="755" t="s">
        <v>730</v>
      </c>
      <c r="I46" s="755"/>
      <c r="J46" s="756" t="n">
        <v>0</v>
      </c>
    </row>
    <row r="47" customFormat="false" ht="19.5" hidden="false" customHeight="true" outlineLevel="0" collapsed="false"/>
  </sheetData>
  <sheetProtection sheet="true" password="c354" objects="true" scenarios="true"/>
  <mergeCells count="49">
    <mergeCell ref="A4:J4"/>
    <mergeCell ref="A5:J5"/>
    <mergeCell ref="A6:J6"/>
    <mergeCell ref="A7:E7"/>
    <mergeCell ref="F7:F8"/>
    <mergeCell ref="G7:G8"/>
    <mergeCell ref="H7:H8"/>
    <mergeCell ref="I7:I8"/>
    <mergeCell ref="J7:J8"/>
    <mergeCell ref="A8:D8"/>
    <mergeCell ref="A9:J9"/>
    <mergeCell ref="B10:C10"/>
    <mergeCell ref="F10:J10"/>
    <mergeCell ref="A11:A15"/>
    <mergeCell ref="B11:C11"/>
    <mergeCell ref="B12:C12"/>
    <mergeCell ref="B14:E14"/>
    <mergeCell ref="B15:D15"/>
    <mergeCell ref="A16:E16"/>
    <mergeCell ref="A17:J17"/>
    <mergeCell ref="A18:B18"/>
    <mergeCell ref="D18:E18"/>
    <mergeCell ref="F18:J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E29"/>
    <mergeCell ref="A30:E30"/>
    <mergeCell ref="A31:J31"/>
    <mergeCell ref="A32:C32"/>
    <mergeCell ref="E32:J32"/>
    <mergeCell ref="A34:C34"/>
    <mergeCell ref="A37:E37"/>
    <mergeCell ref="A38:J38"/>
    <mergeCell ref="A39:C39"/>
    <mergeCell ref="A40:C40"/>
    <mergeCell ref="A41:C41"/>
    <mergeCell ref="A42:C42"/>
    <mergeCell ref="A43:C43"/>
    <mergeCell ref="A44:E44"/>
    <mergeCell ref="A45:E45"/>
    <mergeCell ref="A46:E46"/>
    <mergeCell ref="H46:I4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6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2" activeCellId="0" sqref="A42"/>
    </sheetView>
  </sheetViews>
  <sheetFormatPr defaultColWidth="9.1484375" defaultRowHeight="15" zeroHeight="false" outlineLevelRow="0" outlineLevelCol="0"/>
  <cols>
    <col collapsed="false" customWidth="true" hidden="false" outlineLevel="0" max="1" min="1" style="148" width="10.57"/>
    <col collapsed="false" customWidth="true" hidden="false" outlineLevel="0" max="2" min="2" style="148" width="27.71"/>
    <col collapsed="false" customWidth="true" hidden="false" outlineLevel="0" max="3" min="3" style="148" width="14.42"/>
    <col collapsed="false" customWidth="true" hidden="false" outlineLevel="0" max="5" min="4" style="148" width="15"/>
    <col collapsed="false" customWidth="true" hidden="false" outlineLevel="0" max="6" min="6" style="662" width="16.71"/>
    <col collapsed="false" customWidth="true" hidden="false" outlineLevel="0" max="8" min="7" style="662" width="13.15"/>
    <col collapsed="false" customWidth="true" hidden="false" outlineLevel="0" max="9" min="9" style="662" width="12.57"/>
    <col collapsed="false" customWidth="true" hidden="false" outlineLevel="0" max="10" min="10" style="662" width="13.15"/>
    <col collapsed="false" customWidth="false" hidden="false" outlineLevel="0" max="257" min="11" style="148" width="9.14"/>
    <col collapsed="false" customWidth="true" hidden="false" outlineLevel="0" max="258" min="258" style="148" width="10.57"/>
    <col collapsed="false" customWidth="true" hidden="false" outlineLevel="0" max="259" min="259" style="148" width="27.71"/>
    <col collapsed="false" customWidth="true" hidden="false" outlineLevel="0" max="260" min="260" style="148" width="14.42"/>
    <col collapsed="false" customWidth="true" hidden="false" outlineLevel="0" max="262" min="261" style="148" width="15"/>
    <col collapsed="false" customWidth="true" hidden="false" outlineLevel="0" max="263" min="263" style="148" width="16.71"/>
    <col collapsed="false" customWidth="true" hidden="false" outlineLevel="0" max="264" min="264" style="148" width="13.15"/>
    <col collapsed="false" customWidth="true" hidden="false" outlineLevel="0" max="266" min="265" style="148" width="12.57"/>
    <col collapsed="false" customWidth="false" hidden="false" outlineLevel="0" max="513" min="267" style="148" width="9.14"/>
    <col collapsed="false" customWidth="true" hidden="false" outlineLevel="0" max="514" min="514" style="148" width="10.57"/>
    <col collapsed="false" customWidth="true" hidden="false" outlineLevel="0" max="515" min="515" style="148" width="27.71"/>
    <col collapsed="false" customWidth="true" hidden="false" outlineLevel="0" max="516" min="516" style="148" width="14.42"/>
    <col collapsed="false" customWidth="true" hidden="false" outlineLevel="0" max="518" min="517" style="148" width="15"/>
    <col collapsed="false" customWidth="true" hidden="false" outlineLevel="0" max="519" min="519" style="148" width="16.71"/>
    <col collapsed="false" customWidth="true" hidden="false" outlineLevel="0" max="520" min="520" style="148" width="13.15"/>
    <col collapsed="false" customWidth="true" hidden="false" outlineLevel="0" max="522" min="521" style="148" width="12.57"/>
    <col collapsed="false" customWidth="false" hidden="false" outlineLevel="0" max="769" min="523" style="148" width="9.14"/>
    <col collapsed="false" customWidth="true" hidden="false" outlineLevel="0" max="770" min="770" style="148" width="10.57"/>
    <col collapsed="false" customWidth="true" hidden="false" outlineLevel="0" max="771" min="771" style="148" width="27.71"/>
    <col collapsed="false" customWidth="true" hidden="false" outlineLevel="0" max="772" min="772" style="148" width="14.42"/>
    <col collapsed="false" customWidth="true" hidden="false" outlineLevel="0" max="774" min="773" style="148" width="15"/>
    <col collapsed="false" customWidth="true" hidden="false" outlineLevel="0" max="775" min="775" style="148" width="16.71"/>
    <col collapsed="false" customWidth="true" hidden="false" outlineLevel="0" max="776" min="776" style="148" width="13.15"/>
    <col collapsed="false" customWidth="true" hidden="false" outlineLevel="0" max="778" min="777" style="148" width="12.57"/>
    <col collapsed="false" customWidth="false" hidden="false" outlineLevel="0" max="1024" min="779" style="148" width="9.14"/>
  </cols>
  <sheetData>
    <row r="1" customFormat="false" ht="15" hidden="false" customHeight="false" outlineLevel="0" collapsed="false">
      <c r="A1" s="663"/>
      <c r="B1" s="145" t="str">
        <f aca="false">INSTRUÇÕES!B1</f>
        <v>Tribunal Regional Federal da 6ª Região</v>
      </c>
      <c r="C1" s="664"/>
      <c r="D1" s="664"/>
      <c r="E1" s="664"/>
      <c r="F1" s="665"/>
      <c r="G1" s="666"/>
      <c r="H1" s="666"/>
      <c r="I1" s="665"/>
      <c r="J1" s="667"/>
    </row>
    <row r="2" customFormat="false" ht="15" hidden="false" customHeight="false" outlineLevel="0" collapsed="false">
      <c r="A2" s="668"/>
      <c r="B2" s="147" t="str">
        <f aca="false">INSTRUÇÕES!B2</f>
        <v>Seção Judiciária de Minas Gerais</v>
      </c>
      <c r="C2" s="669"/>
      <c r="D2" s="669"/>
      <c r="E2" s="669"/>
      <c r="F2" s="670"/>
      <c r="I2" s="670"/>
      <c r="J2" s="671"/>
    </row>
    <row r="3" customFormat="false" ht="15" hidden="false" customHeight="false" outlineLevel="0" collapsed="false">
      <c r="A3" s="672"/>
      <c r="B3" s="491" t="str">
        <f aca="false">INSTRUÇÕES!B3</f>
        <v>Subseção Judiciária de Juiz de Fora</v>
      </c>
      <c r="C3" s="669"/>
      <c r="D3" s="669"/>
      <c r="E3" s="669"/>
      <c r="F3" s="670"/>
      <c r="I3" s="670"/>
      <c r="J3" s="671"/>
    </row>
    <row r="4" customFormat="false" ht="19.5" hidden="false" customHeight="true" outlineLevel="0" collapsed="false">
      <c r="A4" s="673" t="s">
        <v>695</v>
      </c>
      <c r="B4" s="673"/>
      <c r="C4" s="673"/>
      <c r="D4" s="673"/>
      <c r="E4" s="673"/>
      <c r="F4" s="673"/>
      <c r="G4" s="673"/>
      <c r="H4" s="673"/>
      <c r="I4" s="673"/>
      <c r="J4" s="673"/>
    </row>
    <row r="5" customFormat="false" ht="19.5" hidden="false" customHeight="true" outlineLevel="0" collapsed="false">
      <c r="A5" s="674" t="s">
        <v>421</v>
      </c>
      <c r="B5" s="674"/>
      <c r="C5" s="674"/>
      <c r="D5" s="674"/>
      <c r="E5" s="674"/>
      <c r="F5" s="674"/>
      <c r="G5" s="674"/>
      <c r="H5" s="674"/>
      <c r="I5" s="674"/>
      <c r="J5" s="674"/>
    </row>
    <row r="6" customFormat="false" ht="36" hidden="false" customHeight="true" outlineLevel="0" collapsed="false">
      <c r="A6" s="675" t="str">
        <f aca="false">Dados!A4</f>
        <v>Sindicato utilizado - SINTEAC/JF. Vigência: 01/01/2023 à 31/12/2023. Sendo a data base da categoria 01º Janeiro. Com número de registro no MTE MG001725/2023.</v>
      </c>
      <c r="B6" s="675"/>
      <c r="C6" s="675"/>
      <c r="D6" s="675"/>
      <c r="E6" s="675"/>
      <c r="F6" s="675"/>
      <c r="G6" s="675"/>
      <c r="H6" s="675"/>
      <c r="I6" s="675"/>
      <c r="J6" s="675"/>
    </row>
    <row r="7" customFormat="false" ht="19.5" hidden="false" customHeight="true" outlineLevel="0" collapsed="false">
      <c r="A7" s="676" t="str">
        <f aca="false">Dados!C12</f>
        <v>Limpador de Vidro</v>
      </c>
      <c r="B7" s="676"/>
      <c r="C7" s="676"/>
      <c r="D7" s="676"/>
      <c r="E7" s="676"/>
      <c r="F7" s="677" t="s">
        <v>696</v>
      </c>
      <c r="G7" s="677" t="s">
        <v>697</v>
      </c>
      <c r="H7" s="677" t="s">
        <v>698</v>
      </c>
      <c r="I7" s="677" t="s">
        <v>699</v>
      </c>
      <c r="J7" s="677" t="s">
        <v>732</v>
      </c>
    </row>
    <row r="8" customFormat="false" ht="19.5" hidden="false" customHeight="true" outlineLevel="0" collapsed="false">
      <c r="A8" s="678" t="s">
        <v>701</v>
      </c>
      <c r="B8" s="678"/>
      <c r="C8" s="678"/>
      <c r="D8" s="678"/>
      <c r="E8" s="679" t="s">
        <v>518</v>
      </c>
      <c r="F8" s="677"/>
      <c r="G8" s="677"/>
      <c r="H8" s="677"/>
      <c r="I8" s="677"/>
      <c r="J8" s="677"/>
    </row>
    <row r="9" customFormat="false" ht="19.5" hidden="false" customHeight="true" outlineLevel="0" collapsed="false">
      <c r="A9" s="680" t="s">
        <v>702</v>
      </c>
      <c r="B9" s="680"/>
      <c r="C9" s="680"/>
      <c r="D9" s="680"/>
      <c r="E9" s="680"/>
      <c r="F9" s="680"/>
      <c r="G9" s="680"/>
      <c r="H9" s="680"/>
      <c r="I9" s="680"/>
      <c r="J9" s="680"/>
    </row>
    <row r="10" customFormat="false" ht="24" hidden="false" customHeight="true" outlineLevel="0" collapsed="false">
      <c r="A10" s="681" t="s">
        <v>519</v>
      </c>
      <c r="B10" s="682" t="s">
        <v>703</v>
      </c>
      <c r="C10" s="682"/>
      <c r="D10" s="683" t="s">
        <v>704</v>
      </c>
      <c r="E10" s="684" t="s">
        <v>705</v>
      </c>
      <c r="F10" s="685" t="s">
        <v>522</v>
      </c>
      <c r="G10" s="685"/>
      <c r="H10" s="685"/>
      <c r="I10" s="685"/>
      <c r="J10" s="685"/>
    </row>
    <row r="11" customFormat="false" ht="19.5" hidden="false" customHeight="true" outlineLevel="0" collapsed="false">
      <c r="A11" s="686" t="n">
        <v>1</v>
      </c>
      <c r="B11" s="687" t="str">
        <f aca="false">A7</f>
        <v>Limpador de Vidro</v>
      </c>
      <c r="C11" s="687"/>
      <c r="D11" s="688" t="n">
        <f aca="false">Dados!D12</f>
        <v>220</v>
      </c>
      <c r="E11" s="689" t="n">
        <f aca="false">Dados!E12</f>
        <v>1596.68</v>
      </c>
      <c r="F11" s="690" t="n">
        <f aca="false">ROUND(E11/220*D11,2)</f>
        <v>1596.68</v>
      </c>
      <c r="G11" s="690" t="n">
        <f aca="false">F11</f>
        <v>1596.68</v>
      </c>
      <c r="H11" s="690"/>
      <c r="I11" s="690"/>
      <c r="J11" s="691"/>
    </row>
    <row r="12" customFormat="false" ht="19.5" hidden="false" customHeight="true" outlineLevel="0" collapsed="false">
      <c r="A12" s="686"/>
      <c r="B12" s="687" t="s">
        <v>733</v>
      </c>
      <c r="C12" s="687"/>
      <c r="D12" s="757" t="n">
        <f aca="false">Dados!G12</f>
        <v>0.3</v>
      </c>
      <c r="E12" s="689" t="n">
        <f aca="false">Dados!F12</f>
        <v>1596.68</v>
      </c>
      <c r="F12" s="690" t="n">
        <f aca="false">D12*E12</f>
        <v>479.004</v>
      </c>
      <c r="G12" s="690" t="n">
        <f aca="false">F12</f>
        <v>479.004</v>
      </c>
      <c r="H12" s="690"/>
      <c r="I12" s="690"/>
      <c r="J12" s="691" t="n">
        <f aca="false">F12</f>
        <v>479.004</v>
      </c>
    </row>
    <row r="13" customFormat="false" ht="22.5" hidden="false" customHeight="true" outlineLevel="0" collapsed="false">
      <c r="A13" s="686"/>
      <c r="B13" s="693" t="s">
        <v>707</v>
      </c>
      <c r="C13" s="694" t="n">
        <f aca="false">Dados!I12</f>
        <v>0</v>
      </c>
      <c r="D13" s="694" t="n">
        <f aca="false">Dados!J12</f>
        <v>0</v>
      </c>
      <c r="E13" s="695" t="n">
        <f aca="false">Dados!K12</f>
        <v>0</v>
      </c>
      <c r="F13" s="696" t="n">
        <f aca="false">ROUND((E13*D13*C13),2)</f>
        <v>0</v>
      </c>
      <c r="G13" s="696" t="n">
        <f aca="false">F13</f>
        <v>0</v>
      </c>
      <c r="H13" s="696"/>
      <c r="I13" s="696"/>
      <c r="J13" s="697"/>
    </row>
    <row r="14" customFormat="false" ht="19.5" hidden="false" customHeight="true" outlineLevel="0" collapsed="false">
      <c r="A14" s="686"/>
      <c r="B14" s="698" t="s">
        <v>708</v>
      </c>
      <c r="C14" s="698"/>
      <c r="D14" s="698"/>
      <c r="E14" s="698"/>
      <c r="F14" s="699" t="n">
        <f aca="false">SUM(F11:F13)</f>
        <v>2075.684</v>
      </c>
      <c r="G14" s="699" t="n">
        <f aca="false">SUM(G11:G13)</f>
        <v>2075.684</v>
      </c>
      <c r="H14" s="699" t="n">
        <f aca="false">SUM(H11:H13)</f>
        <v>0</v>
      </c>
      <c r="I14" s="699" t="n">
        <f aca="false">SUM(I11:I13)</f>
        <v>0</v>
      </c>
      <c r="J14" s="700" t="n">
        <f aca="false">SUM(J11:J13)</f>
        <v>479.004</v>
      </c>
    </row>
    <row r="15" customFormat="false" ht="19.5" hidden="false" customHeight="true" outlineLevel="0" collapsed="false">
      <c r="A15" s="686"/>
      <c r="B15" s="701" t="s">
        <v>709</v>
      </c>
      <c r="C15" s="701"/>
      <c r="D15" s="701"/>
      <c r="E15" s="702" t="n">
        <f aca="false">Encargos!$C$57</f>
        <v>0.7905</v>
      </c>
      <c r="F15" s="690" t="n">
        <f aca="false">ROUND((E15*F14),2)</f>
        <v>1640.83</v>
      </c>
      <c r="G15" s="690" t="n">
        <f aca="false">F15</f>
        <v>1640.83</v>
      </c>
      <c r="H15" s="690"/>
      <c r="I15" s="690"/>
      <c r="J15" s="691" t="n">
        <f aca="false">ROUND((E15*J14),2)</f>
        <v>378.65</v>
      </c>
    </row>
    <row r="16" customFormat="false" ht="19.5" hidden="false" customHeight="true" outlineLevel="0" collapsed="false">
      <c r="A16" s="703" t="s">
        <v>710</v>
      </c>
      <c r="B16" s="703"/>
      <c r="C16" s="703"/>
      <c r="D16" s="703"/>
      <c r="E16" s="703"/>
      <c r="F16" s="704" t="n">
        <f aca="false">SUM(F14:F15)</f>
        <v>3716.514</v>
      </c>
      <c r="G16" s="704" t="n">
        <f aca="false">SUM(G14:G15)</f>
        <v>3716.514</v>
      </c>
      <c r="H16" s="704" t="n">
        <f aca="false">SUM(H14:H15)</f>
        <v>0</v>
      </c>
      <c r="I16" s="704" t="n">
        <f aca="false">SUM(I14:I15)</f>
        <v>0</v>
      </c>
      <c r="J16" s="705" t="n">
        <f aca="false">SUM(J14:J15)</f>
        <v>857.654</v>
      </c>
    </row>
    <row r="17" customFormat="false" ht="19.5" hidden="false" customHeight="true" outlineLevel="0" collapsed="false">
      <c r="A17" s="706" t="s">
        <v>711</v>
      </c>
      <c r="B17" s="706"/>
      <c r="C17" s="706"/>
      <c r="D17" s="706"/>
      <c r="E17" s="706"/>
      <c r="F17" s="706"/>
      <c r="G17" s="706"/>
      <c r="H17" s="706"/>
      <c r="I17" s="706"/>
      <c r="J17" s="706"/>
    </row>
    <row r="18" customFormat="false" ht="19.5" hidden="false" customHeight="true" outlineLevel="0" collapsed="false">
      <c r="A18" s="707" t="s">
        <v>712</v>
      </c>
      <c r="B18" s="707"/>
      <c r="C18" s="708" t="s">
        <v>521</v>
      </c>
      <c r="D18" s="708" t="s">
        <v>713</v>
      </c>
      <c r="E18" s="708"/>
      <c r="F18" s="709" t="s">
        <v>522</v>
      </c>
      <c r="G18" s="709"/>
      <c r="H18" s="709"/>
      <c r="I18" s="709"/>
      <c r="J18" s="709"/>
    </row>
    <row r="19" customFormat="false" ht="19.5" hidden="false" customHeight="true" outlineLevel="0" collapsed="false">
      <c r="A19" s="710" t="s">
        <v>714</v>
      </c>
      <c r="B19" s="710"/>
      <c r="C19" s="711"/>
      <c r="D19" s="711"/>
      <c r="E19" s="711"/>
      <c r="F19" s="690" t="n">
        <f aca="false">Dados!N12</f>
        <v>31.46</v>
      </c>
      <c r="G19" s="690" t="n">
        <f aca="false">F19</f>
        <v>31.46</v>
      </c>
      <c r="H19" s="690"/>
      <c r="I19" s="690"/>
      <c r="J19" s="691"/>
    </row>
    <row r="20" customFormat="false" ht="19.5" hidden="false" customHeight="true" outlineLevel="0" collapsed="false">
      <c r="A20" s="710" t="s">
        <v>715</v>
      </c>
      <c r="B20" s="710"/>
      <c r="C20" s="711"/>
      <c r="D20" s="711"/>
      <c r="E20" s="711"/>
      <c r="F20" s="690" t="n">
        <f aca="false">Dados!G37</f>
        <v>1.55</v>
      </c>
      <c r="G20" s="690" t="n">
        <f aca="false">F20</f>
        <v>1.55</v>
      </c>
      <c r="H20" s="690"/>
      <c r="I20" s="690"/>
      <c r="J20" s="691"/>
    </row>
    <row r="21" customFormat="false" ht="23.25" hidden="false" customHeight="true" outlineLevel="0" collapsed="false">
      <c r="A21" s="712" t="s">
        <v>354</v>
      </c>
      <c r="B21" s="712"/>
      <c r="C21" s="711"/>
      <c r="D21" s="711"/>
      <c r="E21" s="711"/>
      <c r="F21" s="690" t="n">
        <f aca="false">Dados!G38</f>
        <v>50.36</v>
      </c>
      <c r="G21" s="690" t="n">
        <f aca="false">F21</f>
        <v>50.36</v>
      </c>
      <c r="H21" s="690"/>
      <c r="I21" s="690"/>
      <c r="J21" s="691"/>
    </row>
    <row r="22" customFormat="false" ht="19.5" hidden="false" customHeight="true" outlineLevel="0" collapsed="false">
      <c r="A22" s="710" t="s">
        <v>355</v>
      </c>
      <c r="B22" s="710"/>
      <c r="C22" s="713" t="n">
        <f aca="false">Dados!$G$41</f>
        <v>22</v>
      </c>
      <c r="D22" s="713" t="n">
        <f aca="false">Dados!$G$40</f>
        <v>2</v>
      </c>
      <c r="E22" s="714" t="n">
        <f aca="false">Dados!$G$39</f>
        <v>3.75</v>
      </c>
      <c r="F22" s="690" t="n">
        <f aca="false">IF(ROUND((E22*D22*C22)-(F11*Dados!G42),2)&lt;0,0,ROUND((E22*D22*C22)-(F11*Dados!G42),2))</f>
        <v>69.2</v>
      </c>
      <c r="G22" s="690" t="n">
        <f aca="false">F22</f>
        <v>69.2</v>
      </c>
      <c r="H22" s="690"/>
      <c r="I22" s="690" t="n">
        <f aca="false">F22</f>
        <v>69.2</v>
      </c>
      <c r="J22" s="691"/>
    </row>
    <row r="23" customFormat="false" ht="19.5" hidden="false" customHeight="true" outlineLevel="0" collapsed="false">
      <c r="A23" s="710" t="s">
        <v>364</v>
      </c>
      <c r="B23" s="710"/>
      <c r="C23" s="713" t="n">
        <f aca="false">Dados!G45</f>
        <v>22</v>
      </c>
      <c r="D23" s="715" t="n">
        <f aca="false">Dados!G46</f>
        <v>0.2</v>
      </c>
      <c r="E23" s="714" t="n">
        <f aca="false">Dados!G43</f>
        <v>26</v>
      </c>
      <c r="F23" s="716" t="n">
        <f aca="false">ROUND((IF(D11&gt;150,((C23*E23)-(C23*(D23*E23))),0)),2)</f>
        <v>457.6</v>
      </c>
      <c r="G23" s="690" t="n">
        <f aca="false">F23</f>
        <v>457.6</v>
      </c>
      <c r="H23" s="690" t="n">
        <f aca="false">$F$23</f>
        <v>457.6</v>
      </c>
      <c r="I23" s="716"/>
      <c r="J23" s="691"/>
    </row>
    <row r="24" customFormat="false" ht="19.5" hidden="false" customHeight="true" outlineLevel="0" collapsed="false">
      <c r="A24" s="710" t="s">
        <v>368</v>
      </c>
      <c r="B24" s="710"/>
      <c r="C24" s="713"/>
      <c r="D24" s="713"/>
      <c r="E24" s="714"/>
      <c r="F24" s="716" t="n">
        <f aca="false">Dados!G47</f>
        <v>0</v>
      </c>
      <c r="G24" s="690"/>
      <c r="H24" s="690"/>
      <c r="I24" s="716"/>
      <c r="J24" s="691"/>
    </row>
    <row r="25" customFormat="false" ht="19.5" hidden="false" customHeight="true" outlineLevel="0" collapsed="false">
      <c r="A25" s="710" t="s">
        <v>368</v>
      </c>
      <c r="B25" s="710"/>
      <c r="C25" s="713"/>
      <c r="D25" s="713"/>
      <c r="E25" s="714"/>
      <c r="F25" s="716" t="n">
        <f aca="false">Dados!G48</f>
        <v>0</v>
      </c>
      <c r="G25" s="690"/>
      <c r="H25" s="690"/>
      <c r="I25" s="716"/>
      <c r="J25" s="691"/>
    </row>
    <row r="26" customFormat="false" ht="19.5" hidden="false" customHeight="true" outlineLevel="0" collapsed="false">
      <c r="A26" s="710" t="s">
        <v>716</v>
      </c>
      <c r="B26" s="710"/>
      <c r="C26" s="713"/>
      <c r="D26" s="714"/>
      <c r="E26" s="714"/>
      <c r="F26" s="690" t="n">
        <f aca="false">Dados!P12</f>
        <v>55.19</v>
      </c>
      <c r="G26" s="690"/>
      <c r="H26" s="690"/>
      <c r="I26" s="690"/>
      <c r="J26" s="691"/>
      <c r="L26" s="717"/>
    </row>
    <row r="27" customFormat="false" ht="19.5" hidden="false" customHeight="true" outlineLevel="0" collapsed="false">
      <c r="A27" s="710" t="s">
        <v>717</v>
      </c>
      <c r="B27" s="718"/>
      <c r="C27" s="713"/>
      <c r="D27" s="714"/>
      <c r="E27" s="714"/>
      <c r="F27" s="690" t="n">
        <f aca="false">Dados!R12</f>
        <v>0</v>
      </c>
      <c r="G27" s="690"/>
      <c r="H27" s="690"/>
      <c r="I27" s="690"/>
      <c r="J27" s="691"/>
    </row>
    <row r="28" customFormat="false" ht="19.5" hidden="false" customHeight="true" outlineLevel="0" collapsed="false">
      <c r="A28" s="719" t="s">
        <v>718</v>
      </c>
      <c r="B28" s="719"/>
      <c r="C28" s="720"/>
      <c r="D28" s="721"/>
      <c r="E28" s="721"/>
      <c r="F28" s="696" t="n">
        <f aca="false">Dados!T12</f>
        <v>0</v>
      </c>
      <c r="G28" s="696" t="n">
        <f aca="false">F28</f>
        <v>0</v>
      </c>
      <c r="H28" s="696"/>
      <c r="I28" s="696"/>
      <c r="J28" s="697"/>
    </row>
    <row r="29" customFormat="false" ht="19.5" hidden="false" customHeight="true" outlineLevel="0" collapsed="false">
      <c r="A29" s="722" t="s">
        <v>719</v>
      </c>
      <c r="B29" s="722"/>
      <c r="C29" s="722"/>
      <c r="D29" s="722"/>
      <c r="E29" s="722"/>
      <c r="F29" s="704" t="n">
        <f aca="false">SUM(F19:F28)</f>
        <v>665.36</v>
      </c>
      <c r="G29" s="704" t="n">
        <f aca="false">SUM(G19:G28)</f>
        <v>610.17</v>
      </c>
      <c r="H29" s="704" t="n">
        <f aca="false">SUM(H19:H28)</f>
        <v>457.6</v>
      </c>
      <c r="I29" s="704" t="n">
        <f aca="false">SUM(I19:I28)</f>
        <v>69.2</v>
      </c>
      <c r="J29" s="705" t="n">
        <f aca="false">SUM(J19:J28)</f>
        <v>0</v>
      </c>
    </row>
    <row r="30" customFormat="false" ht="19.5" hidden="false" customHeight="true" outlineLevel="0" collapsed="false">
      <c r="A30" s="722" t="s">
        <v>720</v>
      </c>
      <c r="B30" s="722"/>
      <c r="C30" s="722"/>
      <c r="D30" s="722"/>
      <c r="E30" s="722"/>
      <c r="F30" s="704" t="n">
        <f aca="false">F16+F29</f>
        <v>4381.874</v>
      </c>
      <c r="G30" s="704" t="n">
        <f aca="false">G16+G29</f>
        <v>4326.684</v>
      </c>
      <c r="H30" s="704" t="n">
        <f aca="false">H16+H29</f>
        <v>457.6</v>
      </c>
      <c r="I30" s="704" t="n">
        <f aca="false">I16+I29</f>
        <v>69.2</v>
      </c>
      <c r="J30" s="705" t="n">
        <f aca="false">J16+J29</f>
        <v>857.654</v>
      </c>
    </row>
    <row r="31" customFormat="false" ht="19.5" hidden="false" customHeight="true" outlineLevel="0" collapsed="false">
      <c r="A31" s="680" t="s">
        <v>721</v>
      </c>
      <c r="B31" s="680"/>
      <c r="C31" s="680"/>
      <c r="D31" s="680"/>
      <c r="E31" s="680"/>
      <c r="F31" s="680"/>
      <c r="G31" s="680"/>
      <c r="H31" s="680"/>
      <c r="I31" s="680"/>
      <c r="J31" s="680"/>
    </row>
    <row r="32" customFormat="false" ht="19.5" hidden="false" customHeight="true" outlineLevel="0" collapsed="false">
      <c r="A32" s="707" t="s">
        <v>722</v>
      </c>
      <c r="B32" s="707"/>
      <c r="C32" s="707"/>
      <c r="D32" s="723" t="s">
        <v>622</v>
      </c>
      <c r="E32" s="724" t="s">
        <v>522</v>
      </c>
      <c r="F32" s="724"/>
      <c r="G32" s="724"/>
      <c r="H32" s="724"/>
      <c r="I32" s="724"/>
      <c r="J32" s="724"/>
    </row>
    <row r="33" customFormat="false" ht="19.5" hidden="false" customHeight="true" outlineLevel="0" collapsed="false">
      <c r="A33" s="725" t="s">
        <v>723</v>
      </c>
      <c r="B33" s="726"/>
      <c r="C33" s="726"/>
      <c r="D33" s="727" t="n">
        <f aca="false">Dados!$G$51</f>
        <v>0.03</v>
      </c>
      <c r="E33" s="728"/>
      <c r="F33" s="690" t="n">
        <f aca="false">ROUND((F30*$D$33),2)</f>
        <v>131.46</v>
      </c>
      <c r="G33" s="690" t="n">
        <f aca="false">ROUND((G30*$D$33),2)</f>
        <v>129.8</v>
      </c>
      <c r="H33" s="690" t="n">
        <f aca="false">ROUND((H30*$D$33),2)</f>
        <v>13.73</v>
      </c>
      <c r="I33" s="690" t="n">
        <f aca="false">ROUND((I30*$D$33),2)</f>
        <v>2.08</v>
      </c>
      <c r="J33" s="691" t="n">
        <f aca="false">ROUND((J30*$D$33),2)</f>
        <v>25.73</v>
      </c>
    </row>
    <row r="34" customFormat="false" ht="19.5" hidden="false" customHeight="true" outlineLevel="0" collapsed="false">
      <c r="A34" s="729" t="s">
        <v>724</v>
      </c>
      <c r="B34" s="729"/>
      <c r="C34" s="729"/>
      <c r="D34" s="727"/>
      <c r="E34" s="728"/>
      <c r="F34" s="690" t="n">
        <f aca="false">F30+F33</f>
        <v>4513.334</v>
      </c>
      <c r="G34" s="690" t="n">
        <f aca="false">G30+G33</f>
        <v>4456.484</v>
      </c>
      <c r="H34" s="690" t="n">
        <f aca="false">H30+H33</f>
        <v>471.33</v>
      </c>
      <c r="I34" s="690" t="n">
        <f aca="false">I30+I33</f>
        <v>71.28</v>
      </c>
      <c r="J34" s="691" t="n">
        <f aca="false">J30+J33</f>
        <v>883.384</v>
      </c>
    </row>
    <row r="35" customFormat="false" ht="19.5" hidden="false" customHeight="true" outlineLevel="0" collapsed="false">
      <c r="A35" s="730" t="s">
        <v>373</v>
      </c>
      <c r="B35" s="731"/>
      <c r="C35" s="731"/>
      <c r="D35" s="732" t="n">
        <f aca="false">Dados!$G$52</f>
        <v>0.0679</v>
      </c>
      <c r="E35" s="733"/>
      <c r="F35" s="696" t="n">
        <f aca="false">ROUND((F34*$D$35),2)</f>
        <v>306.46</v>
      </c>
      <c r="G35" s="696" t="n">
        <f aca="false">ROUND((G34*$D$35),2)</f>
        <v>302.6</v>
      </c>
      <c r="H35" s="696" t="n">
        <f aca="false">ROUND((H34*$D$35),2)</f>
        <v>32</v>
      </c>
      <c r="I35" s="696" t="n">
        <f aca="false">ROUND((I34*$D$35),2)</f>
        <v>4.84</v>
      </c>
      <c r="J35" s="697" t="n">
        <f aca="false">ROUND((J34*$D$35),2)</f>
        <v>59.98</v>
      </c>
    </row>
    <row r="36" customFormat="false" ht="19.5" hidden="false" customHeight="true" outlineLevel="0" collapsed="false">
      <c r="A36" s="734" t="s">
        <v>725</v>
      </c>
      <c r="B36" s="735"/>
      <c r="C36" s="735"/>
      <c r="D36" s="736" t="n">
        <f aca="false">SUM(D33:D35)</f>
        <v>0.0979</v>
      </c>
      <c r="E36" s="737"/>
      <c r="F36" s="704" t="n">
        <f aca="false">F33+F35</f>
        <v>437.92</v>
      </c>
      <c r="G36" s="704" t="n">
        <f aca="false">G33+G35</f>
        <v>432.4</v>
      </c>
      <c r="H36" s="704" t="n">
        <f aca="false">H33+H35</f>
        <v>45.73</v>
      </c>
      <c r="I36" s="704" t="n">
        <f aca="false">I33+I35</f>
        <v>6.92</v>
      </c>
      <c r="J36" s="705" t="n">
        <f aca="false">J33+J35</f>
        <v>85.71</v>
      </c>
    </row>
    <row r="37" customFormat="false" ht="19.5" hidden="false" customHeight="true" outlineLevel="0" collapsed="false">
      <c r="A37" s="738" t="s">
        <v>726</v>
      </c>
      <c r="B37" s="738"/>
      <c r="C37" s="738"/>
      <c r="D37" s="738"/>
      <c r="E37" s="738"/>
      <c r="F37" s="739" t="n">
        <f aca="false">F30+F36</f>
        <v>4819.794</v>
      </c>
      <c r="G37" s="739" t="n">
        <f aca="false">G30+G36</f>
        <v>4759.084</v>
      </c>
      <c r="H37" s="739" t="n">
        <f aca="false">H30+H36</f>
        <v>503.33</v>
      </c>
      <c r="I37" s="739" t="n">
        <f aca="false">I30+I36</f>
        <v>76.12</v>
      </c>
      <c r="J37" s="740" t="n">
        <f aca="false">J30+J36</f>
        <v>943.364</v>
      </c>
    </row>
    <row r="38" customFormat="false" ht="19.5" hidden="false" customHeight="true" outlineLevel="0" collapsed="false">
      <c r="A38" s="741" t="s">
        <v>727</v>
      </c>
      <c r="B38" s="741"/>
      <c r="C38" s="741"/>
      <c r="D38" s="741"/>
      <c r="E38" s="741"/>
      <c r="F38" s="741"/>
      <c r="G38" s="741"/>
      <c r="H38" s="741"/>
      <c r="I38" s="741"/>
      <c r="J38" s="741"/>
    </row>
    <row r="39" customFormat="false" ht="19.5" hidden="false" customHeight="true" outlineLevel="0" collapsed="false">
      <c r="A39" s="710" t="s">
        <v>379</v>
      </c>
      <c r="B39" s="710"/>
      <c r="C39" s="710"/>
      <c r="D39" s="727" t="n">
        <f aca="false">Dados!G59</f>
        <v>0.076</v>
      </c>
      <c r="E39" s="742"/>
      <c r="F39" s="690" t="n">
        <f aca="false">ROUND(($F$45*D39),2)</f>
        <v>417.44</v>
      </c>
      <c r="G39" s="690" t="n">
        <f aca="false">ROUND((G45*$D$39),2)</f>
        <v>412.18</v>
      </c>
      <c r="H39" s="690" t="n">
        <f aca="false">ROUND((H45*$D$39),2)</f>
        <v>38.25</v>
      </c>
      <c r="I39" s="690" t="n">
        <f aca="false">ROUND((I45*$D$39),2)</f>
        <v>6.59</v>
      </c>
      <c r="J39" s="691" t="n">
        <f aca="false">ROUND((J45*$D$39),2)</f>
        <v>81.7</v>
      </c>
    </row>
    <row r="40" customFormat="false" ht="19.5" hidden="false" customHeight="true" outlineLevel="0" collapsed="false">
      <c r="A40" s="710" t="s">
        <v>381</v>
      </c>
      <c r="B40" s="710"/>
      <c r="C40" s="710"/>
      <c r="D40" s="727" t="n">
        <f aca="false">Dados!G60</f>
        <v>0.0165</v>
      </c>
      <c r="E40" s="742"/>
      <c r="F40" s="690" t="n">
        <f aca="false">ROUND((F45*$D$40),2)</f>
        <v>90.63</v>
      </c>
      <c r="G40" s="690" t="n">
        <f aca="false">ROUND((G45*$D$40),2)</f>
        <v>89.49</v>
      </c>
      <c r="H40" s="690" t="n">
        <f aca="false">ROUND((H45*$D$40),2)</f>
        <v>8.3</v>
      </c>
      <c r="I40" s="690" t="n">
        <f aca="false">ROUND((I45*$D$40),2)</f>
        <v>1.43</v>
      </c>
      <c r="J40" s="691" t="n">
        <f aca="false">ROUND((J45*$D$40),2)</f>
        <v>17.74</v>
      </c>
    </row>
    <row r="41" customFormat="false" ht="19.5" hidden="false" customHeight="true" outlineLevel="0" collapsed="false">
      <c r="A41" s="710" t="str">
        <f aca="false">Dados!B61</f>
        <v>ISSQN - Limpeza e Manutenção</v>
      </c>
      <c r="B41" s="710"/>
      <c r="C41" s="710"/>
      <c r="D41" s="727" t="n">
        <f aca="false">Dados!G61</f>
        <v>0.03</v>
      </c>
      <c r="E41" s="742"/>
      <c r="F41" s="690" t="n">
        <f aca="false">ROUND((F45*$D$41),2)</f>
        <v>164.78</v>
      </c>
      <c r="G41" s="690" t="n">
        <f aca="false">ROUND((G45*$D$41),2)</f>
        <v>162.7</v>
      </c>
      <c r="H41" s="690" t="n">
        <f aca="false">ROUND((H45*$D$41),2)</f>
        <v>15.1</v>
      </c>
      <c r="I41" s="690" t="n">
        <f aca="false">ROUND((I45*$D$41),2)</f>
        <v>2.6</v>
      </c>
      <c r="J41" s="691" t="n">
        <f aca="false">ROUND((J45*$D$41),2)</f>
        <v>32.25</v>
      </c>
    </row>
    <row r="42" customFormat="false" ht="19.5" hidden="false" customHeight="true" outlineLevel="0" collapsed="false">
      <c r="A42" s="710" t="s">
        <v>368</v>
      </c>
      <c r="B42" s="710"/>
      <c r="C42" s="710"/>
      <c r="D42" s="727" t="n">
        <f aca="false">Dados!G63</f>
        <v>0</v>
      </c>
      <c r="E42" s="742"/>
      <c r="F42" s="690" t="n">
        <f aca="false">ROUND((F45*$D$42),2)</f>
        <v>0</v>
      </c>
      <c r="G42" s="690" t="n">
        <f aca="false">ROUND((G45*$D$42),2)</f>
        <v>0</v>
      </c>
      <c r="H42" s="690" t="n">
        <f aca="false">ROUND((H45*$D$42),2)</f>
        <v>0</v>
      </c>
      <c r="I42" s="690" t="n">
        <f aca="false">ROUND((I45*$D$42),2)</f>
        <v>0</v>
      </c>
      <c r="J42" s="691" t="n">
        <f aca="false">ROUND((J45*$D$42),2)</f>
        <v>0</v>
      </c>
    </row>
    <row r="43" customFormat="false" ht="19.5" hidden="false" customHeight="true" outlineLevel="0" collapsed="false">
      <c r="A43" s="743" t="s">
        <v>728</v>
      </c>
      <c r="B43" s="743"/>
      <c r="C43" s="743"/>
      <c r="D43" s="744" t="n">
        <f aca="false">SUM(D39:D42)</f>
        <v>0.1225</v>
      </c>
      <c r="E43" s="745"/>
      <c r="F43" s="746" t="n">
        <f aca="false">SUM(F39:F42)</f>
        <v>672.85</v>
      </c>
      <c r="G43" s="746" t="n">
        <f aca="false">SUM(G39:G42)</f>
        <v>664.37</v>
      </c>
      <c r="H43" s="746" t="n">
        <f aca="false">SUM(H39:H42)</f>
        <v>61.65</v>
      </c>
      <c r="I43" s="746" t="n">
        <f aca="false">SUM(I39:I42)</f>
        <v>10.62</v>
      </c>
      <c r="J43" s="747" t="n">
        <f aca="false">SUM(J39:J41)</f>
        <v>131.69</v>
      </c>
    </row>
    <row r="44" customFormat="false" ht="19.5" hidden="false" customHeight="true" outlineLevel="0" collapsed="false">
      <c r="A44" s="748" t="str">
        <f aca="false">CONCATENATE("Custo Mensal - ",A7)</f>
        <v>Custo Mensal - Limpador de Vidro</v>
      </c>
      <c r="B44" s="748"/>
      <c r="C44" s="748"/>
      <c r="D44" s="748"/>
      <c r="E44" s="748"/>
      <c r="F44" s="749" t="n">
        <f aca="false">ROUND(F37/(1-D43),2)</f>
        <v>5492.64</v>
      </c>
      <c r="G44" s="749" t="n">
        <f aca="false">ROUND(G37/(1-D43),2)</f>
        <v>5423.46</v>
      </c>
      <c r="H44" s="749" t="n">
        <f aca="false">ROUND(H37/(1-C43),2)</f>
        <v>503.33</v>
      </c>
      <c r="I44" s="749" t="n">
        <f aca="false">ROUND(I37/(1-D43),2)</f>
        <v>86.75</v>
      </c>
      <c r="J44" s="750" t="n">
        <f aca="false">ROUND(J37/(1-D43),2)</f>
        <v>1075.06</v>
      </c>
    </row>
    <row r="45" customFormat="false" ht="19.5" hidden="false" customHeight="true" outlineLevel="0" collapsed="false">
      <c r="A45" s="751" t="str">
        <f aca="false">CONCATENATE("Valor do Custo Mensal - ",A7)</f>
        <v>Valor do Custo Mensal - Limpador de Vidro</v>
      </c>
      <c r="B45" s="751"/>
      <c r="C45" s="751"/>
      <c r="D45" s="751"/>
      <c r="E45" s="751"/>
      <c r="F45" s="749" t="n">
        <f aca="false">F44</f>
        <v>5492.64</v>
      </c>
      <c r="G45" s="749" t="n">
        <f aca="false">G44</f>
        <v>5423.46</v>
      </c>
      <c r="H45" s="749" t="n">
        <f aca="false">H44</f>
        <v>503.33</v>
      </c>
      <c r="I45" s="749" t="n">
        <f aca="false">I44</f>
        <v>86.75</v>
      </c>
      <c r="J45" s="750" t="n">
        <f aca="false">J44</f>
        <v>1075.06</v>
      </c>
      <c r="K45" s="752"/>
      <c r="L45" s="752"/>
    </row>
    <row r="46" customFormat="false" ht="27.75" hidden="false" customHeight="true" outlineLevel="0" collapsed="false">
      <c r="A46" s="753" t="s">
        <v>729</v>
      </c>
      <c r="B46" s="753"/>
      <c r="C46" s="753"/>
      <c r="D46" s="753"/>
      <c r="E46" s="753"/>
      <c r="F46" s="754" t="n">
        <f aca="false">(F45/F14)</f>
        <v>2.64618313770304</v>
      </c>
      <c r="G46" s="754" t="n">
        <f aca="false">(G45/G14)</f>
        <v>2.61285436511531</v>
      </c>
      <c r="H46" s="755"/>
      <c r="I46" s="755"/>
      <c r="J46" s="756"/>
    </row>
    <row r="47" customFormat="false" ht="19.5" hidden="false" customHeight="true" outlineLevel="0" collapsed="false"/>
  </sheetData>
  <sheetProtection sheet="true" password="c494" objects="true" scenarios="true"/>
  <mergeCells count="49">
    <mergeCell ref="A4:J4"/>
    <mergeCell ref="A5:J5"/>
    <mergeCell ref="A6:J6"/>
    <mergeCell ref="A7:E7"/>
    <mergeCell ref="F7:F8"/>
    <mergeCell ref="G7:G8"/>
    <mergeCell ref="H7:H8"/>
    <mergeCell ref="I7:I8"/>
    <mergeCell ref="J7:J8"/>
    <mergeCell ref="A8:D8"/>
    <mergeCell ref="A9:J9"/>
    <mergeCell ref="B10:C10"/>
    <mergeCell ref="F10:J10"/>
    <mergeCell ref="A11:A15"/>
    <mergeCell ref="B11:C11"/>
    <mergeCell ref="B12:C12"/>
    <mergeCell ref="B14:E14"/>
    <mergeCell ref="B15:D15"/>
    <mergeCell ref="A16:E16"/>
    <mergeCell ref="A17:J17"/>
    <mergeCell ref="A18:B18"/>
    <mergeCell ref="D18:E18"/>
    <mergeCell ref="F18:J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E29"/>
    <mergeCell ref="A30:E30"/>
    <mergeCell ref="A31:J31"/>
    <mergeCell ref="A32:C32"/>
    <mergeCell ref="E32:J32"/>
    <mergeCell ref="A34:C34"/>
    <mergeCell ref="A37:E37"/>
    <mergeCell ref="A38:J38"/>
    <mergeCell ref="A39:C39"/>
    <mergeCell ref="A40:C40"/>
    <mergeCell ref="A41:C41"/>
    <mergeCell ref="A42:C42"/>
    <mergeCell ref="A43:C43"/>
    <mergeCell ref="A44:E44"/>
    <mergeCell ref="A45:E45"/>
    <mergeCell ref="A46:E46"/>
    <mergeCell ref="H46:I4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6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2" activeCellId="0" sqref="A42"/>
    </sheetView>
  </sheetViews>
  <sheetFormatPr defaultColWidth="9.1484375" defaultRowHeight="15" zeroHeight="false" outlineLevelRow="0" outlineLevelCol="0"/>
  <cols>
    <col collapsed="false" customWidth="true" hidden="false" outlineLevel="0" max="1" min="1" style="148" width="10.57"/>
    <col collapsed="false" customWidth="true" hidden="false" outlineLevel="0" max="2" min="2" style="148" width="27.71"/>
    <col collapsed="false" customWidth="true" hidden="false" outlineLevel="0" max="3" min="3" style="148" width="14.42"/>
    <col collapsed="false" customWidth="true" hidden="false" outlineLevel="0" max="5" min="4" style="148" width="15"/>
    <col collapsed="false" customWidth="true" hidden="false" outlineLevel="0" max="6" min="6" style="662" width="16.71"/>
    <col collapsed="false" customWidth="true" hidden="false" outlineLevel="0" max="8" min="7" style="662" width="13.15"/>
    <col collapsed="false" customWidth="true" hidden="false" outlineLevel="0" max="10" min="9" style="662" width="12.57"/>
    <col collapsed="false" customWidth="false" hidden="false" outlineLevel="0" max="257" min="11" style="148" width="9.14"/>
    <col collapsed="false" customWidth="true" hidden="false" outlineLevel="0" max="258" min="258" style="148" width="10.57"/>
    <col collapsed="false" customWidth="true" hidden="false" outlineLevel="0" max="259" min="259" style="148" width="27.71"/>
    <col collapsed="false" customWidth="true" hidden="false" outlineLevel="0" max="260" min="260" style="148" width="14.42"/>
    <col collapsed="false" customWidth="true" hidden="false" outlineLevel="0" max="262" min="261" style="148" width="15"/>
    <col collapsed="false" customWidth="true" hidden="false" outlineLevel="0" max="263" min="263" style="148" width="16.71"/>
    <col collapsed="false" customWidth="true" hidden="false" outlineLevel="0" max="264" min="264" style="148" width="13.15"/>
    <col collapsed="false" customWidth="true" hidden="false" outlineLevel="0" max="266" min="265" style="148" width="12.57"/>
    <col collapsed="false" customWidth="false" hidden="false" outlineLevel="0" max="513" min="267" style="148" width="9.14"/>
    <col collapsed="false" customWidth="true" hidden="false" outlineLevel="0" max="514" min="514" style="148" width="10.57"/>
    <col collapsed="false" customWidth="true" hidden="false" outlineLevel="0" max="515" min="515" style="148" width="27.71"/>
    <col collapsed="false" customWidth="true" hidden="false" outlineLevel="0" max="516" min="516" style="148" width="14.42"/>
    <col collapsed="false" customWidth="true" hidden="false" outlineLevel="0" max="518" min="517" style="148" width="15"/>
    <col collapsed="false" customWidth="true" hidden="false" outlineLevel="0" max="519" min="519" style="148" width="16.71"/>
    <col collapsed="false" customWidth="true" hidden="false" outlineLevel="0" max="520" min="520" style="148" width="13.15"/>
    <col collapsed="false" customWidth="true" hidden="false" outlineLevel="0" max="522" min="521" style="148" width="12.57"/>
    <col collapsed="false" customWidth="false" hidden="false" outlineLevel="0" max="769" min="523" style="148" width="9.14"/>
    <col collapsed="false" customWidth="true" hidden="false" outlineLevel="0" max="770" min="770" style="148" width="10.57"/>
    <col collapsed="false" customWidth="true" hidden="false" outlineLevel="0" max="771" min="771" style="148" width="27.71"/>
    <col collapsed="false" customWidth="true" hidden="false" outlineLevel="0" max="772" min="772" style="148" width="14.42"/>
    <col collapsed="false" customWidth="true" hidden="false" outlineLevel="0" max="774" min="773" style="148" width="15"/>
    <col collapsed="false" customWidth="true" hidden="false" outlineLevel="0" max="775" min="775" style="148" width="16.71"/>
    <col collapsed="false" customWidth="true" hidden="false" outlineLevel="0" max="776" min="776" style="148" width="13.15"/>
    <col collapsed="false" customWidth="true" hidden="false" outlineLevel="0" max="778" min="777" style="148" width="12.57"/>
    <col collapsed="false" customWidth="false" hidden="false" outlineLevel="0" max="1024" min="779" style="148" width="9.14"/>
  </cols>
  <sheetData>
    <row r="1" customFormat="false" ht="15" hidden="false" customHeight="false" outlineLevel="0" collapsed="false">
      <c r="A1" s="663"/>
      <c r="B1" s="145" t="str">
        <f aca="false">INSTRUÇÕES!B1</f>
        <v>Tribunal Regional Federal da 6ª Região</v>
      </c>
      <c r="C1" s="664"/>
      <c r="D1" s="664"/>
      <c r="E1" s="664"/>
      <c r="F1" s="665"/>
      <c r="G1" s="666"/>
      <c r="H1" s="666"/>
      <c r="I1" s="665"/>
      <c r="J1" s="667"/>
    </row>
    <row r="2" customFormat="false" ht="15" hidden="false" customHeight="false" outlineLevel="0" collapsed="false">
      <c r="A2" s="668"/>
      <c r="B2" s="147" t="str">
        <f aca="false">INSTRUÇÕES!B2</f>
        <v>Seção Judiciária de Minas Gerais</v>
      </c>
      <c r="C2" s="669"/>
      <c r="D2" s="669"/>
      <c r="E2" s="669"/>
      <c r="F2" s="670"/>
      <c r="I2" s="670"/>
      <c r="J2" s="671"/>
    </row>
    <row r="3" customFormat="false" ht="15" hidden="false" customHeight="false" outlineLevel="0" collapsed="false">
      <c r="A3" s="672"/>
      <c r="B3" s="491" t="str">
        <f aca="false">INSTRUÇÕES!B3</f>
        <v>Subseção Judiciária de Juiz de Fora</v>
      </c>
      <c r="C3" s="669"/>
      <c r="D3" s="669"/>
      <c r="E3" s="669"/>
      <c r="F3" s="670"/>
      <c r="I3" s="670"/>
      <c r="J3" s="671"/>
    </row>
    <row r="4" customFormat="false" ht="19.5" hidden="false" customHeight="true" outlineLevel="0" collapsed="false">
      <c r="A4" s="673" t="s">
        <v>695</v>
      </c>
      <c r="B4" s="673"/>
      <c r="C4" s="673"/>
      <c r="D4" s="673"/>
      <c r="E4" s="673"/>
      <c r="F4" s="673"/>
      <c r="G4" s="673"/>
      <c r="H4" s="673"/>
      <c r="I4" s="673"/>
      <c r="J4" s="673"/>
    </row>
    <row r="5" customFormat="false" ht="19.5" hidden="false" customHeight="true" outlineLevel="0" collapsed="false">
      <c r="A5" s="674" t="s">
        <v>421</v>
      </c>
      <c r="B5" s="674"/>
      <c r="C5" s="674"/>
      <c r="D5" s="674"/>
      <c r="E5" s="674"/>
      <c r="F5" s="674"/>
      <c r="G5" s="674"/>
      <c r="H5" s="674"/>
      <c r="I5" s="674"/>
      <c r="J5" s="674"/>
    </row>
    <row r="6" customFormat="false" ht="36" hidden="false" customHeight="true" outlineLevel="0" collapsed="false">
      <c r="A6" s="675" t="str">
        <f aca="false">Dados!A4</f>
        <v>Sindicato utilizado - SINTEAC/JF. Vigência: 01/01/2023 à 31/12/2023. Sendo a data base da categoria 01º Janeiro. Com número de registro no MTE MG001725/2023.</v>
      </c>
      <c r="B6" s="675"/>
      <c r="C6" s="675"/>
      <c r="D6" s="675"/>
      <c r="E6" s="675"/>
      <c r="F6" s="675"/>
      <c r="G6" s="675"/>
      <c r="H6" s="675"/>
      <c r="I6" s="675"/>
      <c r="J6" s="675"/>
    </row>
    <row r="7" customFormat="false" ht="19.5" hidden="false" customHeight="true" outlineLevel="0" collapsed="false">
      <c r="A7" s="676" t="str">
        <f aca="false">Dados!C14</f>
        <v>Servente de Limpeza (40%)</v>
      </c>
      <c r="B7" s="676"/>
      <c r="C7" s="676"/>
      <c r="D7" s="676"/>
      <c r="E7" s="676"/>
      <c r="F7" s="677" t="s">
        <v>696</v>
      </c>
      <c r="G7" s="677" t="s">
        <v>697</v>
      </c>
      <c r="H7" s="677" t="s">
        <v>698</v>
      </c>
      <c r="I7" s="677" t="s">
        <v>699</v>
      </c>
      <c r="J7" s="677" t="s">
        <v>700</v>
      </c>
    </row>
    <row r="8" customFormat="false" ht="19.5" hidden="false" customHeight="true" outlineLevel="0" collapsed="false">
      <c r="A8" s="678" t="s">
        <v>701</v>
      </c>
      <c r="B8" s="678"/>
      <c r="C8" s="678"/>
      <c r="D8" s="678"/>
      <c r="E8" s="679" t="s">
        <v>518</v>
      </c>
      <c r="F8" s="677"/>
      <c r="G8" s="677"/>
      <c r="H8" s="677"/>
      <c r="I8" s="677"/>
      <c r="J8" s="677"/>
    </row>
    <row r="9" customFormat="false" ht="19.5" hidden="false" customHeight="true" outlineLevel="0" collapsed="false">
      <c r="A9" s="680" t="s">
        <v>702</v>
      </c>
      <c r="B9" s="680"/>
      <c r="C9" s="680"/>
      <c r="D9" s="680"/>
      <c r="E9" s="680"/>
      <c r="F9" s="680"/>
      <c r="G9" s="680"/>
      <c r="H9" s="680"/>
      <c r="I9" s="680"/>
      <c r="J9" s="680"/>
    </row>
    <row r="10" customFormat="false" ht="24" hidden="false" customHeight="true" outlineLevel="0" collapsed="false">
      <c r="A10" s="681" t="s">
        <v>519</v>
      </c>
      <c r="B10" s="682" t="s">
        <v>703</v>
      </c>
      <c r="C10" s="682"/>
      <c r="D10" s="683" t="s">
        <v>704</v>
      </c>
      <c r="E10" s="684" t="s">
        <v>705</v>
      </c>
      <c r="F10" s="685" t="s">
        <v>522</v>
      </c>
      <c r="G10" s="685"/>
      <c r="H10" s="685"/>
      <c r="I10" s="685"/>
      <c r="J10" s="685"/>
    </row>
    <row r="11" customFormat="false" ht="19.5" hidden="false" customHeight="true" outlineLevel="0" collapsed="false">
      <c r="A11" s="686" t="n">
        <v>1</v>
      </c>
      <c r="B11" s="687" t="str">
        <f aca="false">A7</f>
        <v>Servente de Limpeza (40%)</v>
      </c>
      <c r="C11" s="687"/>
      <c r="D11" s="688" t="n">
        <f aca="false">Dados!D14</f>
        <v>150</v>
      </c>
      <c r="E11" s="689" t="n">
        <f aca="false">Dados!E14</f>
        <v>1487.89</v>
      </c>
      <c r="F11" s="690" t="n">
        <f aca="false">ROUND(E11/220*D11,2)</f>
        <v>1014.47</v>
      </c>
      <c r="G11" s="690" t="n">
        <f aca="false">F11</f>
        <v>1014.47</v>
      </c>
      <c r="H11" s="690"/>
      <c r="I11" s="690"/>
      <c r="J11" s="691"/>
    </row>
    <row r="12" customFormat="false" ht="19.5" hidden="false" customHeight="true" outlineLevel="0" collapsed="false">
      <c r="A12" s="686"/>
      <c r="B12" s="687" t="s">
        <v>706</v>
      </c>
      <c r="C12" s="687"/>
      <c r="D12" s="757" t="n">
        <f aca="false">Dados!G14</f>
        <v>0.4</v>
      </c>
      <c r="E12" s="689" t="n">
        <f aca="false">Dados!G34</f>
        <v>1320</v>
      </c>
      <c r="F12" s="690" t="n">
        <f aca="false">D12*E12</f>
        <v>528</v>
      </c>
      <c r="G12" s="690" t="n">
        <f aca="false">F12</f>
        <v>528</v>
      </c>
      <c r="H12" s="690"/>
      <c r="I12" s="690"/>
      <c r="J12" s="691" t="n">
        <f aca="false">F12</f>
        <v>528</v>
      </c>
    </row>
    <row r="13" customFormat="false" ht="20.25" hidden="false" customHeight="true" outlineLevel="0" collapsed="false">
      <c r="A13" s="686"/>
      <c r="B13" s="693" t="s">
        <v>707</v>
      </c>
      <c r="C13" s="694" t="n">
        <f aca="false">Dados!I14</f>
        <v>0</v>
      </c>
      <c r="D13" s="694" t="n">
        <f aca="false">Dados!J14</f>
        <v>0</v>
      </c>
      <c r="E13" s="695" t="n">
        <f aca="false">Dados!L14</f>
        <v>0</v>
      </c>
      <c r="F13" s="696" t="n">
        <f aca="false">ROUND((E13*D13*C13),2)</f>
        <v>0</v>
      </c>
      <c r="G13" s="696" t="n">
        <f aca="false">F13</f>
        <v>0</v>
      </c>
      <c r="H13" s="696"/>
      <c r="I13" s="696"/>
      <c r="J13" s="697"/>
    </row>
    <row r="14" customFormat="false" ht="19.5" hidden="false" customHeight="true" outlineLevel="0" collapsed="false">
      <c r="A14" s="686"/>
      <c r="B14" s="698" t="s">
        <v>708</v>
      </c>
      <c r="C14" s="698"/>
      <c r="D14" s="698"/>
      <c r="E14" s="698"/>
      <c r="F14" s="699" t="n">
        <f aca="false">SUM(F11:F13)</f>
        <v>1542.47</v>
      </c>
      <c r="G14" s="699" t="n">
        <f aca="false">SUM(G11:G13)</f>
        <v>1542.47</v>
      </c>
      <c r="H14" s="699" t="n">
        <f aca="false">SUM(H11:H13)</f>
        <v>0</v>
      </c>
      <c r="I14" s="699" t="n">
        <f aca="false">SUM(I11:I13)</f>
        <v>0</v>
      </c>
      <c r="J14" s="700" t="n">
        <f aca="false">SUM(J11:J13)</f>
        <v>528</v>
      </c>
    </row>
    <row r="15" customFormat="false" ht="19.5" hidden="false" customHeight="true" outlineLevel="0" collapsed="false">
      <c r="A15" s="686"/>
      <c r="B15" s="701" t="s">
        <v>709</v>
      </c>
      <c r="C15" s="701"/>
      <c r="D15" s="701"/>
      <c r="E15" s="702" t="n">
        <f aca="false">Encargos!$C$57</f>
        <v>0.7905</v>
      </c>
      <c r="F15" s="690" t="n">
        <f aca="false">ROUND((E15*F14),2)</f>
        <v>1219.32</v>
      </c>
      <c r="G15" s="690" t="n">
        <f aca="false">F15</f>
        <v>1219.32</v>
      </c>
      <c r="H15" s="690"/>
      <c r="I15" s="690"/>
      <c r="J15" s="691" t="n">
        <f aca="false">ROUND((E15*J14),2)</f>
        <v>417.38</v>
      </c>
    </row>
    <row r="16" customFormat="false" ht="19.5" hidden="false" customHeight="true" outlineLevel="0" collapsed="false">
      <c r="A16" s="703" t="s">
        <v>710</v>
      </c>
      <c r="B16" s="703"/>
      <c r="C16" s="703"/>
      <c r="D16" s="703"/>
      <c r="E16" s="703"/>
      <c r="F16" s="704" t="n">
        <f aca="false">SUM(F14:F15)</f>
        <v>2761.79</v>
      </c>
      <c r="G16" s="704" t="n">
        <f aca="false">SUM(G14:G15)</f>
        <v>2761.79</v>
      </c>
      <c r="H16" s="704" t="n">
        <f aca="false">SUM(H14:H15)</f>
        <v>0</v>
      </c>
      <c r="I16" s="704" t="n">
        <f aca="false">SUM(I14:I15)</f>
        <v>0</v>
      </c>
      <c r="J16" s="705" t="n">
        <f aca="false">SUM(J14:J15)</f>
        <v>945.38</v>
      </c>
    </row>
    <row r="17" customFormat="false" ht="19.5" hidden="false" customHeight="true" outlineLevel="0" collapsed="false">
      <c r="A17" s="706" t="s">
        <v>711</v>
      </c>
      <c r="B17" s="706"/>
      <c r="C17" s="706"/>
      <c r="D17" s="706"/>
      <c r="E17" s="706"/>
      <c r="F17" s="706"/>
      <c r="G17" s="706"/>
      <c r="H17" s="706"/>
      <c r="I17" s="706"/>
      <c r="J17" s="706"/>
    </row>
    <row r="18" customFormat="false" ht="19.5" hidden="false" customHeight="true" outlineLevel="0" collapsed="false">
      <c r="A18" s="707" t="s">
        <v>712</v>
      </c>
      <c r="B18" s="707"/>
      <c r="C18" s="708" t="s">
        <v>521</v>
      </c>
      <c r="D18" s="708" t="s">
        <v>713</v>
      </c>
      <c r="E18" s="708"/>
      <c r="F18" s="709" t="s">
        <v>522</v>
      </c>
      <c r="G18" s="709"/>
      <c r="H18" s="709"/>
      <c r="I18" s="709"/>
      <c r="J18" s="709"/>
    </row>
    <row r="19" customFormat="false" ht="19.5" hidden="false" customHeight="true" outlineLevel="0" collapsed="false">
      <c r="A19" s="710" t="s">
        <v>714</v>
      </c>
      <c r="B19" s="710"/>
      <c r="C19" s="711"/>
      <c r="D19" s="711"/>
      <c r="E19" s="711"/>
      <c r="F19" s="690" t="n">
        <f aca="false">Dados!N14</f>
        <v>31.46</v>
      </c>
      <c r="G19" s="690" t="n">
        <f aca="false">F19</f>
        <v>31.46</v>
      </c>
      <c r="H19" s="690"/>
      <c r="I19" s="690"/>
      <c r="J19" s="691"/>
    </row>
    <row r="20" customFormat="false" ht="19.5" hidden="false" customHeight="true" outlineLevel="0" collapsed="false">
      <c r="A20" s="710" t="s">
        <v>715</v>
      </c>
      <c r="B20" s="710"/>
      <c r="C20" s="711"/>
      <c r="D20" s="711"/>
      <c r="E20" s="711"/>
      <c r="F20" s="690" t="n">
        <f aca="false">Dados!G37</f>
        <v>1.55</v>
      </c>
      <c r="G20" s="690" t="n">
        <f aca="false">F20</f>
        <v>1.55</v>
      </c>
      <c r="H20" s="690"/>
      <c r="I20" s="690"/>
      <c r="J20" s="691"/>
    </row>
    <row r="21" customFormat="false" ht="23.25" hidden="false" customHeight="true" outlineLevel="0" collapsed="false">
      <c r="A21" s="712" t="s">
        <v>354</v>
      </c>
      <c r="B21" s="712"/>
      <c r="C21" s="711"/>
      <c r="D21" s="711"/>
      <c r="E21" s="711"/>
      <c r="F21" s="690" t="n">
        <f aca="false">Dados!G38</f>
        <v>50.36</v>
      </c>
      <c r="G21" s="690" t="n">
        <f aca="false">F21</f>
        <v>50.36</v>
      </c>
      <c r="H21" s="690"/>
      <c r="I21" s="690"/>
      <c r="J21" s="691"/>
    </row>
    <row r="22" customFormat="false" ht="19.5" hidden="false" customHeight="true" outlineLevel="0" collapsed="false">
      <c r="A22" s="710" t="s">
        <v>355</v>
      </c>
      <c r="B22" s="710"/>
      <c r="C22" s="713" t="n">
        <f aca="false">Dados!$G$41</f>
        <v>22</v>
      </c>
      <c r="D22" s="713" t="n">
        <f aca="false">Dados!$G$40</f>
        <v>2</v>
      </c>
      <c r="E22" s="714" t="n">
        <f aca="false">Dados!$G$39</f>
        <v>3.75</v>
      </c>
      <c r="F22" s="690" t="n">
        <f aca="false">IF(ROUND((E22*D22*C22)-(F11*Dados!G42),2)&lt;0,0,ROUND((E22*D22*C22)-(F11*Dados!G42),2))</f>
        <v>104.13</v>
      </c>
      <c r="G22" s="690" t="n">
        <f aca="false">F22</f>
        <v>104.13</v>
      </c>
      <c r="H22" s="690"/>
      <c r="I22" s="690" t="n">
        <f aca="false">F22</f>
        <v>104.13</v>
      </c>
      <c r="J22" s="691"/>
    </row>
    <row r="23" customFormat="false" ht="19.5" hidden="false" customHeight="true" outlineLevel="0" collapsed="false">
      <c r="A23" s="710" t="s">
        <v>364</v>
      </c>
      <c r="B23" s="710"/>
      <c r="C23" s="713" t="n">
        <f aca="false">Dados!G45</f>
        <v>22</v>
      </c>
      <c r="D23" s="715" t="n">
        <f aca="false">Dados!G46</f>
        <v>0.2</v>
      </c>
      <c r="E23" s="714" t="n">
        <f aca="false">Dados!G44</f>
        <v>15.6</v>
      </c>
      <c r="F23" s="716" t="n">
        <f aca="false">ROUND((IF(D11&lt;200,((C23*E23)-(C23*(D23*E23))),0)),2)</f>
        <v>274.56</v>
      </c>
      <c r="G23" s="690" t="n">
        <f aca="false">F23</f>
        <v>274.56</v>
      </c>
      <c r="H23" s="690" t="n">
        <f aca="false">$F$23</f>
        <v>274.56</v>
      </c>
      <c r="I23" s="716"/>
      <c r="J23" s="691"/>
    </row>
    <row r="24" customFormat="false" ht="19.5" hidden="false" customHeight="true" outlineLevel="0" collapsed="false">
      <c r="A24" s="710" t="s">
        <v>368</v>
      </c>
      <c r="B24" s="710"/>
      <c r="C24" s="713"/>
      <c r="D24" s="713"/>
      <c r="E24" s="714"/>
      <c r="F24" s="716" t="n">
        <f aca="false">Dados!G47</f>
        <v>0</v>
      </c>
      <c r="G24" s="690"/>
      <c r="H24" s="690"/>
      <c r="I24" s="716"/>
      <c r="J24" s="691"/>
    </row>
    <row r="25" customFormat="false" ht="19.5" hidden="false" customHeight="true" outlineLevel="0" collapsed="false">
      <c r="A25" s="710" t="s">
        <v>368</v>
      </c>
      <c r="B25" s="710"/>
      <c r="C25" s="713"/>
      <c r="D25" s="713"/>
      <c r="E25" s="714"/>
      <c r="F25" s="716" t="n">
        <f aca="false">Dados!G48</f>
        <v>0</v>
      </c>
      <c r="G25" s="690"/>
      <c r="H25" s="690"/>
      <c r="I25" s="716"/>
      <c r="J25" s="691"/>
    </row>
    <row r="26" customFormat="false" ht="19.5" hidden="false" customHeight="true" outlineLevel="0" collapsed="false">
      <c r="A26" s="710" t="s">
        <v>716</v>
      </c>
      <c r="B26" s="710"/>
      <c r="C26" s="713"/>
      <c r="D26" s="714"/>
      <c r="E26" s="714"/>
      <c r="F26" s="690" t="n">
        <f aca="false">Dados!O14</f>
        <v>1317.56</v>
      </c>
      <c r="G26" s="690"/>
      <c r="H26" s="690"/>
      <c r="I26" s="690"/>
      <c r="J26" s="691"/>
      <c r="L26" s="717"/>
    </row>
    <row r="27" customFormat="false" ht="19.5" hidden="false" customHeight="true" outlineLevel="0" collapsed="false">
      <c r="A27" s="710" t="s">
        <v>717</v>
      </c>
      <c r="B27" s="718"/>
      <c r="C27" s="713"/>
      <c r="D27" s="714"/>
      <c r="E27" s="714"/>
      <c r="F27" s="690"/>
      <c r="G27" s="690"/>
      <c r="H27" s="690"/>
      <c r="I27" s="690"/>
      <c r="J27" s="691"/>
    </row>
    <row r="28" customFormat="false" ht="19.5" hidden="false" customHeight="true" outlineLevel="0" collapsed="false">
      <c r="A28" s="719" t="s">
        <v>718</v>
      </c>
      <c r="B28" s="719"/>
      <c r="C28" s="720"/>
      <c r="D28" s="721"/>
      <c r="E28" s="721"/>
      <c r="F28" s="696" t="n">
        <f aca="false">Dados!T14</f>
        <v>44.82</v>
      </c>
      <c r="G28" s="696" t="n">
        <f aca="false">F28</f>
        <v>44.82</v>
      </c>
      <c r="H28" s="696"/>
      <c r="I28" s="696"/>
      <c r="J28" s="697"/>
    </row>
    <row r="29" customFormat="false" ht="19.5" hidden="false" customHeight="true" outlineLevel="0" collapsed="false">
      <c r="A29" s="722" t="s">
        <v>719</v>
      </c>
      <c r="B29" s="722"/>
      <c r="C29" s="722"/>
      <c r="D29" s="722"/>
      <c r="E29" s="722"/>
      <c r="F29" s="704" t="n">
        <f aca="false">SUM(F19:F28)</f>
        <v>1824.44</v>
      </c>
      <c r="G29" s="704" t="n">
        <f aca="false">SUM(G19:G28)</f>
        <v>506.88</v>
      </c>
      <c r="H29" s="704" t="n">
        <f aca="false">SUM(H19:H28)</f>
        <v>274.56</v>
      </c>
      <c r="I29" s="704" t="n">
        <f aca="false">SUM(I19:I28)</f>
        <v>104.13</v>
      </c>
      <c r="J29" s="705" t="n">
        <f aca="false">SUM(J19:J28)</f>
        <v>0</v>
      </c>
    </row>
    <row r="30" customFormat="false" ht="19.5" hidden="false" customHeight="true" outlineLevel="0" collapsed="false">
      <c r="A30" s="722" t="s">
        <v>720</v>
      </c>
      <c r="B30" s="722"/>
      <c r="C30" s="722"/>
      <c r="D30" s="722"/>
      <c r="E30" s="722"/>
      <c r="F30" s="704" t="n">
        <f aca="false">F16+F29</f>
        <v>4586.23</v>
      </c>
      <c r="G30" s="704" t="n">
        <f aca="false">G16+G29</f>
        <v>3268.67</v>
      </c>
      <c r="H30" s="704" t="n">
        <f aca="false">H16+H29</f>
        <v>274.56</v>
      </c>
      <c r="I30" s="704" t="n">
        <f aca="false">I16+I29</f>
        <v>104.13</v>
      </c>
      <c r="J30" s="705" t="n">
        <f aca="false">J16+J29</f>
        <v>945.38</v>
      </c>
    </row>
    <row r="31" customFormat="false" ht="19.5" hidden="false" customHeight="true" outlineLevel="0" collapsed="false">
      <c r="A31" s="680" t="s">
        <v>721</v>
      </c>
      <c r="B31" s="680"/>
      <c r="C31" s="680"/>
      <c r="D31" s="680"/>
      <c r="E31" s="680"/>
      <c r="F31" s="680"/>
      <c r="G31" s="680"/>
      <c r="H31" s="680"/>
      <c r="I31" s="680"/>
      <c r="J31" s="680"/>
    </row>
    <row r="32" customFormat="false" ht="19.5" hidden="false" customHeight="true" outlineLevel="0" collapsed="false">
      <c r="A32" s="707" t="s">
        <v>722</v>
      </c>
      <c r="B32" s="707"/>
      <c r="C32" s="707"/>
      <c r="D32" s="723" t="s">
        <v>622</v>
      </c>
      <c r="E32" s="724" t="s">
        <v>522</v>
      </c>
      <c r="F32" s="724"/>
      <c r="G32" s="724"/>
      <c r="H32" s="724"/>
      <c r="I32" s="724"/>
      <c r="J32" s="724"/>
    </row>
    <row r="33" customFormat="false" ht="19.5" hidden="false" customHeight="true" outlineLevel="0" collapsed="false">
      <c r="A33" s="725" t="s">
        <v>723</v>
      </c>
      <c r="B33" s="726"/>
      <c r="C33" s="726"/>
      <c r="D33" s="727" t="n">
        <f aca="false">Dados!$G$51</f>
        <v>0.03</v>
      </c>
      <c r="E33" s="728"/>
      <c r="F33" s="690" t="n">
        <f aca="false">ROUND((F30*$D$33),2)</f>
        <v>137.59</v>
      </c>
      <c r="G33" s="690" t="n">
        <f aca="false">ROUND((G30*$D$33),2)</f>
        <v>98.06</v>
      </c>
      <c r="H33" s="690" t="n">
        <f aca="false">ROUND((H30*$D$33),2)</f>
        <v>8.24</v>
      </c>
      <c r="I33" s="690" t="n">
        <f aca="false">ROUND((I30*$D$33),2)</f>
        <v>3.12</v>
      </c>
      <c r="J33" s="691" t="n">
        <f aca="false">ROUND((J30*$D$33),2)</f>
        <v>28.36</v>
      </c>
    </row>
    <row r="34" customFormat="false" ht="19.5" hidden="false" customHeight="true" outlineLevel="0" collapsed="false">
      <c r="A34" s="729" t="s">
        <v>724</v>
      </c>
      <c r="B34" s="729"/>
      <c r="C34" s="729"/>
      <c r="D34" s="727"/>
      <c r="E34" s="728"/>
      <c r="F34" s="690" t="n">
        <f aca="false">F30+F33</f>
        <v>4723.82</v>
      </c>
      <c r="G34" s="690" t="n">
        <f aca="false">G30+G33</f>
        <v>3366.73</v>
      </c>
      <c r="H34" s="690" t="n">
        <f aca="false">H30+H33</f>
        <v>282.8</v>
      </c>
      <c r="I34" s="690" t="n">
        <f aca="false">I30+I33</f>
        <v>107.25</v>
      </c>
      <c r="J34" s="691" t="n">
        <f aca="false">J30+J33</f>
        <v>973.74</v>
      </c>
    </row>
    <row r="35" customFormat="false" ht="19.5" hidden="false" customHeight="true" outlineLevel="0" collapsed="false">
      <c r="A35" s="730" t="s">
        <v>373</v>
      </c>
      <c r="B35" s="731"/>
      <c r="C35" s="731"/>
      <c r="D35" s="732" t="n">
        <f aca="false">Dados!$G$52</f>
        <v>0.0679</v>
      </c>
      <c r="E35" s="733"/>
      <c r="F35" s="696" t="n">
        <f aca="false">ROUND((F34*$D$35),2)</f>
        <v>320.75</v>
      </c>
      <c r="G35" s="696" t="n">
        <f aca="false">ROUND((G34*$D$35),2)</f>
        <v>228.6</v>
      </c>
      <c r="H35" s="696" t="n">
        <f aca="false">ROUND((H34*$D$35),2)</f>
        <v>19.2</v>
      </c>
      <c r="I35" s="696" t="n">
        <f aca="false">ROUND((I34*$D$35),2)</f>
        <v>7.28</v>
      </c>
      <c r="J35" s="697" t="n">
        <f aca="false">ROUND((J34*$D$35),2)</f>
        <v>66.12</v>
      </c>
    </row>
    <row r="36" customFormat="false" ht="19.5" hidden="false" customHeight="true" outlineLevel="0" collapsed="false">
      <c r="A36" s="734" t="s">
        <v>725</v>
      </c>
      <c r="B36" s="735"/>
      <c r="C36" s="735"/>
      <c r="D36" s="736" t="n">
        <f aca="false">SUM(D33:D35)</f>
        <v>0.0979</v>
      </c>
      <c r="E36" s="737"/>
      <c r="F36" s="704" t="n">
        <f aca="false">F33+F35</f>
        <v>458.34</v>
      </c>
      <c r="G36" s="704" t="n">
        <f aca="false">G33+G35</f>
        <v>326.66</v>
      </c>
      <c r="H36" s="704" t="n">
        <f aca="false">H33+H35</f>
        <v>27.44</v>
      </c>
      <c r="I36" s="704" t="n">
        <f aca="false">I33+I35</f>
        <v>10.4</v>
      </c>
      <c r="J36" s="705" t="n">
        <f aca="false">J33+J35</f>
        <v>94.48</v>
      </c>
    </row>
    <row r="37" customFormat="false" ht="19.5" hidden="false" customHeight="true" outlineLevel="0" collapsed="false">
      <c r="A37" s="738" t="s">
        <v>726</v>
      </c>
      <c r="B37" s="738"/>
      <c r="C37" s="738"/>
      <c r="D37" s="738"/>
      <c r="E37" s="738"/>
      <c r="F37" s="739" t="n">
        <f aca="false">F30+F36</f>
        <v>5044.57</v>
      </c>
      <c r="G37" s="739" t="n">
        <f aca="false">G30+G36</f>
        <v>3595.33</v>
      </c>
      <c r="H37" s="739" t="n">
        <f aca="false">H30+H36</f>
        <v>302</v>
      </c>
      <c r="I37" s="739" t="n">
        <f aca="false">I30+I36</f>
        <v>114.53</v>
      </c>
      <c r="J37" s="740" t="n">
        <f aca="false">J30+J36</f>
        <v>1039.86</v>
      </c>
    </row>
    <row r="38" customFormat="false" ht="19.5" hidden="false" customHeight="true" outlineLevel="0" collapsed="false">
      <c r="A38" s="741" t="s">
        <v>727</v>
      </c>
      <c r="B38" s="741"/>
      <c r="C38" s="741"/>
      <c r="D38" s="741"/>
      <c r="E38" s="741"/>
      <c r="F38" s="741"/>
      <c r="G38" s="741"/>
      <c r="H38" s="741"/>
      <c r="I38" s="741"/>
      <c r="J38" s="741"/>
    </row>
    <row r="39" customFormat="false" ht="19.5" hidden="false" customHeight="true" outlineLevel="0" collapsed="false">
      <c r="A39" s="710" t="s">
        <v>379</v>
      </c>
      <c r="B39" s="710"/>
      <c r="C39" s="710"/>
      <c r="D39" s="727" t="n">
        <f aca="false">Dados!G59</f>
        <v>0.076</v>
      </c>
      <c r="E39" s="742"/>
      <c r="F39" s="690" t="n">
        <f aca="false">ROUND(($F$45*D39),2)</f>
        <v>436.91</v>
      </c>
      <c r="G39" s="690" t="n">
        <f aca="false">ROUND((G45*$D$39),2)</f>
        <v>311.39</v>
      </c>
      <c r="H39" s="690" t="n">
        <f aca="false">ROUND((H45*$D$39),2)</f>
        <v>22.95</v>
      </c>
      <c r="I39" s="690" t="n">
        <f aca="false">ROUND((I45*$D$39),2)</f>
        <v>9.92</v>
      </c>
      <c r="J39" s="691" t="n">
        <f aca="false">ROUND((J45*$D$39),2)</f>
        <v>90.06</v>
      </c>
    </row>
    <row r="40" customFormat="false" ht="19.5" hidden="false" customHeight="true" outlineLevel="0" collapsed="false">
      <c r="A40" s="710" t="s">
        <v>381</v>
      </c>
      <c r="B40" s="710"/>
      <c r="C40" s="710"/>
      <c r="D40" s="727" t="n">
        <f aca="false">Dados!G60</f>
        <v>0.0165</v>
      </c>
      <c r="E40" s="742"/>
      <c r="F40" s="690" t="n">
        <f aca="false">ROUND((F45*$D$40),2)</f>
        <v>94.86</v>
      </c>
      <c r="G40" s="690" t="n">
        <f aca="false">ROUND((G45*$D$40),2)</f>
        <v>67.6</v>
      </c>
      <c r="H40" s="690" t="n">
        <f aca="false">ROUND((H45*$D$40),2)</f>
        <v>4.98</v>
      </c>
      <c r="I40" s="690" t="n">
        <f aca="false">ROUND((I45*$D$40),2)</f>
        <v>2.15</v>
      </c>
      <c r="J40" s="691" t="n">
        <f aca="false">ROUND((J45*$D$40),2)</f>
        <v>19.55</v>
      </c>
    </row>
    <row r="41" customFormat="false" ht="19.5" hidden="false" customHeight="true" outlineLevel="0" collapsed="false">
      <c r="A41" s="710" t="str">
        <f aca="false">Dados!B61</f>
        <v>ISSQN - Limpeza e Manutenção</v>
      </c>
      <c r="B41" s="710"/>
      <c r="C41" s="710"/>
      <c r="D41" s="727" t="n">
        <f aca="false">Dados!G61</f>
        <v>0.03</v>
      </c>
      <c r="E41" s="742"/>
      <c r="F41" s="690" t="n">
        <f aca="false">ROUND((F45*$D$41),2)</f>
        <v>172.46</v>
      </c>
      <c r="G41" s="690" t="n">
        <f aca="false">ROUND((G45*$D$41),2)</f>
        <v>122.92</v>
      </c>
      <c r="H41" s="690" t="n">
        <f aca="false">ROUND((H45*$D$41),2)</f>
        <v>9.06</v>
      </c>
      <c r="I41" s="690" t="n">
        <f aca="false">ROUND((I45*$D$41),2)</f>
        <v>3.92</v>
      </c>
      <c r="J41" s="691" t="n">
        <f aca="false">ROUND((J45*$D$41),2)</f>
        <v>35.55</v>
      </c>
    </row>
    <row r="42" customFormat="false" ht="19.5" hidden="false" customHeight="true" outlineLevel="0" collapsed="false">
      <c r="A42" s="710" t="s">
        <v>368</v>
      </c>
      <c r="B42" s="710"/>
      <c r="C42" s="710"/>
      <c r="D42" s="727" t="n">
        <f aca="false">Dados!G63</f>
        <v>0</v>
      </c>
      <c r="E42" s="742"/>
      <c r="F42" s="690" t="n">
        <f aca="false">ROUND((F45*$D$42),2)</f>
        <v>0</v>
      </c>
      <c r="G42" s="690" t="n">
        <f aca="false">ROUND((G45*$D$42),2)</f>
        <v>0</v>
      </c>
      <c r="H42" s="690" t="n">
        <f aca="false">ROUND((H45*$D$42),2)</f>
        <v>0</v>
      </c>
      <c r="I42" s="690" t="n">
        <f aca="false">ROUND((I45*$D$42),2)</f>
        <v>0</v>
      </c>
      <c r="J42" s="691" t="n">
        <f aca="false">ROUND((J45*$D$42),2)</f>
        <v>0</v>
      </c>
    </row>
    <row r="43" customFormat="false" ht="19.5" hidden="false" customHeight="true" outlineLevel="0" collapsed="false">
      <c r="A43" s="743" t="s">
        <v>728</v>
      </c>
      <c r="B43" s="743"/>
      <c r="C43" s="743"/>
      <c r="D43" s="744" t="n">
        <f aca="false">SUM(D39:D42)</f>
        <v>0.1225</v>
      </c>
      <c r="E43" s="745"/>
      <c r="F43" s="746" t="n">
        <f aca="false">SUM(F39:F42)</f>
        <v>704.23</v>
      </c>
      <c r="G43" s="746" t="n">
        <f aca="false">SUM(G39:G42)</f>
        <v>501.91</v>
      </c>
      <c r="H43" s="746" t="n">
        <f aca="false">SUM(H39:H42)</f>
        <v>36.99</v>
      </c>
      <c r="I43" s="746" t="n">
        <f aca="false">SUM(I39:I42)</f>
        <v>15.99</v>
      </c>
      <c r="J43" s="747" t="n">
        <f aca="false">SUM(J39:J41)</f>
        <v>145.16</v>
      </c>
    </row>
    <row r="44" customFormat="false" ht="19.5" hidden="false" customHeight="true" outlineLevel="0" collapsed="false">
      <c r="A44" s="748" t="str">
        <f aca="false">CONCATENATE("Custo Mensal - ",A7)</f>
        <v>Custo Mensal - Servente de Limpeza (40%)</v>
      </c>
      <c r="B44" s="748"/>
      <c r="C44" s="748"/>
      <c r="D44" s="748"/>
      <c r="E44" s="748"/>
      <c r="F44" s="749" t="n">
        <f aca="false">ROUND(F37/(1-D43),2)</f>
        <v>5748.8</v>
      </c>
      <c r="G44" s="749" t="n">
        <f aca="false">ROUND(G37/(1-D43),2)</f>
        <v>4097.24</v>
      </c>
      <c r="H44" s="749" t="n">
        <f aca="false">ROUND(H37/(1-C43),2)</f>
        <v>302</v>
      </c>
      <c r="I44" s="749" t="n">
        <f aca="false">ROUND(I37/(1-D43),2)</f>
        <v>130.52</v>
      </c>
      <c r="J44" s="750" t="n">
        <f aca="false">ROUND(J37/(1-D43),2)</f>
        <v>1185.03</v>
      </c>
    </row>
    <row r="45" customFormat="false" ht="19.5" hidden="false" customHeight="true" outlineLevel="0" collapsed="false">
      <c r="A45" s="751" t="str">
        <f aca="false">CONCATENATE("Valor do Custo Mensal - ",A7)</f>
        <v>Valor do Custo Mensal - Servente de Limpeza (40%)</v>
      </c>
      <c r="B45" s="751"/>
      <c r="C45" s="751"/>
      <c r="D45" s="751"/>
      <c r="E45" s="751"/>
      <c r="F45" s="749" t="n">
        <f aca="false">F44</f>
        <v>5748.8</v>
      </c>
      <c r="G45" s="749" t="n">
        <f aca="false">G44</f>
        <v>4097.24</v>
      </c>
      <c r="H45" s="749" t="n">
        <f aca="false">H44</f>
        <v>302</v>
      </c>
      <c r="I45" s="749" t="n">
        <f aca="false">I44</f>
        <v>130.52</v>
      </c>
      <c r="J45" s="750" t="n">
        <f aca="false">J44</f>
        <v>1185.03</v>
      </c>
      <c r="K45" s="752"/>
      <c r="L45" s="752"/>
    </row>
    <row r="46" customFormat="false" ht="27.75" hidden="false" customHeight="true" outlineLevel="0" collapsed="false">
      <c r="A46" s="753" t="s">
        <v>729</v>
      </c>
      <c r="B46" s="753"/>
      <c r="C46" s="753"/>
      <c r="D46" s="753"/>
      <c r="E46" s="753"/>
      <c r="F46" s="754" t="n">
        <f aca="false">(F45/F14)</f>
        <v>3.72700927732792</v>
      </c>
      <c r="G46" s="754" t="n">
        <f aca="false">(G45/G14)</f>
        <v>2.65628504930404</v>
      </c>
      <c r="H46" s="755" t="s">
        <v>730</v>
      </c>
      <c r="I46" s="755"/>
      <c r="J46" s="756" t="n">
        <f aca="false">ROUND((J45/30),2)</f>
        <v>39.5</v>
      </c>
    </row>
    <row r="47" customFormat="false" ht="19.5" hidden="false" customHeight="true" outlineLevel="0" collapsed="false"/>
  </sheetData>
  <sheetProtection sheet="true" password="c494" objects="true" scenarios="true"/>
  <mergeCells count="49">
    <mergeCell ref="A4:J4"/>
    <mergeCell ref="A5:J5"/>
    <mergeCell ref="A6:J6"/>
    <mergeCell ref="A7:E7"/>
    <mergeCell ref="F7:F8"/>
    <mergeCell ref="G7:G8"/>
    <mergeCell ref="H7:H8"/>
    <mergeCell ref="I7:I8"/>
    <mergeCell ref="J7:J8"/>
    <mergeCell ref="A8:D8"/>
    <mergeCell ref="A9:J9"/>
    <mergeCell ref="B10:C10"/>
    <mergeCell ref="F10:J10"/>
    <mergeCell ref="A11:A15"/>
    <mergeCell ref="B11:C11"/>
    <mergeCell ref="B12:C12"/>
    <mergeCell ref="B14:E14"/>
    <mergeCell ref="B15:D15"/>
    <mergeCell ref="A16:E16"/>
    <mergeCell ref="A17:J17"/>
    <mergeCell ref="A18:B18"/>
    <mergeCell ref="D18:E18"/>
    <mergeCell ref="F18:J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E29"/>
    <mergeCell ref="A30:E30"/>
    <mergeCell ref="A31:J31"/>
    <mergeCell ref="A32:C32"/>
    <mergeCell ref="E32:J32"/>
    <mergeCell ref="A34:C34"/>
    <mergeCell ref="A37:E37"/>
    <mergeCell ref="A38:J38"/>
    <mergeCell ref="A39:C39"/>
    <mergeCell ref="A40:C40"/>
    <mergeCell ref="A41:C41"/>
    <mergeCell ref="A42:C42"/>
    <mergeCell ref="A43:C43"/>
    <mergeCell ref="A44:E44"/>
    <mergeCell ref="A45:E45"/>
    <mergeCell ref="A46:E46"/>
    <mergeCell ref="H46:I4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6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X8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6" activeCellId="0" sqref="N16"/>
    </sheetView>
  </sheetViews>
  <sheetFormatPr defaultColWidth="9.1484375" defaultRowHeight="15" zeroHeight="false" outlineLevelRow="0" outlineLevelCol="0"/>
  <cols>
    <col collapsed="false" customWidth="true" hidden="false" outlineLevel="0" max="1" min="1" style="142" width="6.29"/>
    <col collapsed="false" customWidth="true" hidden="false" outlineLevel="0" max="2" min="2" style="143" width="8.71"/>
    <col collapsed="false" customWidth="true" hidden="false" outlineLevel="0" max="3" min="3" style="112" width="4"/>
    <col collapsed="false" customWidth="false" hidden="false" outlineLevel="0" max="23" min="4" style="112" width="9.14"/>
    <col collapsed="false" customWidth="true" hidden="false" outlineLevel="0" max="24" min="24" style="112" width="10.71"/>
    <col collapsed="false" customWidth="false" hidden="false" outlineLevel="0" max="256" min="25" style="112" width="9.14"/>
    <col collapsed="false" customWidth="true" hidden="false" outlineLevel="0" max="257" min="257" style="112" width="4.57"/>
    <col collapsed="false" customWidth="true" hidden="false" outlineLevel="0" max="258" min="258" style="112" width="11.14"/>
    <col collapsed="false" customWidth="true" hidden="false" outlineLevel="0" max="259" min="259" style="112" width="4"/>
    <col collapsed="false" customWidth="false" hidden="false" outlineLevel="0" max="512" min="260" style="112" width="9.14"/>
    <col collapsed="false" customWidth="true" hidden="false" outlineLevel="0" max="513" min="513" style="112" width="4.57"/>
    <col collapsed="false" customWidth="true" hidden="false" outlineLevel="0" max="514" min="514" style="112" width="11.14"/>
    <col collapsed="false" customWidth="true" hidden="false" outlineLevel="0" max="515" min="515" style="112" width="4"/>
    <col collapsed="false" customWidth="false" hidden="false" outlineLevel="0" max="768" min="516" style="112" width="9.14"/>
    <col collapsed="false" customWidth="true" hidden="false" outlineLevel="0" max="769" min="769" style="112" width="4.57"/>
    <col collapsed="false" customWidth="true" hidden="false" outlineLevel="0" max="770" min="770" style="112" width="11.14"/>
    <col collapsed="false" customWidth="true" hidden="false" outlineLevel="0" max="771" min="771" style="112" width="4"/>
    <col collapsed="false" customWidth="false" hidden="false" outlineLevel="0" max="1024" min="772" style="112" width="9.14"/>
  </cols>
  <sheetData>
    <row r="1" customFormat="false" ht="15" hidden="false" customHeight="false" outlineLevel="0" collapsed="false">
      <c r="A1" s="144"/>
      <c r="B1" s="145" t="s">
        <v>207</v>
      </c>
    </row>
    <row r="2" customFormat="false" ht="15" hidden="false" customHeight="false" outlineLevel="0" collapsed="false">
      <c r="A2" s="146"/>
      <c r="B2" s="147" t="s">
        <v>208</v>
      </c>
    </row>
    <row r="3" customFormat="false" ht="15" hidden="false" customHeight="false" outlineLevel="0" collapsed="false">
      <c r="A3" s="146"/>
      <c r="B3" s="148" t="s">
        <v>209</v>
      </c>
    </row>
    <row r="4" s="150" customFormat="true" ht="15.75" hidden="false" customHeight="false" outlineLevel="0" collapsed="false">
      <c r="A4" s="149" t="s">
        <v>210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</row>
    <row r="5" customFormat="false" ht="12" hidden="false" customHeight="true" outlineLevel="0" collapsed="false"/>
    <row r="6" customFormat="false" ht="15" hidden="false" customHeight="false" outlineLevel="0" collapsed="false">
      <c r="A6" s="151" t="s">
        <v>211</v>
      </c>
      <c r="B6" s="152" t="s">
        <v>212</v>
      </c>
    </row>
    <row r="7" customFormat="false" ht="7.5" hidden="false" customHeight="true" outlineLevel="0" collapsed="false"/>
    <row r="8" customFormat="false" ht="15" hidden="false" customHeight="false" outlineLevel="0" collapsed="false">
      <c r="B8" s="153"/>
      <c r="C8" s="143" t="s">
        <v>213</v>
      </c>
    </row>
    <row r="10" customFormat="false" ht="15" hidden="false" customHeight="false" outlineLevel="0" collapsed="false">
      <c r="A10" s="151" t="s">
        <v>214</v>
      </c>
      <c r="B10" s="143" t="s">
        <v>215</v>
      </c>
    </row>
    <row r="12" customFormat="false" ht="15" hidden="false" customHeight="false" outlineLevel="0" collapsed="false">
      <c r="A12" s="151" t="s">
        <v>216</v>
      </c>
      <c r="B12" s="143" t="s">
        <v>217</v>
      </c>
    </row>
    <row r="13" customFormat="false" ht="15" hidden="false" customHeight="false" outlineLevel="0" collapsed="false">
      <c r="A13" s="151"/>
      <c r="B13" s="143" t="s">
        <v>218</v>
      </c>
    </row>
    <row r="14" s="155" customFormat="true" ht="17.25" hidden="false" customHeight="true" outlineLevel="0" collapsed="false">
      <c r="A14" s="151"/>
      <c r="B14" s="154" t="s">
        <v>219</v>
      </c>
    </row>
    <row r="15" customFormat="false" ht="7.5" hidden="false" customHeight="true" outlineLevel="0" collapsed="false"/>
    <row r="16" customFormat="false" ht="15" hidden="false" customHeight="false" outlineLevel="0" collapsed="false">
      <c r="B16" s="156" t="s">
        <v>220</v>
      </c>
      <c r="C16" s="157" t="s">
        <v>221</v>
      </c>
      <c r="D16" s="157"/>
      <c r="E16" s="157"/>
      <c r="F16" s="157"/>
      <c r="G16" s="157"/>
    </row>
    <row r="18" customFormat="false" ht="15" hidden="false" customHeight="false" outlineLevel="0" collapsed="false">
      <c r="C18" s="158" t="s">
        <v>222</v>
      </c>
      <c r="D18" s="158" t="s">
        <v>223</v>
      </c>
    </row>
    <row r="19" customFormat="false" ht="15" hidden="false" customHeight="false" outlineLevel="0" collapsed="false">
      <c r="D19" s="112" t="s">
        <v>224</v>
      </c>
    </row>
    <row r="20" customFormat="false" ht="15" hidden="false" customHeight="false" outlineLevel="0" collapsed="false">
      <c r="D20" s="112" t="s">
        <v>225</v>
      </c>
    </row>
    <row r="21" customFormat="false" ht="15" hidden="false" customHeight="false" outlineLevel="0" collapsed="false">
      <c r="D21" s="112" t="s">
        <v>226</v>
      </c>
    </row>
    <row r="22" customFormat="false" ht="15" hidden="false" customHeight="false" outlineLevel="0" collapsed="false">
      <c r="C22" s="158"/>
      <c r="D22" s="112" t="s">
        <v>227</v>
      </c>
    </row>
    <row r="23" customFormat="false" ht="15" hidden="false" customHeight="false" outlineLevel="0" collapsed="false">
      <c r="D23" s="112" t="s">
        <v>228</v>
      </c>
    </row>
    <row r="24" customFormat="false" ht="15" hidden="false" customHeight="false" outlineLevel="0" collapsed="false">
      <c r="D24" s="112" t="s">
        <v>229</v>
      </c>
    </row>
    <row r="25" customFormat="false" ht="15" hidden="false" customHeight="false" outlineLevel="0" collapsed="false">
      <c r="D25" s="112" t="s">
        <v>230</v>
      </c>
    </row>
    <row r="26" customFormat="false" ht="15" hidden="false" customHeight="false" outlineLevel="0" collapsed="false">
      <c r="D26" s="112" t="s">
        <v>231</v>
      </c>
    </row>
    <row r="27" customFormat="false" ht="15" hidden="false" customHeight="false" outlineLevel="0" collapsed="false">
      <c r="D27" s="112" t="s">
        <v>232</v>
      </c>
    </row>
    <row r="28" customFormat="false" ht="15" hidden="false" customHeight="false" outlineLevel="0" collapsed="false">
      <c r="D28" s="112" t="s">
        <v>233</v>
      </c>
    </row>
    <row r="29" customFormat="false" ht="15" hidden="false" customHeight="false" outlineLevel="0" collapsed="false">
      <c r="D29" s="112" t="s">
        <v>234</v>
      </c>
    </row>
    <row r="30" customFormat="false" ht="15" hidden="false" customHeight="false" outlineLevel="0" collapsed="false">
      <c r="D30" s="112" t="s">
        <v>235</v>
      </c>
    </row>
    <row r="31" customFormat="false" ht="15" hidden="false" customHeight="false" outlineLevel="0" collapsed="false">
      <c r="D31" s="112" t="s">
        <v>236</v>
      </c>
    </row>
    <row r="32" customFormat="false" ht="15" hidden="false" customHeight="false" outlineLevel="0" collapsed="false">
      <c r="D32" s="112" t="s">
        <v>237</v>
      </c>
    </row>
    <row r="33" customFormat="false" ht="15" hidden="false" customHeight="false" outlineLevel="0" collapsed="false">
      <c r="D33" s="112" t="s">
        <v>238</v>
      </c>
    </row>
    <row r="34" customFormat="false" ht="15" hidden="false" customHeight="false" outlineLevel="0" collapsed="false">
      <c r="D34" s="112" t="s">
        <v>239</v>
      </c>
    </row>
    <row r="35" customFormat="false" ht="15" hidden="false" customHeight="false" outlineLevel="0" collapsed="false">
      <c r="D35" s="112" t="s">
        <v>240</v>
      </c>
    </row>
    <row r="36" customFormat="false" ht="15" hidden="false" customHeight="false" outlineLevel="0" collapsed="false">
      <c r="D36" s="112" t="s">
        <v>241</v>
      </c>
    </row>
    <row r="37" customFormat="false" ht="15" hidden="false" customHeight="false" outlineLevel="0" collapsed="false">
      <c r="D37" s="112" t="s">
        <v>242</v>
      </c>
    </row>
    <row r="38" customFormat="false" ht="15" hidden="false" customHeight="false" outlineLevel="0" collapsed="false">
      <c r="D38" s="112" t="s">
        <v>243</v>
      </c>
    </row>
    <row r="39" customFormat="false" ht="15" hidden="false" customHeight="false" outlineLevel="0" collapsed="false">
      <c r="D39" s="112" t="s">
        <v>244</v>
      </c>
    </row>
    <row r="40" customFormat="false" ht="15" hidden="false" customHeight="false" outlineLevel="0" collapsed="false">
      <c r="D40" s="112" t="s">
        <v>245</v>
      </c>
    </row>
    <row r="41" customFormat="false" ht="15" hidden="false" customHeight="false" outlineLevel="0" collapsed="false">
      <c r="D41" s="112" t="s">
        <v>246</v>
      </c>
    </row>
    <row r="42" customFormat="false" ht="15" hidden="false" customHeight="false" outlineLevel="0" collapsed="false">
      <c r="D42" s="112" t="s">
        <v>247</v>
      </c>
    </row>
    <row r="43" customFormat="false" ht="15" hidden="false" customHeight="false" outlineLevel="0" collapsed="false">
      <c r="D43" s="112" t="s">
        <v>248</v>
      </c>
    </row>
    <row r="44" customFormat="false" ht="15" hidden="false" customHeight="false" outlineLevel="0" collapsed="false">
      <c r="D44" s="157" t="s">
        <v>249</v>
      </c>
      <c r="E44" s="157"/>
      <c r="F44" s="157"/>
      <c r="G44" s="157"/>
      <c r="H44" s="157"/>
    </row>
    <row r="46" customFormat="false" ht="15" hidden="false" customHeight="false" outlineLevel="0" collapsed="false">
      <c r="C46" s="158" t="s">
        <v>250</v>
      </c>
      <c r="D46" s="158" t="s">
        <v>251</v>
      </c>
    </row>
    <row r="47" customFormat="false" ht="15" hidden="false" customHeight="false" outlineLevel="0" collapsed="false">
      <c r="D47" s="112" t="s">
        <v>252</v>
      </c>
    </row>
    <row r="48" customFormat="false" ht="15" hidden="false" customHeight="false" outlineLevel="0" collapsed="false">
      <c r="D48" s="112" t="s">
        <v>253</v>
      </c>
    </row>
    <row r="49" customFormat="false" ht="15" hidden="false" customHeight="false" outlineLevel="0" collapsed="false">
      <c r="D49" s="157" t="s">
        <v>249</v>
      </c>
      <c r="E49" s="157"/>
      <c r="F49" s="157"/>
      <c r="G49" s="157"/>
      <c r="H49" s="157"/>
    </row>
    <row r="51" customFormat="false" ht="15" hidden="false" customHeight="false" outlineLevel="0" collapsed="false">
      <c r="C51" s="158" t="s">
        <v>254</v>
      </c>
      <c r="D51" s="158" t="s">
        <v>255</v>
      </c>
    </row>
    <row r="52" customFormat="false" ht="15" hidden="false" customHeight="false" outlineLevel="0" collapsed="false">
      <c r="D52" s="112" t="s">
        <v>256</v>
      </c>
    </row>
    <row r="53" customFormat="false" ht="15" hidden="false" customHeight="false" outlineLevel="0" collapsed="false">
      <c r="D53" s="112" t="s">
        <v>257</v>
      </c>
    </row>
    <row r="54" customFormat="false" ht="15" hidden="false" customHeight="false" outlineLevel="0" collapsed="false">
      <c r="E54" s="112" t="s">
        <v>258</v>
      </c>
    </row>
    <row r="55" customFormat="false" ht="15" hidden="false" customHeight="false" outlineLevel="0" collapsed="false">
      <c r="E55" s="112" t="s">
        <v>259</v>
      </c>
    </row>
    <row r="56" customFormat="false" ht="15" hidden="false" customHeight="false" outlineLevel="0" collapsed="false">
      <c r="E56" s="159" t="s">
        <v>260</v>
      </c>
    </row>
    <row r="57" customFormat="false" ht="15" hidden="false" customHeight="false" outlineLevel="0" collapsed="false">
      <c r="E57" s="159" t="s">
        <v>261</v>
      </c>
    </row>
    <row r="58" customFormat="false" ht="15" hidden="false" customHeight="false" outlineLevel="0" collapsed="false">
      <c r="E58" s="159" t="s">
        <v>262</v>
      </c>
    </row>
    <row r="59" customFormat="false" ht="15" hidden="false" customHeight="false" outlineLevel="0" collapsed="false">
      <c r="D59" s="112" t="s">
        <v>263</v>
      </c>
    </row>
    <row r="60" customFormat="false" ht="15" hidden="false" customHeight="false" outlineLevel="0" collapsed="false">
      <c r="D60" s="157" t="s">
        <v>249</v>
      </c>
      <c r="E60" s="157"/>
      <c r="F60" s="157"/>
      <c r="G60" s="157"/>
      <c r="H60" s="157"/>
    </row>
    <row r="62" customFormat="false" ht="15" hidden="false" customHeight="false" outlineLevel="0" collapsed="false">
      <c r="C62" s="158" t="s">
        <v>264</v>
      </c>
      <c r="D62" s="158" t="s">
        <v>265</v>
      </c>
    </row>
    <row r="63" customFormat="false" ht="15" hidden="false" customHeight="false" outlineLevel="0" collapsed="false">
      <c r="D63" s="112" t="s">
        <v>266</v>
      </c>
    </row>
    <row r="64" customFormat="false" ht="15" hidden="false" customHeight="false" outlineLevel="0" collapsed="false">
      <c r="D64" s="157" t="s">
        <v>249</v>
      </c>
      <c r="E64" s="157"/>
      <c r="F64" s="157"/>
      <c r="G64" s="157"/>
      <c r="H64" s="157"/>
    </row>
    <row r="66" customFormat="false" ht="15" hidden="false" customHeight="false" outlineLevel="0" collapsed="false">
      <c r="C66" s="158" t="s">
        <v>267</v>
      </c>
      <c r="D66" s="158" t="s">
        <v>268</v>
      </c>
    </row>
    <row r="67" customFormat="false" ht="15" hidden="false" customHeight="false" outlineLevel="0" collapsed="false">
      <c r="D67" s="112" t="s">
        <v>269</v>
      </c>
    </row>
    <row r="68" customFormat="false" ht="15" hidden="false" customHeight="false" outlineLevel="0" collapsed="false">
      <c r="D68" s="112" t="s">
        <v>270</v>
      </c>
    </row>
    <row r="69" customFormat="false" ht="15" hidden="false" customHeight="false" outlineLevel="0" collapsed="false">
      <c r="D69" s="112" t="s">
        <v>271</v>
      </c>
    </row>
    <row r="70" customFormat="false" ht="15" hidden="false" customHeight="false" outlineLevel="0" collapsed="false">
      <c r="D70" s="157" t="s">
        <v>249</v>
      </c>
      <c r="E70" s="157"/>
      <c r="F70" s="157"/>
      <c r="G70" s="157"/>
      <c r="H70" s="157"/>
    </row>
    <row r="71" customFormat="false" ht="19.5" hidden="false" customHeight="true" outlineLevel="0" collapsed="false"/>
    <row r="72" customFormat="false" ht="15" hidden="false" customHeight="false" outlineLevel="0" collapsed="false">
      <c r="A72" s="151" t="s">
        <v>272</v>
      </c>
      <c r="B72" s="143" t="s">
        <v>273</v>
      </c>
    </row>
    <row r="73" customFormat="false" ht="15" hidden="false" customHeight="false" outlineLevel="0" collapsed="false">
      <c r="A73" s="151"/>
      <c r="B73" s="143" t="s">
        <v>218</v>
      </c>
    </row>
    <row r="74" s="155" customFormat="true" ht="18" hidden="false" customHeight="true" outlineLevel="0" collapsed="false">
      <c r="A74" s="142"/>
      <c r="B74" s="151" t="s">
        <v>274</v>
      </c>
      <c r="C74" s="155" t="s">
        <v>275</v>
      </c>
    </row>
    <row r="75" customFormat="false" ht="15" hidden="false" customHeight="false" outlineLevel="0" collapsed="false">
      <c r="B75" s="156" t="s">
        <v>276</v>
      </c>
      <c r="C75" s="160" t="s">
        <v>277</v>
      </c>
      <c r="D75" s="160"/>
      <c r="E75" s="160"/>
      <c r="F75" s="160"/>
      <c r="G75" s="160"/>
    </row>
    <row r="76" customFormat="false" ht="24.75" hidden="false" customHeight="true" outlineLevel="0" collapsed="false"/>
    <row r="77" s="155" customFormat="true" ht="15" hidden="false" customHeight="true" outlineLevel="0" collapsed="false">
      <c r="A77" s="151" t="s">
        <v>278</v>
      </c>
      <c r="B77" s="161" t="s">
        <v>279</v>
      </c>
    </row>
    <row r="78" s="155" customFormat="true" ht="15.75" hidden="false" customHeight="true" outlineLevel="0" collapsed="false">
      <c r="A78" s="142"/>
      <c r="B78" s="151" t="s">
        <v>280</v>
      </c>
      <c r="C78" s="162" t="s">
        <v>281</v>
      </c>
    </row>
    <row r="79" customFormat="false" ht="15" hidden="false" customHeight="false" outlineLevel="0" collapsed="false">
      <c r="B79" s="156" t="s">
        <v>282</v>
      </c>
      <c r="C79" s="163" t="s">
        <v>283</v>
      </c>
      <c r="D79" s="163"/>
      <c r="E79" s="163"/>
      <c r="F79" s="163"/>
    </row>
    <row r="80" customFormat="false" ht="24.75" hidden="false" customHeight="true" outlineLevel="0" collapsed="false"/>
    <row r="81" customFormat="false" ht="15" hidden="false" customHeight="false" outlineLevel="0" collapsed="false">
      <c r="A81" s="151" t="s">
        <v>284</v>
      </c>
      <c r="B81" s="143" t="s">
        <v>285</v>
      </c>
    </row>
    <row r="82" s="155" customFormat="true" ht="16.5" hidden="false" customHeight="true" outlineLevel="0" collapsed="false">
      <c r="A82" s="142"/>
      <c r="B82" s="151" t="s">
        <v>286</v>
      </c>
      <c r="C82" s="162" t="s">
        <v>287</v>
      </c>
    </row>
    <row r="83" s="155" customFormat="true" ht="14.25" hidden="false" customHeight="true" outlineLevel="0" collapsed="false">
      <c r="A83" s="142"/>
      <c r="B83" s="151" t="s">
        <v>288</v>
      </c>
      <c r="C83" s="164" t="s">
        <v>277</v>
      </c>
      <c r="D83" s="164"/>
      <c r="E83" s="164"/>
      <c r="F83" s="164"/>
      <c r="G83" s="164"/>
    </row>
    <row r="84" s="155" customFormat="true" ht="23.25" hidden="false" customHeight="true" outlineLevel="0" collapsed="false">
      <c r="A84" s="142"/>
      <c r="B84" s="151"/>
      <c r="C84" s="165"/>
      <c r="D84" s="165"/>
      <c r="E84" s="165"/>
      <c r="F84" s="165"/>
      <c r="G84" s="165"/>
    </row>
  </sheetData>
  <sheetProtection sheet="true" password="c354" objects="true" scenarios="true"/>
  <mergeCells count="1">
    <mergeCell ref="A4:X4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2" activeCellId="0" sqref="A42"/>
    </sheetView>
  </sheetViews>
  <sheetFormatPr defaultColWidth="9.1484375" defaultRowHeight="15" zeroHeight="false" outlineLevelRow="0" outlineLevelCol="0"/>
  <cols>
    <col collapsed="false" customWidth="true" hidden="false" outlineLevel="0" max="1" min="1" style="148" width="10.57"/>
    <col collapsed="false" customWidth="true" hidden="false" outlineLevel="0" max="2" min="2" style="148" width="27.71"/>
    <col collapsed="false" customWidth="true" hidden="false" outlineLevel="0" max="3" min="3" style="148" width="14.42"/>
    <col collapsed="false" customWidth="true" hidden="false" outlineLevel="0" max="5" min="4" style="148" width="15"/>
    <col collapsed="false" customWidth="true" hidden="false" outlineLevel="0" max="6" min="6" style="662" width="16.71"/>
    <col collapsed="false" customWidth="true" hidden="false" outlineLevel="0" max="8" min="7" style="662" width="13.15"/>
    <col collapsed="false" customWidth="true" hidden="false" outlineLevel="0" max="10" min="9" style="662" width="12.57"/>
    <col collapsed="false" customWidth="false" hidden="false" outlineLevel="0" max="257" min="11" style="148" width="9.14"/>
    <col collapsed="false" customWidth="true" hidden="false" outlineLevel="0" max="258" min="258" style="148" width="10.57"/>
    <col collapsed="false" customWidth="true" hidden="false" outlineLevel="0" max="259" min="259" style="148" width="27.71"/>
    <col collapsed="false" customWidth="true" hidden="false" outlineLevel="0" max="260" min="260" style="148" width="14.42"/>
    <col collapsed="false" customWidth="true" hidden="false" outlineLevel="0" max="262" min="261" style="148" width="15"/>
    <col collapsed="false" customWidth="true" hidden="false" outlineLevel="0" max="263" min="263" style="148" width="16.71"/>
    <col collapsed="false" customWidth="true" hidden="false" outlineLevel="0" max="264" min="264" style="148" width="13.15"/>
    <col collapsed="false" customWidth="true" hidden="false" outlineLevel="0" max="266" min="265" style="148" width="12.57"/>
    <col collapsed="false" customWidth="false" hidden="false" outlineLevel="0" max="513" min="267" style="148" width="9.14"/>
    <col collapsed="false" customWidth="true" hidden="false" outlineLevel="0" max="514" min="514" style="148" width="10.57"/>
    <col collapsed="false" customWidth="true" hidden="false" outlineLevel="0" max="515" min="515" style="148" width="27.71"/>
    <col collapsed="false" customWidth="true" hidden="false" outlineLevel="0" max="516" min="516" style="148" width="14.42"/>
    <col collapsed="false" customWidth="true" hidden="false" outlineLevel="0" max="518" min="517" style="148" width="15"/>
    <col collapsed="false" customWidth="true" hidden="false" outlineLevel="0" max="519" min="519" style="148" width="16.71"/>
    <col collapsed="false" customWidth="true" hidden="false" outlineLevel="0" max="520" min="520" style="148" width="13.15"/>
    <col collapsed="false" customWidth="true" hidden="false" outlineLevel="0" max="522" min="521" style="148" width="12.57"/>
    <col collapsed="false" customWidth="false" hidden="false" outlineLevel="0" max="769" min="523" style="148" width="9.14"/>
    <col collapsed="false" customWidth="true" hidden="false" outlineLevel="0" max="770" min="770" style="148" width="10.57"/>
    <col collapsed="false" customWidth="true" hidden="false" outlineLevel="0" max="771" min="771" style="148" width="27.71"/>
    <col collapsed="false" customWidth="true" hidden="false" outlineLevel="0" max="772" min="772" style="148" width="14.42"/>
    <col collapsed="false" customWidth="true" hidden="false" outlineLevel="0" max="774" min="773" style="148" width="15"/>
    <col collapsed="false" customWidth="true" hidden="false" outlineLevel="0" max="775" min="775" style="148" width="16.71"/>
    <col collapsed="false" customWidth="true" hidden="false" outlineLevel="0" max="776" min="776" style="148" width="13.15"/>
    <col collapsed="false" customWidth="true" hidden="false" outlineLevel="0" max="778" min="777" style="148" width="12.57"/>
    <col collapsed="false" customWidth="false" hidden="false" outlineLevel="0" max="1024" min="779" style="148" width="9.14"/>
  </cols>
  <sheetData>
    <row r="1" customFormat="false" ht="15" hidden="false" customHeight="false" outlineLevel="0" collapsed="false">
      <c r="A1" s="663"/>
      <c r="B1" s="145" t="str">
        <f aca="false">INSTRUÇÕES!B1</f>
        <v>Tribunal Regional Federal da 6ª Região</v>
      </c>
      <c r="C1" s="664"/>
      <c r="D1" s="664"/>
      <c r="E1" s="664"/>
      <c r="F1" s="665"/>
      <c r="G1" s="666"/>
      <c r="H1" s="666"/>
      <c r="I1" s="665"/>
      <c r="J1" s="667"/>
    </row>
    <row r="2" customFormat="false" ht="15" hidden="false" customHeight="false" outlineLevel="0" collapsed="false">
      <c r="A2" s="668"/>
      <c r="B2" s="147" t="str">
        <f aca="false">INSTRUÇÕES!B2</f>
        <v>Seção Judiciária de Minas Gerais</v>
      </c>
      <c r="C2" s="669"/>
      <c r="D2" s="669"/>
      <c r="E2" s="669"/>
      <c r="F2" s="670"/>
      <c r="I2" s="670"/>
      <c r="J2" s="671"/>
    </row>
    <row r="3" customFormat="false" ht="15" hidden="false" customHeight="false" outlineLevel="0" collapsed="false">
      <c r="A3" s="672"/>
      <c r="B3" s="491" t="str">
        <f aca="false">INSTRUÇÕES!B3</f>
        <v>Subseção Judiciária de Juiz de Fora</v>
      </c>
      <c r="C3" s="669"/>
      <c r="D3" s="669"/>
      <c r="E3" s="669"/>
      <c r="F3" s="670"/>
      <c r="I3" s="670"/>
      <c r="J3" s="671"/>
    </row>
    <row r="4" customFormat="false" ht="19.5" hidden="false" customHeight="true" outlineLevel="0" collapsed="false">
      <c r="A4" s="673" t="s">
        <v>695</v>
      </c>
      <c r="B4" s="673"/>
      <c r="C4" s="673"/>
      <c r="D4" s="673"/>
      <c r="E4" s="673"/>
      <c r="F4" s="673"/>
      <c r="G4" s="673"/>
      <c r="H4" s="673"/>
      <c r="I4" s="673"/>
      <c r="J4" s="673"/>
    </row>
    <row r="5" customFormat="false" ht="19.5" hidden="false" customHeight="true" outlineLevel="0" collapsed="false">
      <c r="A5" s="674" t="s">
        <v>421</v>
      </c>
      <c r="B5" s="674"/>
      <c r="C5" s="674"/>
      <c r="D5" s="674"/>
      <c r="E5" s="674"/>
      <c r="F5" s="674"/>
      <c r="G5" s="674"/>
      <c r="H5" s="674"/>
      <c r="I5" s="674"/>
      <c r="J5" s="674"/>
    </row>
    <row r="6" customFormat="false" ht="36" hidden="false" customHeight="true" outlineLevel="0" collapsed="false">
      <c r="A6" s="675" t="str">
        <f aca="false">Dados!A4</f>
        <v>Sindicato utilizado - SINTEAC/JF. Vigência: 01/01/2023 à 31/12/2023. Sendo a data base da categoria 01º Janeiro. Com número de registro no MTE MG001725/2023.</v>
      </c>
      <c r="B6" s="675"/>
      <c r="C6" s="675"/>
      <c r="D6" s="675"/>
      <c r="E6" s="675"/>
      <c r="F6" s="675"/>
      <c r="G6" s="675"/>
      <c r="H6" s="675"/>
      <c r="I6" s="675"/>
      <c r="J6" s="675"/>
    </row>
    <row r="7" customFormat="false" ht="19.5" hidden="false" customHeight="true" outlineLevel="0" collapsed="false">
      <c r="A7" s="676" t="str">
        <f aca="false">Dados!C13</f>
        <v>Servente de Limpeza</v>
      </c>
      <c r="B7" s="676"/>
      <c r="C7" s="676"/>
      <c r="D7" s="676"/>
      <c r="E7" s="676"/>
      <c r="F7" s="677" t="s">
        <v>696</v>
      </c>
      <c r="G7" s="677" t="s">
        <v>697</v>
      </c>
      <c r="H7" s="677" t="s">
        <v>698</v>
      </c>
      <c r="I7" s="677" t="s">
        <v>699</v>
      </c>
      <c r="J7" s="677" t="s">
        <v>700</v>
      </c>
    </row>
    <row r="8" customFormat="false" ht="19.5" hidden="false" customHeight="true" outlineLevel="0" collapsed="false">
      <c r="A8" s="678" t="s">
        <v>701</v>
      </c>
      <c r="B8" s="678"/>
      <c r="C8" s="678"/>
      <c r="D8" s="678"/>
      <c r="E8" s="679" t="s">
        <v>518</v>
      </c>
      <c r="F8" s="677"/>
      <c r="G8" s="677"/>
      <c r="H8" s="677"/>
      <c r="I8" s="677"/>
      <c r="J8" s="677"/>
    </row>
    <row r="9" customFormat="false" ht="19.5" hidden="false" customHeight="true" outlineLevel="0" collapsed="false">
      <c r="A9" s="680" t="s">
        <v>702</v>
      </c>
      <c r="B9" s="680"/>
      <c r="C9" s="680"/>
      <c r="D9" s="680"/>
      <c r="E9" s="680"/>
      <c r="F9" s="680"/>
      <c r="G9" s="680"/>
      <c r="H9" s="680"/>
      <c r="I9" s="680"/>
      <c r="J9" s="680"/>
    </row>
    <row r="10" customFormat="false" ht="24" hidden="false" customHeight="true" outlineLevel="0" collapsed="false">
      <c r="A10" s="681" t="s">
        <v>519</v>
      </c>
      <c r="B10" s="682" t="s">
        <v>703</v>
      </c>
      <c r="C10" s="682"/>
      <c r="D10" s="683" t="s">
        <v>704</v>
      </c>
      <c r="E10" s="684" t="s">
        <v>705</v>
      </c>
      <c r="F10" s="685" t="s">
        <v>522</v>
      </c>
      <c r="G10" s="685"/>
      <c r="H10" s="685"/>
      <c r="I10" s="685"/>
      <c r="J10" s="685"/>
    </row>
    <row r="11" customFormat="false" ht="19.5" hidden="false" customHeight="true" outlineLevel="0" collapsed="false">
      <c r="A11" s="686" t="n">
        <v>1</v>
      </c>
      <c r="B11" s="687" t="str">
        <f aca="false">A7</f>
        <v>Servente de Limpeza</v>
      </c>
      <c r="C11" s="687"/>
      <c r="D11" s="688" t="n">
        <f aca="false">Dados!D13</f>
        <v>220</v>
      </c>
      <c r="E11" s="689" t="n">
        <f aca="false">Dados!E13</f>
        <v>1487.89</v>
      </c>
      <c r="F11" s="690" t="n">
        <f aca="false">ROUND(E11/220*D11,2)</f>
        <v>1487.89</v>
      </c>
      <c r="G11" s="690" t="n">
        <f aca="false">F11</f>
        <v>1487.89</v>
      </c>
      <c r="H11" s="690"/>
      <c r="I11" s="690"/>
      <c r="J11" s="691"/>
    </row>
    <row r="12" customFormat="false" ht="19.5" hidden="false" customHeight="true" outlineLevel="0" collapsed="false">
      <c r="A12" s="686"/>
      <c r="B12" s="687" t="s">
        <v>706</v>
      </c>
      <c r="C12" s="687"/>
      <c r="D12" s="692" t="n">
        <f aca="false">Dados!G13</f>
        <v>0</v>
      </c>
      <c r="E12" s="689" t="n">
        <f aca="false">Dados!G34</f>
        <v>1320</v>
      </c>
      <c r="F12" s="690" t="n">
        <f aca="false">D12*E12</f>
        <v>0</v>
      </c>
      <c r="G12" s="690" t="n">
        <f aca="false">F12</f>
        <v>0</v>
      </c>
      <c r="H12" s="690"/>
      <c r="I12" s="690"/>
      <c r="J12" s="691" t="n">
        <f aca="false">F12</f>
        <v>0</v>
      </c>
    </row>
    <row r="13" customFormat="false" ht="21" hidden="false" customHeight="true" outlineLevel="0" collapsed="false">
      <c r="A13" s="686"/>
      <c r="B13" s="693" t="s">
        <v>707</v>
      </c>
      <c r="C13" s="694" t="n">
        <f aca="false">Dados!I13</f>
        <v>0</v>
      </c>
      <c r="D13" s="694" t="n">
        <f aca="false">Dados!J13</f>
        <v>0</v>
      </c>
      <c r="E13" s="695" t="n">
        <f aca="false">Dados!K13</f>
        <v>0</v>
      </c>
      <c r="F13" s="696" t="n">
        <f aca="false">ROUND((E13*D13*C13),2)</f>
        <v>0</v>
      </c>
      <c r="G13" s="696" t="n">
        <f aca="false">F13</f>
        <v>0</v>
      </c>
      <c r="H13" s="696"/>
      <c r="I13" s="696"/>
      <c r="J13" s="697"/>
    </row>
    <row r="14" customFormat="false" ht="19.5" hidden="false" customHeight="true" outlineLevel="0" collapsed="false">
      <c r="A14" s="686"/>
      <c r="B14" s="698" t="s">
        <v>708</v>
      </c>
      <c r="C14" s="698"/>
      <c r="D14" s="698"/>
      <c r="E14" s="698"/>
      <c r="F14" s="699" t="n">
        <f aca="false">SUM(F11:F13)</f>
        <v>1487.89</v>
      </c>
      <c r="G14" s="699" t="n">
        <f aca="false">SUM(G11:G13)</f>
        <v>1487.89</v>
      </c>
      <c r="H14" s="699" t="n">
        <f aca="false">SUM(H11:H13)</f>
        <v>0</v>
      </c>
      <c r="I14" s="699" t="n">
        <f aca="false">SUM(I11:I13)</f>
        <v>0</v>
      </c>
      <c r="J14" s="700" t="n">
        <f aca="false">SUM(J11:J13)</f>
        <v>0</v>
      </c>
    </row>
    <row r="15" customFormat="false" ht="19.5" hidden="false" customHeight="true" outlineLevel="0" collapsed="false">
      <c r="A15" s="686"/>
      <c r="B15" s="701" t="s">
        <v>709</v>
      </c>
      <c r="C15" s="701"/>
      <c r="D15" s="701"/>
      <c r="E15" s="702" t="n">
        <f aca="false">Encargos!$C$57</f>
        <v>0.7905</v>
      </c>
      <c r="F15" s="690" t="n">
        <f aca="false">ROUND((E15*F14),2)</f>
        <v>1176.18</v>
      </c>
      <c r="G15" s="690" t="n">
        <f aca="false">F15</f>
        <v>1176.18</v>
      </c>
      <c r="H15" s="690"/>
      <c r="I15" s="690"/>
      <c r="J15" s="691" t="n">
        <f aca="false">ROUND((E15*J14),2)</f>
        <v>0</v>
      </c>
    </row>
    <row r="16" customFormat="false" ht="19.5" hidden="false" customHeight="true" outlineLevel="0" collapsed="false">
      <c r="A16" s="703" t="s">
        <v>710</v>
      </c>
      <c r="B16" s="703"/>
      <c r="C16" s="703"/>
      <c r="D16" s="703"/>
      <c r="E16" s="703"/>
      <c r="F16" s="704" t="n">
        <f aca="false">SUM(F14:F15)</f>
        <v>2664.07</v>
      </c>
      <c r="G16" s="704" t="n">
        <f aca="false">SUM(G14:G15)</f>
        <v>2664.07</v>
      </c>
      <c r="H16" s="704" t="n">
        <f aca="false">SUM(H14:H15)</f>
        <v>0</v>
      </c>
      <c r="I16" s="704" t="n">
        <f aca="false">SUM(I14:I15)</f>
        <v>0</v>
      </c>
      <c r="J16" s="705" t="n">
        <f aca="false">SUM(J14:J15)</f>
        <v>0</v>
      </c>
    </row>
    <row r="17" customFormat="false" ht="19.5" hidden="false" customHeight="true" outlineLevel="0" collapsed="false">
      <c r="A17" s="706" t="s">
        <v>711</v>
      </c>
      <c r="B17" s="706"/>
      <c r="C17" s="706"/>
      <c r="D17" s="706"/>
      <c r="E17" s="706"/>
      <c r="F17" s="706"/>
      <c r="G17" s="706"/>
      <c r="H17" s="706"/>
      <c r="I17" s="706"/>
      <c r="J17" s="706"/>
    </row>
    <row r="18" customFormat="false" ht="19.5" hidden="false" customHeight="true" outlineLevel="0" collapsed="false">
      <c r="A18" s="707" t="s">
        <v>712</v>
      </c>
      <c r="B18" s="707"/>
      <c r="C18" s="708" t="s">
        <v>521</v>
      </c>
      <c r="D18" s="708" t="s">
        <v>713</v>
      </c>
      <c r="E18" s="708"/>
      <c r="F18" s="709" t="s">
        <v>522</v>
      </c>
      <c r="G18" s="709"/>
      <c r="H18" s="709"/>
      <c r="I18" s="709"/>
      <c r="J18" s="709"/>
    </row>
    <row r="19" customFormat="false" ht="19.5" hidden="false" customHeight="true" outlineLevel="0" collapsed="false">
      <c r="A19" s="710" t="s">
        <v>714</v>
      </c>
      <c r="B19" s="710"/>
      <c r="C19" s="711"/>
      <c r="D19" s="711"/>
      <c r="E19" s="711"/>
      <c r="F19" s="690" t="n">
        <f aca="false">Dados!N13</f>
        <v>31.46</v>
      </c>
      <c r="G19" s="690" t="n">
        <f aca="false">F19</f>
        <v>31.46</v>
      </c>
      <c r="H19" s="690"/>
      <c r="I19" s="690"/>
      <c r="J19" s="691"/>
    </row>
    <row r="20" customFormat="false" ht="19.5" hidden="false" customHeight="true" outlineLevel="0" collapsed="false">
      <c r="A20" s="710" t="s">
        <v>715</v>
      </c>
      <c r="B20" s="710"/>
      <c r="C20" s="711"/>
      <c r="D20" s="711"/>
      <c r="E20" s="711"/>
      <c r="F20" s="690" t="n">
        <f aca="false">Dados!G37</f>
        <v>1.55</v>
      </c>
      <c r="G20" s="690" t="n">
        <f aca="false">F20</f>
        <v>1.55</v>
      </c>
      <c r="H20" s="690"/>
      <c r="I20" s="690"/>
      <c r="J20" s="691"/>
    </row>
    <row r="21" customFormat="false" ht="23.25" hidden="false" customHeight="true" outlineLevel="0" collapsed="false">
      <c r="A21" s="712" t="s">
        <v>354</v>
      </c>
      <c r="B21" s="712"/>
      <c r="C21" s="711"/>
      <c r="D21" s="711"/>
      <c r="E21" s="711"/>
      <c r="F21" s="690" t="n">
        <f aca="false">Dados!G38</f>
        <v>50.36</v>
      </c>
      <c r="G21" s="690" t="n">
        <f aca="false">F21</f>
        <v>50.36</v>
      </c>
      <c r="H21" s="690"/>
      <c r="I21" s="690"/>
      <c r="J21" s="691"/>
    </row>
    <row r="22" customFormat="false" ht="19.5" hidden="false" customHeight="true" outlineLevel="0" collapsed="false">
      <c r="A22" s="710" t="s">
        <v>355</v>
      </c>
      <c r="B22" s="710"/>
      <c r="C22" s="713" t="n">
        <f aca="false">Dados!$G$41</f>
        <v>22</v>
      </c>
      <c r="D22" s="713" t="n">
        <f aca="false">Dados!$G$40</f>
        <v>2</v>
      </c>
      <c r="E22" s="714" t="n">
        <f aca="false">Dados!$G$39</f>
        <v>3.75</v>
      </c>
      <c r="F22" s="690" t="n">
        <f aca="false">IF(ROUND((E22*D22*C22)-(F11*Dados!G42),2)&lt;0,0,ROUND((E22*D22*C22)-(F11*Dados!G42),2))</f>
        <v>75.73</v>
      </c>
      <c r="G22" s="690" t="n">
        <f aca="false">F22</f>
        <v>75.73</v>
      </c>
      <c r="H22" s="690"/>
      <c r="I22" s="690" t="n">
        <f aca="false">F22</f>
        <v>75.73</v>
      </c>
      <c r="J22" s="691"/>
    </row>
    <row r="23" customFormat="false" ht="19.5" hidden="false" customHeight="true" outlineLevel="0" collapsed="false">
      <c r="A23" s="710" t="s">
        <v>364</v>
      </c>
      <c r="B23" s="710"/>
      <c r="C23" s="713" t="n">
        <f aca="false">Dados!G45</f>
        <v>22</v>
      </c>
      <c r="D23" s="715" t="n">
        <f aca="false">Dados!G46</f>
        <v>0.2</v>
      </c>
      <c r="E23" s="714" t="n">
        <f aca="false">Dados!G43</f>
        <v>26</v>
      </c>
      <c r="F23" s="716" t="n">
        <f aca="false">ROUND((IF(D11&gt;150,((C23*E23)-(C23*(D23*E23))),0)),2)</f>
        <v>457.6</v>
      </c>
      <c r="G23" s="690" t="n">
        <f aca="false">F23</f>
        <v>457.6</v>
      </c>
      <c r="H23" s="690" t="n">
        <f aca="false">$F$23</f>
        <v>457.6</v>
      </c>
      <c r="I23" s="716"/>
      <c r="J23" s="691"/>
    </row>
    <row r="24" customFormat="false" ht="19.5" hidden="false" customHeight="true" outlineLevel="0" collapsed="false">
      <c r="A24" s="710" t="s">
        <v>368</v>
      </c>
      <c r="B24" s="710"/>
      <c r="C24" s="713"/>
      <c r="D24" s="713"/>
      <c r="E24" s="714"/>
      <c r="F24" s="716" t="n">
        <f aca="false">Dados!G47</f>
        <v>0</v>
      </c>
      <c r="G24" s="690"/>
      <c r="H24" s="690"/>
      <c r="I24" s="716"/>
      <c r="J24" s="691"/>
    </row>
    <row r="25" customFormat="false" ht="19.5" hidden="false" customHeight="true" outlineLevel="0" collapsed="false">
      <c r="A25" s="710" t="s">
        <v>368</v>
      </c>
      <c r="B25" s="710"/>
      <c r="C25" s="713"/>
      <c r="D25" s="713"/>
      <c r="E25" s="714"/>
      <c r="F25" s="716" t="n">
        <f aca="false">Dados!G48</f>
        <v>0</v>
      </c>
      <c r="G25" s="690"/>
      <c r="H25" s="690"/>
      <c r="I25" s="716"/>
      <c r="J25" s="691"/>
    </row>
    <row r="26" customFormat="false" ht="19.5" hidden="false" customHeight="true" outlineLevel="0" collapsed="false">
      <c r="A26" s="710" t="s">
        <v>716</v>
      </c>
      <c r="B26" s="710"/>
      <c r="C26" s="713"/>
      <c r="D26" s="714"/>
      <c r="E26" s="714"/>
      <c r="F26" s="690" t="n">
        <f aca="false">Dados!O13</f>
        <v>1317.56</v>
      </c>
      <c r="G26" s="690"/>
      <c r="H26" s="690"/>
      <c r="I26" s="690"/>
      <c r="J26" s="691"/>
      <c r="L26" s="717"/>
    </row>
    <row r="27" customFormat="false" ht="19.5" hidden="false" customHeight="true" outlineLevel="0" collapsed="false">
      <c r="A27" s="710" t="s">
        <v>717</v>
      </c>
      <c r="B27" s="718"/>
      <c r="C27" s="713"/>
      <c r="D27" s="714"/>
      <c r="E27" s="714"/>
      <c r="F27" s="690" t="n">
        <f aca="false">Dados!R13</f>
        <v>0</v>
      </c>
      <c r="G27" s="690"/>
      <c r="H27" s="690"/>
      <c r="I27" s="690"/>
      <c r="J27" s="691"/>
    </row>
    <row r="28" customFormat="false" ht="19.5" hidden="false" customHeight="true" outlineLevel="0" collapsed="false">
      <c r="A28" s="719" t="s">
        <v>718</v>
      </c>
      <c r="B28" s="719"/>
      <c r="C28" s="720"/>
      <c r="D28" s="721"/>
      <c r="E28" s="721"/>
      <c r="F28" s="696" t="n">
        <f aca="false">Dados!T13</f>
        <v>44.82</v>
      </c>
      <c r="G28" s="696" t="n">
        <f aca="false">F28</f>
        <v>44.82</v>
      </c>
      <c r="H28" s="696"/>
      <c r="I28" s="696"/>
      <c r="J28" s="697"/>
    </row>
    <row r="29" customFormat="false" ht="19.5" hidden="false" customHeight="true" outlineLevel="0" collapsed="false">
      <c r="A29" s="722" t="s">
        <v>719</v>
      </c>
      <c r="B29" s="722"/>
      <c r="C29" s="722"/>
      <c r="D29" s="722"/>
      <c r="E29" s="722"/>
      <c r="F29" s="704" t="n">
        <f aca="false">SUM(F19:F28)</f>
        <v>1979.08</v>
      </c>
      <c r="G29" s="704" t="n">
        <f aca="false">SUM(G19:G28)</f>
        <v>661.52</v>
      </c>
      <c r="H29" s="704" t="n">
        <f aca="false">SUM(H19:H28)</f>
        <v>457.6</v>
      </c>
      <c r="I29" s="704" t="n">
        <f aca="false">SUM(I19:I28)</f>
        <v>75.73</v>
      </c>
      <c r="J29" s="705" t="n">
        <f aca="false">SUM(J19:J28)</f>
        <v>0</v>
      </c>
    </row>
    <row r="30" customFormat="false" ht="19.5" hidden="false" customHeight="true" outlineLevel="0" collapsed="false">
      <c r="A30" s="722" t="s">
        <v>720</v>
      </c>
      <c r="B30" s="722"/>
      <c r="C30" s="722"/>
      <c r="D30" s="722"/>
      <c r="E30" s="722"/>
      <c r="F30" s="704" t="n">
        <f aca="false">F16+F29</f>
        <v>4643.15</v>
      </c>
      <c r="G30" s="704" t="n">
        <f aca="false">G16+G29</f>
        <v>3325.59</v>
      </c>
      <c r="H30" s="704" t="n">
        <f aca="false">H16+H29</f>
        <v>457.6</v>
      </c>
      <c r="I30" s="704" t="n">
        <f aca="false">I16+I29</f>
        <v>75.73</v>
      </c>
      <c r="J30" s="705" t="n">
        <f aca="false">J16+J29</f>
        <v>0</v>
      </c>
    </row>
    <row r="31" customFormat="false" ht="19.5" hidden="false" customHeight="true" outlineLevel="0" collapsed="false">
      <c r="A31" s="680" t="s">
        <v>721</v>
      </c>
      <c r="B31" s="680"/>
      <c r="C31" s="680"/>
      <c r="D31" s="680"/>
      <c r="E31" s="680"/>
      <c r="F31" s="680"/>
      <c r="G31" s="680"/>
      <c r="H31" s="680"/>
      <c r="I31" s="680"/>
      <c r="J31" s="680"/>
    </row>
    <row r="32" customFormat="false" ht="19.5" hidden="false" customHeight="true" outlineLevel="0" collapsed="false">
      <c r="A32" s="707" t="s">
        <v>722</v>
      </c>
      <c r="B32" s="707"/>
      <c r="C32" s="707"/>
      <c r="D32" s="723" t="s">
        <v>622</v>
      </c>
      <c r="E32" s="724" t="s">
        <v>522</v>
      </c>
      <c r="F32" s="724"/>
      <c r="G32" s="724"/>
      <c r="H32" s="724"/>
      <c r="I32" s="724"/>
      <c r="J32" s="724"/>
    </row>
    <row r="33" customFormat="false" ht="19.5" hidden="false" customHeight="true" outlineLevel="0" collapsed="false">
      <c r="A33" s="725" t="s">
        <v>723</v>
      </c>
      <c r="B33" s="726"/>
      <c r="C33" s="726"/>
      <c r="D33" s="727" t="n">
        <f aca="false">Dados!$G$51</f>
        <v>0.03</v>
      </c>
      <c r="E33" s="728"/>
      <c r="F33" s="690" t="n">
        <f aca="false">ROUND((F30*$D$33),2)</f>
        <v>139.29</v>
      </c>
      <c r="G33" s="690" t="n">
        <f aca="false">ROUND((G30*$D$33),2)</f>
        <v>99.77</v>
      </c>
      <c r="H33" s="690" t="n">
        <f aca="false">ROUND((H30*$D$33),2)</f>
        <v>13.73</v>
      </c>
      <c r="I33" s="690" t="n">
        <f aca="false">ROUND((I30*$D$33),2)</f>
        <v>2.27</v>
      </c>
      <c r="J33" s="691" t="n">
        <f aca="false">ROUND((J30*$D$33),2)</f>
        <v>0</v>
      </c>
    </row>
    <row r="34" customFormat="false" ht="19.5" hidden="false" customHeight="true" outlineLevel="0" collapsed="false">
      <c r="A34" s="729" t="s">
        <v>724</v>
      </c>
      <c r="B34" s="729"/>
      <c r="C34" s="729"/>
      <c r="D34" s="727"/>
      <c r="E34" s="728"/>
      <c r="F34" s="690" t="n">
        <f aca="false">F30+F33</f>
        <v>4782.44</v>
      </c>
      <c r="G34" s="690" t="n">
        <f aca="false">G30+G33</f>
        <v>3425.36</v>
      </c>
      <c r="H34" s="690" t="n">
        <f aca="false">H30+H33</f>
        <v>471.33</v>
      </c>
      <c r="I34" s="690" t="n">
        <f aca="false">I30+I33</f>
        <v>78</v>
      </c>
      <c r="J34" s="691" t="n">
        <f aca="false">J30+J33</f>
        <v>0</v>
      </c>
    </row>
    <row r="35" customFormat="false" ht="19.5" hidden="false" customHeight="true" outlineLevel="0" collapsed="false">
      <c r="A35" s="730" t="s">
        <v>373</v>
      </c>
      <c r="B35" s="731"/>
      <c r="C35" s="731"/>
      <c r="D35" s="732" t="n">
        <f aca="false">Dados!$G$52</f>
        <v>0.0679</v>
      </c>
      <c r="E35" s="733"/>
      <c r="F35" s="696" t="n">
        <f aca="false">ROUND((F34*$D$35),2)</f>
        <v>324.73</v>
      </c>
      <c r="G35" s="696" t="n">
        <f aca="false">ROUND((G34*$D$35),2)</f>
        <v>232.58</v>
      </c>
      <c r="H35" s="696" t="n">
        <f aca="false">ROUND((H34*$D$35),2)</f>
        <v>32</v>
      </c>
      <c r="I35" s="696" t="n">
        <f aca="false">ROUND((I34*$D$35),2)</f>
        <v>5.3</v>
      </c>
      <c r="J35" s="697" t="n">
        <f aca="false">ROUND((J34*$D$35),2)</f>
        <v>0</v>
      </c>
    </row>
    <row r="36" customFormat="false" ht="19.5" hidden="false" customHeight="true" outlineLevel="0" collapsed="false">
      <c r="A36" s="734" t="s">
        <v>725</v>
      </c>
      <c r="B36" s="735"/>
      <c r="C36" s="735"/>
      <c r="D36" s="736" t="n">
        <f aca="false">SUM(D33:D35)</f>
        <v>0.0979</v>
      </c>
      <c r="E36" s="737"/>
      <c r="F36" s="704" t="n">
        <f aca="false">F33+F35</f>
        <v>464.02</v>
      </c>
      <c r="G36" s="704" t="n">
        <f aca="false">G33+G35</f>
        <v>332.35</v>
      </c>
      <c r="H36" s="704" t="n">
        <f aca="false">H33+H35</f>
        <v>45.73</v>
      </c>
      <c r="I36" s="704" t="n">
        <f aca="false">I33+I35</f>
        <v>7.57</v>
      </c>
      <c r="J36" s="705" t="n">
        <f aca="false">J33+J35</f>
        <v>0</v>
      </c>
    </row>
    <row r="37" customFormat="false" ht="19.5" hidden="false" customHeight="true" outlineLevel="0" collapsed="false">
      <c r="A37" s="738" t="s">
        <v>726</v>
      </c>
      <c r="B37" s="738"/>
      <c r="C37" s="738"/>
      <c r="D37" s="738"/>
      <c r="E37" s="738"/>
      <c r="F37" s="739" t="n">
        <f aca="false">F30+F36</f>
        <v>5107.17</v>
      </c>
      <c r="G37" s="739" t="n">
        <f aca="false">G30+G36</f>
        <v>3657.94</v>
      </c>
      <c r="H37" s="739" t="n">
        <f aca="false">H30+H36</f>
        <v>503.33</v>
      </c>
      <c r="I37" s="739" t="n">
        <f aca="false">I30+I36</f>
        <v>83.3</v>
      </c>
      <c r="J37" s="740" t="n">
        <f aca="false">J30+J36</f>
        <v>0</v>
      </c>
    </row>
    <row r="38" customFormat="false" ht="19.5" hidden="false" customHeight="true" outlineLevel="0" collapsed="false">
      <c r="A38" s="741" t="s">
        <v>727</v>
      </c>
      <c r="B38" s="741"/>
      <c r="C38" s="741"/>
      <c r="D38" s="741"/>
      <c r="E38" s="741"/>
      <c r="F38" s="741"/>
      <c r="G38" s="741"/>
      <c r="H38" s="741"/>
      <c r="I38" s="741"/>
      <c r="J38" s="741"/>
    </row>
    <row r="39" customFormat="false" ht="19.5" hidden="false" customHeight="true" outlineLevel="0" collapsed="false">
      <c r="A39" s="710" t="s">
        <v>379</v>
      </c>
      <c r="B39" s="710"/>
      <c r="C39" s="710"/>
      <c r="D39" s="727" t="n">
        <f aca="false">Dados!G59</f>
        <v>0.076</v>
      </c>
      <c r="E39" s="742"/>
      <c r="F39" s="690" t="n">
        <f aca="false">ROUND(($F$45*D39),2)</f>
        <v>442.33</v>
      </c>
      <c r="G39" s="690" t="n">
        <f aca="false">ROUND((G45*$D$39),2)</f>
        <v>316.81</v>
      </c>
      <c r="H39" s="690" t="n">
        <f aca="false">ROUND((H45*$D$39),2)</f>
        <v>38.25</v>
      </c>
      <c r="I39" s="690" t="n">
        <f aca="false">ROUND((I45*$D$39),2)</f>
        <v>7.21</v>
      </c>
      <c r="J39" s="691" t="n">
        <f aca="false">ROUND((J45*$D$39),2)</f>
        <v>0</v>
      </c>
    </row>
    <row r="40" customFormat="false" ht="19.5" hidden="false" customHeight="true" outlineLevel="0" collapsed="false">
      <c r="A40" s="710" t="s">
        <v>381</v>
      </c>
      <c r="B40" s="710"/>
      <c r="C40" s="710"/>
      <c r="D40" s="727" t="n">
        <f aca="false">Dados!G60</f>
        <v>0.0165</v>
      </c>
      <c r="E40" s="742"/>
      <c r="F40" s="690" t="n">
        <f aca="false">ROUND((F45*$D$40),2)</f>
        <v>96.03</v>
      </c>
      <c r="G40" s="690" t="n">
        <f aca="false">ROUND((G45*$D$40),2)</f>
        <v>68.78</v>
      </c>
      <c r="H40" s="690" t="n">
        <f aca="false">ROUND((H45*$D$40),2)</f>
        <v>8.3</v>
      </c>
      <c r="I40" s="690" t="n">
        <f aca="false">ROUND((I45*$D$40),2)</f>
        <v>1.57</v>
      </c>
      <c r="J40" s="691" t="n">
        <f aca="false">ROUND((J45*$D$40),2)</f>
        <v>0</v>
      </c>
    </row>
    <row r="41" customFormat="false" ht="19.5" hidden="false" customHeight="true" outlineLevel="0" collapsed="false">
      <c r="A41" s="710" t="str">
        <f aca="false">Dados!B61</f>
        <v>ISSQN - Limpeza e Manutenção</v>
      </c>
      <c r="B41" s="710"/>
      <c r="C41" s="710"/>
      <c r="D41" s="727" t="n">
        <f aca="false">Dados!G61</f>
        <v>0.03</v>
      </c>
      <c r="E41" s="742"/>
      <c r="F41" s="690" t="n">
        <f aca="false">ROUND((F45*$D$41),2)</f>
        <v>174.6</v>
      </c>
      <c r="G41" s="690" t="n">
        <f aca="false">ROUND((G45*$D$41),2)</f>
        <v>125.06</v>
      </c>
      <c r="H41" s="690" t="n">
        <f aca="false">ROUND((H45*$D$41),2)</f>
        <v>15.1</v>
      </c>
      <c r="I41" s="690" t="n">
        <f aca="false">ROUND((I45*$D$41),2)</f>
        <v>2.85</v>
      </c>
      <c r="J41" s="691" t="n">
        <f aca="false">ROUND((J45*$D$41),2)</f>
        <v>0</v>
      </c>
    </row>
    <row r="42" customFormat="false" ht="19.5" hidden="false" customHeight="true" outlineLevel="0" collapsed="false">
      <c r="A42" s="710" t="s">
        <v>368</v>
      </c>
      <c r="B42" s="710"/>
      <c r="C42" s="710"/>
      <c r="D42" s="727" t="n">
        <f aca="false">Dados!G63</f>
        <v>0</v>
      </c>
      <c r="E42" s="742"/>
      <c r="F42" s="690" t="n">
        <f aca="false">ROUND((F45*$D$42),2)</f>
        <v>0</v>
      </c>
      <c r="G42" s="690" t="n">
        <f aca="false">ROUND((G45*$D$42),2)</f>
        <v>0</v>
      </c>
      <c r="H42" s="690" t="n">
        <f aca="false">ROUND((H45*$D$42),2)</f>
        <v>0</v>
      </c>
      <c r="I42" s="690" t="n">
        <f aca="false">ROUND((I45*$D$42),2)</f>
        <v>0</v>
      </c>
      <c r="J42" s="691" t="n">
        <f aca="false">ROUND((J45*$D$42),2)</f>
        <v>0</v>
      </c>
    </row>
    <row r="43" customFormat="false" ht="19.5" hidden="false" customHeight="true" outlineLevel="0" collapsed="false">
      <c r="A43" s="743" t="s">
        <v>728</v>
      </c>
      <c r="B43" s="743"/>
      <c r="C43" s="743"/>
      <c r="D43" s="744" t="n">
        <f aca="false">SUM(D39:D42)</f>
        <v>0.1225</v>
      </c>
      <c r="E43" s="745"/>
      <c r="F43" s="746" t="n">
        <f aca="false">SUM(F39:F42)</f>
        <v>712.96</v>
      </c>
      <c r="G43" s="746" t="n">
        <f aca="false">SUM(G39:G42)</f>
        <v>510.65</v>
      </c>
      <c r="H43" s="746" t="n">
        <f aca="false">SUM(H39:H42)</f>
        <v>61.65</v>
      </c>
      <c r="I43" s="746" t="n">
        <f aca="false">SUM(I39:I42)</f>
        <v>11.63</v>
      </c>
      <c r="J43" s="747" t="n">
        <f aca="false">SUM(J39:J41)</f>
        <v>0</v>
      </c>
    </row>
    <row r="44" customFormat="false" ht="19.5" hidden="false" customHeight="true" outlineLevel="0" collapsed="false">
      <c r="A44" s="748" t="str">
        <f aca="false">CONCATENATE("Custo Mensal - ",A7)</f>
        <v>Custo Mensal - Servente de Limpeza</v>
      </c>
      <c r="B44" s="748"/>
      <c r="C44" s="748"/>
      <c r="D44" s="748"/>
      <c r="E44" s="748"/>
      <c r="F44" s="749" t="n">
        <f aca="false">ROUND(F37/(1-D43),2)</f>
        <v>5820.14</v>
      </c>
      <c r="G44" s="749" t="n">
        <f aca="false">ROUND(G37/(1-D43),2)</f>
        <v>4168.59</v>
      </c>
      <c r="H44" s="749" t="n">
        <f aca="false">ROUND(H37/(1-C43),2)</f>
        <v>503.33</v>
      </c>
      <c r="I44" s="749" t="n">
        <f aca="false">ROUND(I37/(1-D43),2)</f>
        <v>94.93</v>
      </c>
      <c r="J44" s="750" t="n">
        <f aca="false">ROUND(J37/(1-D43),2)</f>
        <v>0</v>
      </c>
    </row>
    <row r="45" customFormat="false" ht="19.5" hidden="false" customHeight="true" outlineLevel="0" collapsed="false">
      <c r="A45" s="751" t="str">
        <f aca="false">CONCATENATE("Valor do Custo Mensal - ",A7)</f>
        <v>Valor do Custo Mensal - Servente de Limpeza</v>
      </c>
      <c r="B45" s="751"/>
      <c r="C45" s="751"/>
      <c r="D45" s="751"/>
      <c r="E45" s="751"/>
      <c r="F45" s="749" t="n">
        <f aca="false">F44</f>
        <v>5820.14</v>
      </c>
      <c r="G45" s="749" t="n">
        <f aca="false">G44</f>
        <v>4168.59</v>
      </c>
      <c r="H45" s="749" t="n">
        <f aca="false">H44</f>
        <v>503.33</v>
      </c>
      <c r="I45" s="749" t="n">
        <f aca="false">I44</f>
        <v>94.93</v>
      </c>
      <c r="J45" s="750" t="n">
        <f aca="false">J44</f>
        <v>0</v>
      </c>
      <c r="K45" s="752"/>
      <c r="L45" s="752"/>
    </row>
    <row r="46" customFormat="false" ht="27.75" hidden="false" customHeight="true" outlineLevel="0" collapsed="false">
      <c r="A46" s="753" t="s">
        <v>729</v>
      </c>
      <c r="B46" s="753"/>
      <c r="C46" s="753"/>
      <c r="D46" s="753"/>
      <c r="E46" s="753"/>
      <c r="F46" s="754" t="n">
        <f aca="false">(F45/F14)</f>
        <v>3.91167357801988</v>
      </c>
      <c r="G46" s="754" t="n">
        <f aca="false">(G45/G14)</f>
        <v>2.80167888755217</v>
      </c>
      <c r="H46" s="755" t="s">
        <v>730</v>
      </c>
      <c r="I46" s="755"/>
      <c r="J46" s="756" t="n">
        <v>0</v>
      </c>
    </row>
    <row r="47" customFormat="false" ht="19.5" hidden="false" customHeight="true" outlineLevel="0" collapsed="false"/>
  </sheetData>
  <sheetProtection sheet="true" password="c494" objects="true" scenarios="true"/>
  <mergeCells count="49">
    <mergeCell ref="A4:J4"/>
    <mergeCell ref="A5:J5"/>
    <mergeCell ref="A6:J6"/>
    <mergeCell ref="A7:E7"/>
    <mergeCell ref="F7:F8"/>
    <mergeCell ref="G7:G8"/>
    <mergeCell ref="H7:H8"/>
    <mergeCell ref="I7:I8"/>
    <mergeCell ref="J7:J8"/>
    <mergeCell ref="A8:D8"/>
    <mergeCell ref="A9:J9"/>
    <mergeCell ref="B10:C10"/>
    <mergeCell ref="F10:J10"/>
    <mergeCell ref="A11:A15"/>
    <mergeCell ref="B11:C11"/>
    <mergeCell ref="B12:C12"/>
    <mergeCell ref="B14:E14"/>
    <mergeCell ref="B15:D15"/>
    <mergeCell ref="A16:E16"/>
    <mergeCell ref="A17:J17"/>
    <mergeCell ref="A18:B18"/>
    <mergeCell ref="D18:E18"/>
    <mergeCell ref="F18:J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E29"/>
    <mergeCell ref="A30:E30"/>
    <mergeCell ref="A31:J31"/>
    <mergeCell ref="A32:C32"/>
    <mergeCell ref="E32:J32"/>
    <mergeCell ref="A34:C34"/>
    <mergeCell ref="A37:E37"/>
    <mergeCell ref="A38:J38"/>
    <mergeCell ref="A39:C39"/>
    <mergeCell ref="A40:C40"/>
    <mergeCell ref="A41:C41"/>
    <mergeCell ref="A42:C42"/>
    <mergeCell ref="A43:C43"/>
    <mergeCell ref="A44:E44"/>
    <mergeCell ref="A45:E45"/>
    <mergeCell ref="A46:E46"/>
    <mergeCell ref="H46:I4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6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D9D9D9"/>
    <pageSetUpPr fitToPage="true"/>
  </sheetPr>
  <dimension ref="A1:AI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3" activeCellId="0" sqref="B23"/>
    </sheetView>
  </sheetViews>
  <sheetFormatPr defaultColWidth="8.71484375" defaultRowHeight="15" zeroHeight="false" outlineLevelRow="0" outlineLevelCol="0"/>
  <cols>
    <col collapsed="false" customWidth="true" hidden="false" outlineLevel="0" max="1" min="1" style="247" width="7.86"/>
    <col collapsed="false" customWidth="true" hidden="false" outlineLevel="0" max="2" min="2" style="247" width="7.29"/>
    <col collapsed="false" customWidth="true" hidden="false" outlineLevel="0" max="3" min="3" style="247" width="4.42"/>
    <col collapsed="false" customWidth="true" hidden="false" outlineLevel="0" max="4" min="4" style="247" width="7.57"/>
    <col collapsed="false" customWidth="true" hidden="false" outlineLevel="0" max="5" min="5" style="247" width="5.42"/>
    <col collapsed="false" customWidth="true" hidden="false" outlineLevel="0" max="6" min="6" style="247" width="8.29"/>
    <col collapsed="false" customWidth="true" hidden="false" outlineLevel="0" max="7" min="7" style="247" width="7.42"/>
    <col collapsed="false" customWidth="true" hidden="false" outlineLevel="0" max="8" min="8" style="247" width="3.29"/>
    <col collapsed="false" customWidth="true" hidden="false" outlineLevel="0" max="9" min="9" style="247" width="7.29"/>
    <col collapsed="false" customWidth="true" hidden="false" outlineLevel="0" max="10" min="10" style="247" width="4.42"/>
    <col collapsed="false" customWidth="true" hidden="false" outlineLevel="0" max="11" min="11" style="247" width="7.57"/>
    <col collapsed="false" customWidth="true" hidden="false" outlineLevel="0" max="12" min="12" style="247" width="5.42"/>
    <col collapsed="false" customWidth="true" hidden="false" outlineLevel="0" max="13" min="13" style="247" width="8.29"/>
    <col collapsed="false" customWidth="true" hidden="false" outlineLevel="0" max="14" min="14" style="247" width="7.42"/>
    <col collapsed="false" customWidth="true" hidden="false" outlineLevel="0" max="15" min="15" style="247" width="3"/>
    <col collapsed="false" customWidth="true" hidden="false" outlineLevel="0" max="16" min="16" style="247" width="7.29"/>
    <col collapsed="false" customWidth="true" hidden="false" outlineLevel="0" max="17" min="17" style="247" width="4.42"/>
    <col collapsed="false" customWidth="true" hidden="false" outlineLevel="0" max="18" min="18" style="247" width="7.57"/>
    <col collapsed="false" customWidth="true" hidden="false" outlineLevel="0" max="19" min="19" style="247" width="5.42"/>
    <col collapsed="false" customWidth="true" hidden="false" outlineLevel="0" max="20" min="20" style="247" width="8.29"/>
    <col collapsed="false" customWidth="true" hidden="false" outlineLevel="0" max="21" min="21" style="247" width="7.42"/>
    <col collapsed="false" customWidth="true" hidden="false" outlineLevel="0" max="22" min="22" style="247" width="3"/>
    <col collapsed="false" customWidth="true" hidden="false" outlineLevel="0" max="23" min="23" style="247" width="7.29"/>
    <col collapsed="false" customWidth="true" hidden="false" outlineLevel="0" max="24" min="24" style="247" width="4.42"/>
    <col collapsed="false" customWidth="true" hidden="false" outlineLevel="0" max="25" min="25" style="247" width="7.57"/>
    <col collapsed="false" customWidth="true" hidden="false" outlineLevel="0" max="26" min="26" style="247" width="5.42"/>
    <col collapsed="false" customWidth="true" hidden="false" outlineLevel="0" max="27" min="27" style="247" width="8.29"/>
    <col collapsed="false" customWidth="true" hidden="false" outlineLevel="0" max="28" min="28" style="247" width="7.42"/>
    <col collapsed="false" customWidth="true" hidden="false" outlineLevel="0" max="29" min="29" style="247" width="3"/>
    <col collapsed="false" customWidth="true" hidden="false" outlineLevel="0" max="30" min="30" style="247" width="7.29"/>
    <col collapsed="false" customWidth="true" hidden="false" outlineLevel="0" max="31" min="31" style="247" width="4.42"/>
    <col collapsed="false" customWidth="true" hidden="false" outlineLevel="0" max="257" min="257" style="247" width="1.42"/>
    <col collapsed="false" customWidth="true" hidden="false" outlineLevel="0" max="258" min="258" style="247" width="7.29"/>
    <col collapsed="false" customWidth="true" hidden="false" outlineLevel="0" max="259" min="259" style="247" width="4.42"/>
    <col collapsed="false" customWidth="true" hidden="false" outlineLevel="0" max="260" min="260" style="247" width="7.57"/>
    <col collapsed="false" customWidth="true" hidden="false" outlineLevel="0" max="261" min="261" style="247" width="5.42"/>
    <col collapsed="false" customWidth="true" hidden="false" outlineLevel="0" max="262" min="262" style="247" width="8.29"/>
    <col collapsed="false" customWidth="true" hidden="false" outlineLevel="0" max="263" min="263" style="247" width="7.42"/>
    <col collapsed="false" customWidth="true" hidden="false" outlineLevel="0" max="264" min="264" style="247" width="3.29"/>
    <col collapsed="false" customWidth="true" hidden="false" outlineLevel="0" max="265" min="265" style="247" width="7.29"/>
    <col collapsed="false" customWidth="true" hidden="false" outlineLevel="0" max="266" min="266" style="247" width="4.42"/>
    <col collapsed="false" customWidth="true" hidden="false" outlineLevel="0" max="267" min="267" style="247" width="7.57"/>
    <col collapsed="false" customWidth="true" hidden="false" outlineLevel="0" max="268" min="268" style="247" width="5.42"/>
    <col collapsed="false" customWidth="true" hidden="false" outlineLevel="0" max="269" min="269" style="247" width="8.29"/>
    <col collapsed="false" customWidth="true" hidden="false" outlineLevel="0" max="270" min="270" style="247" width="7.42"/>
    <col collapsed="false" customWidth="true" hidden="false" outlineLevel="0" max="271" min="271" style="247" width="3"/>
    <col collapsed="false" customWidth="true" hidden="false" outlineLevel="0" max="272" min="272" style="247" width="7.29"/>
    <col collapsed="false" customWidth="true" hidden="false" outlineLevel="0" max="273" min="273" style="247" width="4.42"/>
    <col collapsed="false" customWidth="true" hidden="false" outlineLevel="0" max="274" min="274" style="247" width="7.57"/>
    <col collapsed="false" customWidth="true" hidden="false" outlineLevel="0" max="275" min="275" style="247" width="5.42"/>
    <col collapsed="false" customWidth="true" hidden="false" outlineLevel="0" max="276" min="276" style="247" width="8.29"/>
    <col collapsed="false" customWidth="true" hidden="false" outlineLevel="0" max="277" min="277" style="247" width="7.42"/>
    <col collapsed="false" customWidth="true" hidden="false" outlineLevel="0" max="278" min="278" style="247" width="3"/>
    <col collapsed="false" customWidth="true" hidden="false" outlineLevel="0" max="279" min="279" style="247" width="7.29"/>
    <col collapsed="false" customWidth="true" hidden="false" outlineLevel="0" max="280" min="280" style="247" width="4.42"/>
    <col collapsed="false" customWidth="true" hidden="false" outlineLevel="0" max="281" min="281" style="247" width="7.57"/>
    <col collapsed="false" customWidth="true" hidden="false" outlineLevel="0" max="282" min="282" style="247" width="5.42"/>
    <col collapsed="false" customWidth="true" hidden="false" outlineLevel="0" max="283" min="283" style="247" width="8.29"/>
    <col collapsed="false" customWidth="true" hidden="false" outlineLevel="0" max="284" min="284" style="247" width="7.42"/>
    <col collapsed="false" customWidth="true" hidden="false" outlineLevel="0" max="285" min="285" style="247" width="3"/>
    <col collapsed="false" customWidth="true" hidden="false" outlineLevel="0" max="286" min="286" style="247" width="7.29"/>
    <col collapsed="false" customWidth="true" hidden="false" outlineLevel="0" max="287" min="287" style="247" width="4.42"/>
    <col collapsed="false" customWidth="true" hidden="false" outlineLevel="0" max="513" min="513" style="247" width="1.42"/>
    <col collapsed="false" customWidth="true" hidden="false" outlineLevel="0" max="514" min="514" style="247" width="7.29"/>
    <col collapsed="false" customWidth="true" hidden="false" outlineLevel="0" max="515" min="515" style="247" width="4.42"/>
    <col collapsed="false" customWidth="true" hidden="false" outlineLevel="0" max="516" min="516" style="247" width="7.57"/>
    <col collapsed="false" customWidth="true" hidden="false" outlineLevel="0" max="517" min="517" style="247" width="5.42"/>
    <col collapsed="false" customWidth="true" hidden="false" outlineLevel="0" max="518" min="518" style="247" width="8.29"/>
    <col collapsed="false" customWidth="true" hidden="false" outlineLevel="0" max="519" min="519" style="247" width="7.42"/>
    <col collapsed="false" customWidth="true" hidden="false" outlineLevel="0" max="520" min="520" style="247" width="3.29"/>
    <col collapsed="false" customWidth="true" hidden="false" outlineLevel="0" max="521" min="521" style="247" width="7.29"/>
    <col collapsed="false" customWidth="true" hidden="false" outlineLevel="0" max="522" min="522" style="247" width="4.42"/>
    <col collapsed="false" customWidth="true" hidden="false" outlineLevel="0" max="523" min="523" style="247" width="7.57"/>
    <col collapsed="false" customWidth="true" hidden="false" outlineLevel="0" max="524" min="524" style="247" width="5.42"/>
    <col collapsed="false" customWidth="true" hidden="false" outlineLevel="0" max="525" min="525" style="247" width="8.29"/>
    <col collapsed="false" customWidth="true" hidden="false" outlineLevel="0" max="526" min="526" style="247" width="7.42"/>
    <col collapsed="false" customWidth="true" hidden="false" outlineLevel="0" max="527" min="527" style="247" width="3"/>
    <col collapsed="false" customWidth="true" hidden="false" outlineLevel="0" max="528" min="528" style="247" width="7.29"/>
    <col collapsed="false" customWidth="true" hidden="false" outlineLevel="0" max="529" min="529" style="247" width="4.42"/>
    <col collapsed="false" customWidth="true" hidden="false" outlineLevel="0" max="530" min="530" style="247" width="7.57"/>
    <col collapsed="false" customWidth="true" hidden="false" outlineLevel="0" max="531" min="531" style="247" width="5.42"/>
    <col collapsed="false" customWidth="true" hidden="false" outlineLevel="0" max="532" min="532" style="247" width="8.29"/>
    <col collapsed="false" customWidth="true" hidden="false" outlineLevel="0" max="533" min="533" style="247" width="7.42"/>
    <col collapsed="false" customWidth="true" hidden="false" outlineLevel="0" max="534" min="534" style="247" width="3"/>
    <col collapsed="false" customWidth="true" hidden="false" outlineLevel="0" max="535" min="535" style="247" width="7.29"/>
    <col collapsed="false" customWidth="true" hidden="false" outlineLevel="0" max="536" min="536" style="247" width="4.42"/>
    <col collapsed="false" customWidth="true" hidden="false" outlineLevel="0" max="537" min="537" style="247" width="7.57"/>
    <col collapsed="false" customWidth="true" hidden="false" outlineLevel="0" max="538" min="538" style="247" width="5.42"/>
    <col collapsed="false" customWidth="true" hidden="false" outlineLevel="0" max="539" min="539" style="247" width="8.29"/>
    <col collapsed="false" customWidth="true" hidden="false" outlineLevel="0" max="540" min="540" style="247" width="7.42"/>
    <col collapsed="false" customWidth="true" hidden="false" outlineLevel="0" max="541" min="541" style="247" width="3"/>
    <col collapsed="false" customWidth="true" hidden="false" outlineLevel="0" max="542" min="542" style="247" width="7.29"/>
    <col collapsed="false" customWidth="true" hidden="false" outlineLevel="0" max="543" min="543" style="247" width="4.42"/>
    <col collapsed="false" customWidth="true" hidden="false" outlineLevel="0" max="769" min="769" style="247" width="1.42"/>
    <col collapsed="false" customWidth="true" hidden="false" outlineLevel="0" max="770" min="770" style="247" width="7.29"/>
    <col collapsed="false" customWidth="true" hidden="false" outlineLevel="0" max="771" min="771" style="247" width="4.42"/>
    <col collapsed="false" customWidth="true" hidden="false" outlineLevel="0" max="772" min="772" style="247" width="7.57"/>
    <col collapsed="false" customWidth="true" hidden="false" outlineLevel="0" max="773" min="773" style="247" width="5.42"/>
    <col collapsed="false" customWidth="true" hidden="false" outlineLevel="0" max="774" min="774" style="247" width="8.29"/>
    <col collapsed="false" customWidth="true" hidden="false" outlineLevel="0" max="775" min="775" style="247" width="7.42"/>
    <col collapsed="false" customWidth="true" hidden="false" outlineLevel="0" max="776" min="776" style="247" width="3.29"/>
    <col collapsed="false" customWidth="true" hidden="false" outlineLevel="0" max="777" min="777" style="247" width="7.29"/>
    <col collapsed="false" customWidth="true" hidden="false" outlineLevel="0" max="778" min="778" style="247" width="4.42"/>
    <col collapsed="false" customWidth="true" hidden="false" outlineLevel="0" max="779" min="779" style="247" width="7.57"/>
    <col collapsed="false" customWidth="true" hidden="false" outlineLevel="0" max="780" min="780" style="247" width="5.42"/>
    <col collapsed="false" customWidth="true" hidden="false" outlineLevel="0" max="781" min="781" style="247" width="8.29"/>
    <col collapsed="false" customWidth="true" hidden="false" outlineLevel="0" max="782" min="782" style="247" width="7.42"/>
    <col collapsed="false" customWidth="true" hidden="false" outlineLevel="0" max="783" min="783" style="247" width="3"/>
    <col collapsed="false" customWidth="true" hidden="false" outlineLevel="0" max="784" min="784" style="247" width="7.29"/>
    <col collapsed="false" customWidth="true" hidden="false" outlineLevel="0" max="785" min="785" style="247" width="4.42"/>
    <col collapsed="false" customWidth="true" hidden="false" outlineLevel="0" max="786" min="786" style="247" width="7.57"/>
    <col collapsed="false" customWidth="true" hidden="false" outlineLevel="0" max="787" min="787" style="247" width="5.42"/>
    <col collapsed="false" customWidth="true" hidden="false" outlineLevel="0" max="788" min="788" style="247" width="8.29"/>
    <col collapsed="false" customWidth="true" hidden="false" outlineLevel="0" max="789" min="789" style="247" width="7.42"/>
    <col collapsed="false" customWidth="true" hidden="false" outlineLevel="0" max="790" min="790" style="247" width="3"/>
    <col collapsed="false" customWidth="true" hidden="false" outlineLevel="0" max="791" min="791" style="247" width="7.29"/>
    <col collapsed="false" customWidth="true" hidden="false" outlineLevel="0" max="792" min="792" style="247" width="4.42"/>
    <col collapsed="false" customWidth="true" hidden="false" outlineLevel="0" max="793" min="793" style="247" width="7.57"/>
    <col collapsed="false" customWidth="true" hidden="false" outlineLevel="0" max="794" min="794" style="247" width="5.42"/>
    <col collapsed="false" customWidth="true" hidden="false" outlineLevel="0" max="795" min="795" style="247" width="8.29"/>
    <col collapsed="false" customWidth="true" hidden="false" outlineLevel="0" max="796" min="796" style="247" width="7.42"/>
    <col collapsed="false" customWidth="true" hidden="false" outlineLevel="0" max="797" min="797" style="247" width="3"/>
    <col collapsed="false" customWidth="true" hidden="false" outlineLevel="0" max="798" min="798" style="247" width="7.29"/>
    <col collapsed="false" customWidth="true" hidden="false" outlineLevel="0" max="799" min="799" style="247" width="4.42"/>
  </cols>
  <sheetData>
    <row r="1" customFormat="false" ht="15" hidden="false" customHeight="false" outlineLevel="0" collapsed="false">
      <c r="A1" s="147"/>
      <c r="B1" s="147" t="s">
        <v>207</v>
      </c>
    </row>
    <row r="2" customFormat="false" ht="15" hidden="false" customHeight="false" outlineLevel="0" collapsed="false">
      <c r="A2" s="147"/>
      <c r="B2" s="147" t="s">
        <v>208</v>
      </c>
    </row>
    <row r="3" customFormat="false" ht="15" hidden="false" customHeight="false" outlineLevel="0" collapsed="false">
      <c r="A3" s="491"/>
      <c r="B3" s="148" t="str">
        <f aca="false">INSTRUÇÕES!B3</f>
        <v>Subseção Judiciária de Juiz de Fora</v>
      </c>
    </row>
    <row r="4" customFormat="false" ht="6" hidden="false" customHeight="true" outlineLevel="0" collapsed="false"/>
    <row r="5" customFormat="false" ht="6" hidden="false" customHeight="true" outlineLevel="0" collapsed="false"/>
    <row r="6" customFormat="false" ht="15.75" hidden="false" customHeight="true" outlineLevel="0" collapsed="false">
      <c r="B6" s="758" t="s">
        <v>394</v>
      </c>
      <c r="C6" s="758"/>
      <c r="D6" s="758"/>
      <c r="E6" s="758"/>
      <c r="F6" s="758"/>
      <c r="G6" s="758"/>
      <c r="I6" s="758" t="s">
        <v>398</v>
      </c>
      <c r="J6" s="758"/>
      <c r="K6" s="758"/>
      <c r="L6" s="758"/>
      <c r="M6" s="758"/>
      <c r="N6" s="758"/>
      <c r="P6" s="758" t="s">
        <v>399</v>
      </c>
      <c r="Q6" s="758"/>
      <c r="R6" s="758"/>
      <c r="S6" s="758"/>
      <c r="T6" s="758"/>
      <c r="U6" s="758"/>
      <c r="W6" s="758" t="s">
        <v>400</v>
      </c>
      <c r="X6" s="758"/>
      <c r="Y6" s="758"/>
      <c r="Z6" s="758"/>
      <c r="AA6" s="758"/>
      <c r="AB6" s="758"/>
      <c r="AD6" s="758" t="s">
        <v>401</v>
      </c>
      <c r="AE6" s="758"/>
      <c r="AF6" s="758"/>
      <c r="AG6" s="758"/>
      <c r="AH6" s="758"/>
      <c r="AI6" s="758"/>
    </row>
    <row r="7" customFormat="false" ht="15" hidden="false" customHeight="false" outlineLevel="0" collapsed="false">
      <c r="B7" s="759" t="s">
        <v>734</v>
      </c>
      <c r="C7" s="760"/>
      <c r="D7" s="760"/>
      <c r="E7" s="760"/>
      <c r="F7" s="760"/>
      <c r="G7" s="760"/>
      <c r="I7" s="759" t="s">
        <v>734</v>
      </c>
      <c r="J7" s="760"/>
      <c r="K7" s="760"/>
      <c r="L7" s="760"/>
      <c r="M7" s="760"/>
      <c r="N7" s="760"/>
      <c r="P7" s="759" t="s">
        <v>734</v>
      </c>
      <c r="Q7" s="760"/>
      <c r="R7" s="760"/>
      <c r="S7" s="760"/>
      <c r="T7" s="760"/>
      <c r="U7" s="760"/>
      <c r="W7" s="759" t="s">
        <v>734</v>
      </c>
      <c r="X7" s="760"/>
      <c r="Y7" s="760"/>
      <c r="Z7" s="760"/>
      <c r="AA7" s="760"/>
      <c r="AB7" s="760"/>
      <c r="AD7" s="759" t="s">
        <v>734</v>
      </c>
      <c r="AE7" s="760"/>
      <c r="AF7" s="760"/>
      <c r="AG7" s="760"/>
      <c r="AH7" s="760"/>
      <c r="AI7" s="760"/>
    </row>
    <row r="8" customFormat="false" ht="25.5" hidden="false" customHeight="true" outlineLevel="0" collapsed="false">
      <c r="B8" s="761" t="s">
        <v>735</v>
      </c>
      <c r="C8" s="761"/>
      <c r="D8" s="761" t="s">
        <v>736</v>
      </c>
      <c r="E8" s="761" t="s">
        <v>737</v>
      </c>
      <c r="F8" s="761" t="s">
        <v>738</v>
      </c>
      <c r="G8" s="761" t="s">
        <v>739</v>
      </c>
      <c r="I8" s="761" t="s">
        <v>735</v>
      </c>
      <c r="J8" s="761"/>
      <c r="K8" s="761" t="s">
        <v>736</v>
      </c>
      <c r="L8" s="761" t="s">
        <v>737</v>
      </c>
      <c r="M8" s="761" t="s">
        <v>738</v>
      </c>
      <c r="N8" s="761" t="s">
        <v>739</v>
      </c>
      <c r="P8" s="761" t="s">
        <v>735</v>
      </c>
      <c r="Q8" s="761"/>
      <c r="R8" s="761" t="s">
        <v>736</v>
      </c>
      <c r="S8" s="761" t="s">
        <v>737</v>
      </c>
      <c r="T8" s="761" t="s">
        <v>738</v>
      </c>
      <c r="U8" s="761" t="s">
        <v>739</v>
      </c>
      <c r="W8" s="761" t="s">
        <v>735</v>
      </c>
      <c r="X8" s="761"/>
      <c r="Y8" s="761" t="s">
        <v>736</v>
      </c>
      <c r="Z8" s="761" t="s">
        <v>737</v>
      </c>
      <c r="AA8" s="761" t="s">
        <v>738</v>
      </c>
      <c r="AB8" s="761" t="s">
        <v>739</v>
      </c>
      <c r="AD8" s="761" t="s">
        <v>735</v>
      </c>
      <c r="AE8" s="761"/>
      <c r="AF8" s="761" t="s">
        <v>736</v>
      </c>
      <c r="AG8" s="761" t="s">
        <v>737</v>
      </c>
      <c r="AH8" s="761" t="s">
        <v>738</v>
      </c>
      <c r="AI8" s="761" t="s">
        <v>739</v>
      </c>
    </row>
    <row r="9" customFormat="false" ht="15" hidden="false" customHeight="false" outlineLevel="0" collapsed="false">
      <c r="B9" s="762" t="s">
        <v>740</v>
      </c>
      <c r="C9" s="762" t="s">
        <v>741</v>
      </c>
      <c r="D9" s="762" t="s">
        <v>742</v>
      </c>
      <c r="E9" s="762"/>
      <c r="F9" s="762" t="s">
        <v>743</v>
      </c>
      <c r="G9" s="763" t="n">
        <v>100</v>
      </c>
      <c r="I9" s="762" t="s">
        <v>740</v>
      </c>
      <c r="J9" s="762" t="s">
        <v>741</v>
      </c>
      <c r="K9" s="762" t="s">
        <v>742</v>
      </c>
      <c r="L9" s="762"/>
      <c r="M9" s="762" t="s">
        <v>743</v>
      </c>
      <c r="N9" s="763" t="n">
        <v>100</v>
      </c>
      <c r="P9" s="762" t="s">
        <v>740</v>
      </c>
      <c r="Q9" s="762" t="s">
        <v>741</v>
      </c>
      <c r="R9" s="762" t="s">
        <v>742</v>
      </c>
      <c r="S9" s="762"/>
      <c r="T9" s="762" t="s">
        <v>743</v>
      </c>
      <c r="U9" s="763" t="n">
        <v>100</v>
      </c>
      <c r="W9" s="762" t="s">
        <v>740</v>
      </c>
      <c r="X9" s="762" t="s">
        <v>741</v>
      </c>
      <c r="Y9" s="762" t="s">
        <v>742</v>
      </c>
      <c r="Z9" s="762"/>
      <c r="AA9" s="762" t="s">
        <v>743</v>
      </c>
      <c r="AB9" s="763" t="n">
        <v>100</v>
      </c>
      <c r="AD9" s="762" t="s">
        <v>740</v>
      </c>
      <c r="AE9" s="762" t="s">
        <v>741</v>
      </c>
      <c r="AF9" s="762" t="s">
        <v>742</v>
      </c>
      <c r="AG9" s="762"/>
      <c r="AH9" s="762" t="s">
        <v>743</v>
      </c>
      <c r="AI9" s="763" t="n">
        <v>100</v>
      </c>
    </row>
    <row r="10" customFormat="false" ht="15" hidden="false" customHeight="false" outlineLevel="0" collapsed="false">
      <c r="B10" s="762" t="n">
        <v>2023</v>
      </c>
      <c r="C10" s="764" t="s">
        <v>744</v>
      </c>
      <c r="D10" s="765"/>
      <c r="E10" s="766" t="n">
        <v>0</v>
      </c>
      <c r="F10" s="765" t="n">
        <f aca="false">D10/30*E10</f>
        <v>0</v>
      </c>
      <c r="G10" s="767" t="n">
        <f aca="false">(G9*F10)+G9</f>
        <v>100</v>
      </c>
      <c r="I10" s="762" t="n">
        <f aca="false">B10+1</f>
        <v>2024</v>
      </c>
      <c r="J10" s="764" t="str">
        <f aca="false">$C$10</f>
        <v>AGO</v>
      </c>
      <c r="K10" s="765"/>
      <c r="L10" s="766" t="n">
        <f aca="false">$E$10</f>
        <v>0</v>
      </c>
      <c r="M10" s="765" t="n">
        <f aca="false">K10/30*L10</f>
        <v>0</v>
      </c>
      <c r="N10" s="767" t="n">
        <f aca="false">(N9*M10)+N9</f>
        <v>100</v>
      </c>
      <c r="P10" s="762" t="n">
        <f aca="false">I10+1</f>
        <v>2025</v>
      </c>
      <c r="Q10" s="764" t="str">
        <f aca="false">$C$10</f>
        <v>AGO</v>
      </c>
      <c r="R10" s="765"/>
      <c r="S10" s="766" t="n">
        <f aca="false">$E$10</f>
        <v>0</v>
      </c>
      <c r="T10" s="765" t="n">
        <f aca="false">R10/30*S10</f>
        <v>0</v>
      </c>
      <c r="U10" s="767" t="n">
        <f aca="false">(U9*T10)+U9</f>
        <v>100</v>
      </c>
      <c r="W10" s="762" t="n">
        <f aca="false">P10+1</f>
        <v>2026</v>
      </c>
      <c r="X10" s="764" t="str">
        <f aca="false">$C$10</f>
        <v>AGO</v>
      </c>
      <c r="Y10" s="765"/>
      <c r="Z10" s="766" t="n">
        <f aca="false">$E$10</f>
        <v>0</v>
      </c>
      <c r="AA10" s="765" t="n">
        <f aca="false">Y10/30*Z10</f>
        <v>0</v>
      </c>
      <c r="AB10" s="767" t="n">
        <f aca="false">(AB9*AA10)+AB9</f>
        <v>100</v>
      </c>
      <c r="AD10" s="762" t="n">
        <f aca="false">W10+1</f>
        <v>2027</v>
      </c>
      <c r="AE10" s="764" t="str">
        <f aca="false">$C$10</f>
        <v>AGO</v>
      </c>
      <c r="AF10" s="765"/>
      <c r="AG10" s="766" t="n">
        <f aca="false">$E$10</f>
        <v>0</v>
      </c>
      <c r="AH10" s="765" t="n">
        <f aca="false">AF10/30*AG10</f>
        <v>0</v>
      </c>
      <c r="AI10" s="767" t="n">
        <f aca="false">(AI9*AH10)+AI9</f>
        <v>100</v>
      </c>
    </row>
    <row r="11" customFormat="false" ht="15" hidden="false" customHeight="false" outlineLevel="0" collapsed="false">
      <c r="B11" s="762" t="n">
        <v>2023</v>
      </c>
      <c r="C11" s="764" t="s">
        <v>745</v>
      </c>
      <c r="D11" s="765"/>
      <c r="E11" s="766"/>
      <c r="F11" s="765" t="n">
        <f aca="false">D11/30*E11</f>
        <v>0</v>
      </c>
      <c r="G11" s="767" t="n">
        <f aca="false">(G10*F11)+G10</f>
        <v>100</v>
      </c>
      <c r="I11" s="762" t="n">
        <f aca="false">B11+1</f>
        <v>2024</v>
      </c>
      <c r="J11" s="764" t="str">
        <f aca="false">$C$11</f>
        <v>SET</v>
      </c>
      <c r="K11" s="765"/>
      <c r="L11" s="766"/>
      <c r="M11" s="765" t="n">
        <f aca="false">K11/30*L11</f>
        <v>0</v>
      </c>
      <c r="N11" s="767" t="n">
        <f aca="false">(N10*M11)+N10</f>
        <v>100</v>
      </c>
      <c r="P11" s="762" t="n">
        <f aca="false">I11+1</f>
        <v>2025</v>
      </c>
      <c r="Q11" s="764" t="str">
        <f aca="false">$C$11</f>
        <v>SET</v>
      </c>
      <c r="R11" s="765"/>
      <c r="S11" s="766"/>
      <c r="T11" s="765" t="n">
        <f aca="false">R11/30*S11</f>
        <v>0</v>
      </c>
      <c r="U11" s="767" t="n">
        <f aca="false">(U10*T11)+U10</f>
        <v>100</v>
      </c>
      <c r="W11" s="762" t="n">
        <f aca="false">P11+1</f>
        <v>2026</v>
      </c>
      <c r="X11" s="764" t="str">
        <f aca="false">$C$11</f>
        <v>SET</v>
      </c>
      <c r="Y11" s="765"/>
      <c r="Z11" s="766"/>
      <c r="AA11" s="765" t="n">
        <f aca="false">Y11/30*Z11</f>
        <v>0</v>
      </c>
      <c r="AB11" s="767" t="n">
        <f aca="false">(AB10*AA11)+AB10</f>
        <v>100</v>
      </c>
      <c r="AD11" s="762" t="n">
        <f aca="false">W11+1</f>
        <v>2027</v>
      </c>
      <c r="AE11" s="764" t="str">
        <f aca="false">$C$11</f>
        <v>SET</v>
      </c>
      <c r="AF11" s="765"/>
      <c r="AG11" s="766"/>
      <c r="AH11" s="765" t="n">
        <f aca="false">AF11/30*AG11</f>
        <v>0</v>
      </c>
      <c r="AI11" s="767" t="n">
        <f aca="false">(AI10*AH11)+AI10</f>
        <v>100</v>
      </c>
    </row>
    <row r="12" customFormat="false" ht="15" hidden="false" customHeight="false" outlineLevel="0" collapsed="false">
      <c r="B12" s="762" t="n">
        <v>2023</v>
      </c>
      <c r="C12" s="764" t="s">
        <v>746</v>
      </c>
      <c r="D12" s="765"/>
      <c r="E12" s="766"/>
      <c r="F12" s="765" t="n">
        <f aca="false">D12/30*E12</f>
        <v>0</v>
      </c>
      <c r="G12" s="767" t="n">
        <f aca="false">(G11*F12)+G11</f>
        <v>100</v>
      </c>
      <c r="I12" s="762" t="n">
        <f aca="false">B12+1</f>
        <v>2024</v>
      </c>
      <c r="J12" s="764" t="str">
        <f aca="false">$C$12</f>
        <v>OUT</v>
      </c>
      <c r="K12" s="765"/>
      <c r="L12" s="766"/>
      <c r="M12" s="765" t="n">
        <f aca="false">K12/30*L12</f>
        <v>0</v>
      </c>
      <c r="N12" s="767" t="n">
        <f aca="false">(N11*M12)+N11</f>
        <v>100</v>
      </c>
      <c r="P12" s="762" t="n">
        <f aca="false">I12+1</f>
        <v>2025</v>
      </c>
      <c r="Q12" s="764" t="str">
        <f aca="false">$C$12</f>
        <v>OUT</v>
      </c>
      <c r="R12" s="765"/>
      <c r="S12" s="766"/>
      <c r="T12" s="765" t="n">
        <f aca="false">R12/30*S12</f>
        <v>0</v>
      </c>
      <c r="U12" s="767" t="n">
        <f aca="false">(U11*T12)+U11</f>
        <v>100</v>
      </c>
      <c r="W12" s="762" t="n">
        <f aca="false">P12+1</f>
        <v>2026</v>
      </c>
      <c r="X12" s="764" t="str">
        <f aca="false">$C$12</f>
        <v>OUT</v>
      </c>
      <c r="Y12" s="765"/>
      <c r="Z12" s="766"/>
      <c r="AA12" s="765" t="n">
        <f aca="false">Y12/30*Z12</f>
        <v>0</v>
      </c>
      <c r="AB12" s="767" t="n">
        <f aca="false">(AB11*AA12)+AB11</f>
        <v>100</v>
      </c>
      <c r="AD12" s="762" t="n">
        <f aca="false">W12+1</f>
        <v>2027</v>
      </c>
      <c r="AE12" s="764" t="str">
        <f aca="false">$C$12</f>
        <v>OUT</v>
      </c>
      <c r="AF12" s="765"/>
      <c r="AG12" s="766"/>
      <c r="AH12" s="765" t="n">
        <f aca="false">AF12/30*AG12</f>
        <v>0</v>
      </c>
      <c r="AI12" s="767" t="n">
        <f aca="false">(AI11*AH12)+AI11</f>
        <v>100</v>
      </c>
    </row>
    <row r="13" customFormat="false" ht="15" hidden="false" customHeight="false" outlineLevel="0" collapsed="false">
      <c r="B13" s="762" t="n">
        <v>2023</v>
      </c>
      <c r="C13" s="764" t="s">
        <v>747</v>
      </c>
      <c r="D13" s="765"/>
      <c r="E13" s="766"/>
      <c r="F13" s="765" t="n">
        <f aca="false">D13/30*E13</f>
        <v>0</v>
      </c>
      <c r="G13" s="767" t="n">
        <f aca="false">(G12*F13)+G12</f>
        <v>100</v>
      </c>
      <c r="I13" s="762" t="n">
        <f aca="false">B13+1</f>
        <v>2024</v>
      </c>
      <c r="J13" s="764" t="str">
        <f aca="false">$C$13</f>
        <v>NOV</v>
      </c>
      <c r="K13" s="765"/>
      <c r="L13" s="766"/>
      <c r="M13" s="765" t="n">
        <f aca="false">K13/30*L13</f>
        <v>0</v>
      </c>
      <c r="N13" s="767" t="n">
        <f aca="false">(N12*M13)+N12</f>
        <v>100</v>
      </c>
      <c r="P13" s="762" t="n">
        <f aca="false">I13+1</f>
        <v>2025</v>
      </c>
      <c r="Q13" s="764" t="str">
        <f aca="false">$C$13</f>
        <v>NOV</v>
      </c>
      <c r="R13" s="765"/>
      <c r="S13" s="766"/>
      <c r="T13" s="765" t="n">
        <f aca="false">R13/30*S13</f>
        <v>0</v>
      </c>
      <c r="U13" s="767" t="n">
        <f aca="false">(U12*T13)+U12</f>
        <v>100</v>
      </c>
      <c r="W13" s="762" t="n">
        <f aca="false">P13+1</f>
        <v>2026</v>
      </c>
      <c r="X13" s="764" t="str">
        <f aca="false">$C$13</f>
        <v>NOV</v>
      </c>
      <c r="Y13" s="765"/>
      <c r="Z13" s="766"/>
      <c r="AA13" s="765" t="n">
        <f aca="false">Y13/30*Z13</f>
        <v>0</v>
      </c>
      <c r="AB13" s="767" t="n">
        <f aca="false">(AB12*AA13)+AB12</f>
        <v>100</v>
      </c>
      <c r="AD13" s="762" t="n">
        <f aca="false">W13+1</f>
        <v>2027</v>
      </c>
      <c r="AE13" s="764" t="str">
        <f aca="false">$C$13</f>
        <v>NOV</v>
      </c>
      <c r="AF13" s="765"/>
      <c r="AG13" s="766"/>
      <c r="AH13" s="765" t="n">
        <f aca="false">AF13/30*AG13</f>
        <v>0</v>
      </c>
      <c r="AI13" s="767" t="n">
        <f aca="false">(AI12*AH13)+AI12</f>
        <v>100</v>
      </c>
    </row>
    <row r="14" customFormat="false" ht="15" hidden="false" customHeight="false" outlineLevel="0" collapsed="false">
      <c r="B14" s="762" t="n">
        <v>2023</v>
      </c>
      <c r="C14" s="764" t="s">
        <v>748</v>
      </c>
      <c r="D14" s="765"/>
      <c r="E14" s="766"/>
      <c r="F14" s="765" t="n">
        <f aca="false">D14/30*E14</f>
        <v>0</v>
      </c>
      <c r="G14" s="767" t="n">
        <f aca="false">(G13*F14)+G13</f>
        <v>100</v>
      </c>
      <c r="I14" s="762" t="n">
        <f aca="false">B14+1</f>
        <v>2024</v>
      </c>
      <c r="J14" s="764" t="str">
        <f aca="false">$C$14</f>
        <v>DEZ</v>
      </c>
      <c r="K14" s="765"/>
      <c r="L14" s="766"/>
      <c r="M14" s="765" t="n">
        <f aca="false">K14/30*L14</f>
        <v>0</v>
      </c>
      <c r="N14" s="767" t="n">
        <f aca="false">(N13*M14)+N13</f>
        <v>100</v>
      </c>
      <c r="P14" s="762" t="n">
        <f aca="false">I14+1</f>
        <v>2025</v>
      </c>
      <c r="Q14" s="764" t="str">
        <f aca="false">$C$14</f>
        <v>DEZ</v>
      </c>
      <c r="R14" s="765"/>
      <c r="S14" s="766"/>
      <c r="T14" s="765" t="n">
        <f aca="false">R14/30*S14</f>
        <v>0</v>
      </c>
      <c r="U14" s="767" t="n">
        <f aca="false">(U13*T14)+U13</f>
        <v>100</v>
      </c>
      <c r="W14" s="762" t="n">
        <f aca="false">P14+1</f>
        <v>2026</v>
      </c>
      <c r="X14" s="764" t="str">
        <f aca="false">$C$14</f>
        <v>DEZ</v>
      </c>
      <c r="Y14" s="765"/>
      <c r="Z14" s="766"/>
      <c r="AA14" s="765" t="n">
        <f aca="false">Y14/30*Z14</f>
        <v>0</v>
      </c>
      <c r="AB14" s="767" t="n">
        <f aca="false">(AB13*AA14)+AB13</f>
        <v>100</v>
      </c>
      <c r="AD14" s="762" t="n">
        <f aca="false">W14+1</f>
        <v>2027</v>
      </c>
      <c r="AE14" s="764" t="str">
        <f aca="false">$C$14</f>
        <v>DEZ</v>
      </c>
      <c r="AF14" s="765"/>
      <c r="AG14" s="766"/>
      <c r="AH14" s="765" t="n">
        <f aca="false">AF14/30*AG14</f>
        <v>0</v>
      </c>
      <c r="AI14" s="767" t="n">
        <f aca="false">(AI13*AH14)+AI13</f>
        <v>100</v>
      </c>
    </row>
    <row r="15" customFormat="false" ht="15" hidden="false" customHeight="false" outlineLevel="0" collapsed="false">
      <c r="B15" s="762" t="n">
        <v>2023</v>
      </c>
      <c r="C15" s="764" t="s">
        <v>748</v>
      </c>
      <c r="D15" s="765"/>
      <c r="E15" s="766"/>
      <c r="F15" s="765" t="n">
        <f aca="false">D15/30*E15</f>
        <v>0</v>
      </c>
      <c r="G15" s="767" t="n">
        <f aca="false">(G14*F15)+G14</f>
        <v>100</v>
      </c>
      <c r="I15" s="762" t="n">
        <f aca="false">B15+1</f>
        <v>2024</v>
      </c>
      <c r="J15" s="764" t="str">
        <f aca="false">$C$15</f>
        <v>DEZ</v>
      </c>
      <c r="K15" s="765"/>
      <c r="L15" s="766"/>
      <c r="M15" s="765" t="n">
        <f aca="false">K15/30*L15</f>
        <v>0</v>
      </c>
      <c r="N15" s="767" t="n">
        <f aca="false">(N14*M15)+N14</f>
        <v>100</v>
      </c>
      <c r="P15" s="762" t="n">
        <f aca="false">I15+1</f>
        <v>2025</v>
      </c>
      <c r="Q15" s="764" t="str">
        <f aca="false">$C$15</f>
        <v>DEZ</v>
      </c>
      <c r="R15" s="765"/>
      <c r="S15" s="766"/>
      <c r="T15" s="765" t="n">
        <f aca="false">R15/30*S15</f>
        <v>0</v>
      </c>
      <c r="U15" s="767" t="n">
        <f aca="false">(U14*T15)+U14</f>
        <v>100</v>
      </c>
      <c r="W15" s="762" t="n">
        <f aca="false">P15+1</f>
        <v>2026</v>
      </c>
      <c r="X15" s="764" t="str">
        <f aca="false">$C$15</f>
        <v>DEZ</v>
      </c>
      <c r="Y15" s="765"/>
      <c r="Z15" s="766"/>
      <c r="AA15" s="765" t="n">
        <f aca="false">Y15/30*Z15</f>
        <v>0</v>
      </c>
      <c r="AB15" s="767" t="n">
        <f aca="false">(AB14*AA15)+AB14</f>
        <v>100</v>
      </c>
      <c r="AD15" s="762" t="n">
        <f aca="false">W15+1</f>
        <v>2027</v>
      </c>
      <c r="AE15" s="764" t="str">
        <f aca="false">$C$15</f>
        <v>DEZ</v>
      </c>
      <c r="AF15" s="765"/>
      <c r="AG15" s="766"/>
      <c r="AH15" s="765" t="n">
        <f aca="false">AF15/30*AG15</f>
        <v>0</v>
      </c>
      <c r="AI15" s="767" t="n">
        <f aca="false">(AI14*AH15)+AI14</f>
        <v>100</v>
      </c>
    </row>
    <row r="16" customFormat="false" ht="15" hidden="false" customHeight="false" outlineLevel="0" collapsed="false">
      <c r="B16" s="762" t="n">
        <v>2024</v>
      </c>
      <c r="C16" s="768" t="s">
        <v>749</v>
      </c>
      <c r="D16" s="769"/>
      <c r="E16" s="770"/>
      <c r="F16" s="765" t="n">
        <f aca="false">D16/30*E16</f>
        <v>0</v>
      </c>
      <c r="G16" s="767" t="n">
        <f aca="false">(G15*F16)+G15</f>
        <v>100</v>
      </c>
      <c r="I16" s="762" t="n">
        <f aca="false">B16+1</f>
        <v>2025</v>
      </c>
      <c r="J16" s="764" t="str">
        <f aca="false">$C$16</f>
        <v>JAN</v>
      </c>
      <c r="K16" s="769"/>
      <c r="L16" s="766"/>
      <c r="M16" s="765" t="n">
        <f aca="false">K16/30*L16</f>
        <v>0</v>
      </c>
      <c r="N16" s="767" t="n">
        <f aca="false">(N15*M16)+N15</f>
        <v>100</v>
      </c>
      <c r="P16" s="762" t="n">
        <f aca="false">I16+1</f>
        <v>2026</v>
      </c>
      <c r="Q16" s="764" t="str">
        <f aca="false">$C$16</f>
        <v>JAN</v>
      </c>
      <c r="R16" s="769"/>
      <c r="S16" s="766"/>
      <c r="T16" s="765" t="n">
        <f aca="false">R16/30*S16</f>
        <v>0</v>
      </c>
      <c r="U16" s="767" t="n">
        <f aca="false">(U15*T16)+U15</f>
        <v>100</v>
      </c>
      <c r="W16" s="762" t="n">
        <f aca="false">P16+1</f>
        <v>2027</v>
      </c>
      <c r="X16" s="764" t="str">
        <f aca="false">$C$16</f>
        <v>JAN</v>
      </c>
      <c r="Y16" s="769"/>
      <c r="Z16" s="766"/>
      <c r="AA16" s="765" t="n">
        <f aca="false">Y16/30*Z16</f>
        <v>0</v>
      </c>
      <c r="AB16" s="767" t="n">
        <f aca="false">(AB15*AA16)+AB15</f>
        <v>100</v>
      </c>
      <c r="AD16" s="762" t="n">
        <f aca="false">W16+1</f>
        <v>2028</v>
      </c>
      <c r="AE16" s="764" t="str">
        <f aca="false">$C$16</f>
        <v>JAN</v>
      </c>
      <c r="AF16" s="769"/>
      <c r="AG16" s="766"/>
      <c r="AH16" s="765" t="n">
        <f aca="false">AF16/30*AG16</f>
        <v>0</v>
      </c>
      <c r="AI16" s="767" t="n">
        <f aca="false">(AI15*AH16)+AI15</f>
        <v>100</v>
      </c>
    </row>
    <row r="17" customFormat="false" ht="15" hidden="false" customHeight="false" outlineLevel="0" collapsed="false">
      <c r="B17" s="762" t="n">
        <v>2024</v>
      </c>
      <c r="C17" s="764" t="s">
        <v>750</v>
      </c>
      <c r="D17" s="765"/>
      <c r="E17" s="766"/>
      <c r="F17" s="765" t="n">
        <f aca="false">D17/30*E17</f>
        <v>0</v>
      </c>
      <c r="G17" s="767" t="n">
        <f aca="false">(G16*F17)+G16</f>
        <v>100</v>
      </c>
      <c r="I17" s="762" t="n">
        <f aca="false">B17+1</f>
        <v>2025</v>
      </c>
      <c r="J17" s="764" t="str">
        <f aca="false">$C$17</f>
        <v>FEV</v>
      </c>
      <c r="K17" s="765"/>
      <c r="L17" s="766"/>
      <c r="M17" s="765" t="n">
        <f aca="false">K17/30*L17</f>
        <v>0</v>
      </c>
      <c r="N17" s="767" t="n">
        <f aca="false">(N16*M17)+N16</f>
        <v>100</v>
      </c>
      <c r="P17" s="762" t="n">
        <f aca="false">I17+1</f>
        <v>2026</v>
      </c>
      <c r="Q17" s="764" t="str">
        <f aca="false">$C$17</f>
        <v>FEV</v>
      </c>
      <c r="R17" s="765"/>
      <c r="S17" s="766"/>
      <c r="T17" s="765" t="n">
        <f aca="false">R17/30*S17</f>
        <v>0</v>
      </c>
      <c r="U17" s="767" t="n">
        <f aca="false">(U16*T17)+U16</f>
        <v>100</v>
      </c>
      <c r="W17" s="762" t="n">
        <f aca="false">P17+1</f>
        <v>2027</v>
      </c>
      <c r="X17" s="764" t="str">
        <f aca="false">$C$17</f>
        <v>FEV</v>
      </c>
      <c r="Y17" s="765"/>
      <c r="Z17" s="766"/>
      <c r="AA17" s="765" t="n">
        <f aca="false">Y17/30*Z17</f>
        <v>0</v>
      </c>
      <c r="AB17" s="767" t="n">
        <f aca="false">(AB16*AA17)+AB16</f>
        <v>100</v>
      </c>
      <c r="AD17" s="762" t="n">
        <f aca="false">W17+1</f>
        <v>2028</v>
      </c>
      <c r="AE17" s="764" t="str">
        <f aca="false">$C$17</f>
        <v>FEV</v>
      </c>
      <c r="AF17" s="765"/>
      <c r="AG17" s="766"/>
      <c r="AH17" s="765" t="n">
        <f aca="false">AF17/30*AG17</f>
        <v>0</v>
      </c>
      <c r="AI17" s="767" t="n">
        <f aca="false">(AI16*AH17)+AI16</f>
        <v>100</v>
      </c>
    </row>
    <row r="18" customFormat="false" ht="15" hidden="false" customHeight="false" outlineLevel="0" collapsed="false">
      <c r="B18" s="762" t="n">
        <v>2024</v>
      </c>
      <c r="C18" s="768" t="s">
        <v>751</v>
      </c>
      <c r="D18" s="765"/>
      <c r="E18" s="766"/>
      <c r="F18" s="765" t="n">
        <f aca="false">D18/30*E18</f>
        <v>0</v>
      </c>
      <c r="G18" s="767" t="n">
        <f aca="false">(G17*F18)+G17</f>
        <v>100</v>
      </c>
      <c r="I18" s="762" t="n">
        <f aca="false">B18+1</f>
        <v>2025</v>
      </c>
      <c r="J18" s="764" t="str">
        <f aca="false">$C$18</f>
        <v>MAR</v>
      </c>
      <c r="K18" s="765"/>
      <c r="L18" s="766"/>
      <c r="M18" s="765" t="n">
        <f aca="false">K18/30*L18</f>
        <v>0</v>
      </c>
      <c r="N18" s="767" t="n">
        <f aca="false">(N17*M18)+N17</f>
        <v>100</v>
      </c>
      <c r="P18" s="762" t="n">
        <f aca="false">I18+1</f>
        <v>2026</v>
      </c>
      <c r="Q18" s="764" t="str">
        <f aca="false">$C$18</f>
        <v>MAR</v>
      </c>
      <c r="R18" s="765"/>
      <c r="S18" s="766"/>
      <c r="T18" s="765" t="n">
        <f aca="false">R18/30*S18</f>
        <v>0</v>
      </c>
      <c r="U18" s="767" t="n">
        <f aca="false">(U17*T18)+U17</f>
        <v>100</v>
      </c>
      <c r="W18" s="762" t="n">
        <f aca="false">P18+1</f>
        <v>2027</v>
      </c>
      <c r="X18" s="764" t="str">
        <f aca="false">$C$18</f>
        <v>MAR</v>
      </c>
      <c r="Y18" s="765"/>
      <c r="Z18" s="766"/>
      <c r="AA18" s="765" t="n">
        <f aca="false">Y18/30*Z18</f>
        <v>0</v>
      </c>
      <c r="AB18" s="767" t="n">
        <f aca="false">(AB17*AA18)+AB17</f>
        <v>100</v>
      </c>
      <c r="AD18" s="762" t="n">
        <f aca="false">W18+1</f>
        <v>2028</v>
      </c>
      <c r="AE18" s="764" t="str">
        <f aca="false">$C$18</f>
        <v>MAR</v>
      </c>
      <c r="AF18" s="765"/>
      <c r="AG18" s="766"/>
      <c r="AH18" s="765" t="n">
        <f aca="false">AF18/30*AG18</f>
        <v>0</v>
      </c>
      <c r="AI18" s="767" t="n">
        <f aca="false">(AI17*AH18)+AI17</f>
        <v>100</v>
      </c>
    </row>
    <row r="19" customFormat="false" ht="15" hidden="false" customHeight="false" outlineLevel="0" collapsed="false">
      <c r="B19" s="762" t="n">
        <v>2024</v>
      </c>
      <c r="C19" s="764" t="s">
        <v>752</v>
      </c>
      <c r="D19" s="765"/>
      <c r="E19" s="766"/>
      <c r="F19" s="765" t="n">
        <f aca="false">D19/30*E19</f>
        <v>0</v>
      </c>
      <c r="G19" s="767" t="n">
        <f aca="false">(G18*F19)+G18</f>
        <v>100</v>
      </c>
      <c r="I19" s="762" t="n">
        <f aca="false">B19+1</f>
        <v>2025</v>
      </c>
      <c r="J19" s="764" t="str">
        <f aca="false">$C$19</f>
        <v>ABR</v>
      </c>
      <c r="K19" s="765"/>
      <c r="L19" s="766"/>
      <c r="M19" s="765" t="n">
        <f aca="false">K19/30*L19</f>
        <v>0</v>
      </c>
      <c r="N19" s="767" t="n">
        <f aca="false">(N18*M19)+N18</f>
        <v>100</v>
      </c>
      <c r="P19" s="762" t="n">
        <f aca="false">I19+1</f>
        <v>2026</v>
      </c>
      <c r="Q19" s="764" t="str">
        <f aca="false">$C$19</f>
        <v>ABR</v>
      </c>
      <c r="R19" s="765"/>
      <c r="S19" s="766"/>
      <c r="T19" s="765" t="n">
        <f aca="false">R19/30*S19</f>
        <v>0</v>
      </c>
      <c r="U19" s="767" t="n">
        <f aca="false">(U18*T19)+U18</f>
        <v>100</v>
      </c>
      <c r="W19" s="762" t="n">
        <f aca="false">P19+1</f>
        <v>2027</v>
      </c>
      <c r="X19" s="764" t="str">
        <f aca="false">$C$19</f>
        <v>ABR</v>
      </c>
      <c r="Y19" s="765"/>
      <c r="Z19" s="766"/>
      <c r="AA19" s="765" t="n">
        <f aca="false">Y19/30*Z19</f>
        <v>0</v>
      </c>
      <c r="AB19" s="767" t="n">
        <f aca="false">(AB18*AA19)+AB18</f>
        <v>100</v>
      </c>
      <c r="AD19" s="762" t="n">
        <f aca="false">W19+1</f>
        <v>2028</v>
      </c>
      <c r="AE19" s="764" t="str">
        <f aca="false">$C$19</f>
        <v>ABR</v>
      </c>
      <c r="AF19" s="765"/>
      <c r="AG19" s="766"/>
      <c r="AH19" s="765" t="n">
        <f aca="false">AF19/30*AG19</f>
        <v>0</v>
      </c>
      <c r="AI19" s="767" t="n">
        <f aca="false">(AI18*AH19)+AI18</f>
        <v>100</v>
      </c>
    </row>
    <row r="20" customFormat="false" ht="15" hidden="false" customHeight="false" outlineLevel="0" collapsed="false">
      <c r="B20" s="762" t="n">
        <v>2024</v>
      </c>
      <c r="C20" s="768" t="s">
        <v>753</v>
      </c>
      <c r="D20" s="765"/>
      <c r="E20" s="766"/>
      <c r="F20" s="765" t="n">
        <f aca="false">D20/30*E20</f>
        <v>0</v>
      </c>
      <c r="G20" s="767" t="n">
        <f aca="false">(G19*F20)+G19</f>
        <v>100</v>
      </c>
      <c r="I20" s="762" t="n">
        <f aca="false">B20+1</f>
        <v>2025</v>
      </c>
      <c r="J20" s="764" t="str">
        <f aca="false">$C$20</f>
        <v>MAI</v>
      </c>
      <c r="K20" s="765"/>
      <c r="L20" s="766"/>
      <c r="M20" s="765" t="n">
        <f aca="false">K20/30*L20</f>
        <v>0</v>
      </c>
      <c r="N20" s="767" t="n">
        <f aca="false">(N19*M20)+N19</f>
        <v>100</v>
      </c>
      <c r="P20" s="762" t="n">
        <f aca="false">I20+1</f>
        <v>2026</v>
      </c>
      <c r="Q20" s="764" t="str">
        <f aca="false">$C$20</f>
        <v>MAI</v>
      </c>
      <c r="R20" s="765"/>
      <c r="S20" s="766"/>
      <c r="T20" s="765" t="n">
        <f aca="false">R20/30*S20</f>
        <v>0</v>
      </c>
      <c r="U20" s="767" t="n">
        <f aca="false">(U19*T20)+U19</f>
        <v>100</v>
      </c>
      <c r="W20" s="762" t="n">
        <f aca="false">P20+1</f>
        <v>2027</v>
      </c>
      <c r="X20" s="764" t="str">
        <f aca="false">$C$20</f>
        <v>MAI</v>
      </c>
      <c r="Y20" s="765"/>
      <c r="Z20" s="766"/>
      <c r="AA20" s="765" t="n">
        <f aca="false">Y20/30*Z20</f>
        <v>0</v>
      </c>
      <c r="AB20" s="767" t="n">
        <f aca="false">(AB19*AA20)+AB19</f>
        <v>100</v>
      </c>
      <c r="AD20" s="762" t="n">
        <f aca="false">W20+1</f>
        <v>2028</v>
      </c>
      <c r="AE20" s="764" t="str">
        <f aca="false">$C$20</f>
        <v>MAI</v>
      </c>
      <c r="AF20" s="765"/>
      <c r="AG20" s="766"/>
      <c r="AH20" s="765" t="n">
        <f aca="false">AF20/30*AG20</f>
        <v>0</v>
      </c>
      <c r="AI20" s="767" t="n">
        <f aca="false">(AI19*AH20)+AI19</f>
        <v>100</v>
      </c>
    </row>
    <row r="21" customFormat="false" ht="15" hidden="false" customHeight="false" outlineLevel="0" collapsed="false">
      <c r="B21" s="762" t="n">
        <v>2024</v>
      </c>
      <c r="C21" s="764" t="s">
        <v>754</v>
      </c>
      <c r="D21" s="765"/>
      <c r="E21" s="766"/>
      <c r="F21" s="765" t="n">
        <f aca="false">D21/30*E21</f>
        <v>0</v>
      </c>
      <c r="G21" s="767" t="n">
        <f aca="false">(G20*F21)+G20</f>
        <v>100</v>
      </c>
      <c r="I21" s="762" t="n">
        <f aca="false">B21+1</f>
        <v>2025</v>
      </c>
      <c r="J21" s="764" t="str">
        <f aca="false">$C$21</f>
        <v>JUN</v>
      </c>
      <c r="K21" s="765"/>
      <c r="L21" s="766"/>
      <c r="M21" s="765" t="n">
        <f aca="false">K21/30*L21</f>
        <v>0</v>
      </c>
      <c r="N21" s="767" t="n">
        <f aca="false">(N20*M21)+N20</f>
        <v>100</v>
      </c>
      <c r="P21" s="762" t="n">
        <f aca="false">I21+1</f>
        <v>2026</v>
      </c>
      <c r="Q21" s="764" t="str">
        <f aca="false">$C$21</f>
        <v>JUN</v>
      </c>
      <c r="R21" s="765"/>
      <c r="S21" s="766"/>
      <c r="T21" s="765" t="n">
        <f aca="false">R21/30*S21</f>
        <v>0</v>
      </c>
      <c r="U21" s="767" t="n">
        <f aca="false">(U20*T21)+U20</f>
        <v>100</v>
      </c>
      <c r="W21" s="762" t="n">
        <f aca="false">P21+1</f>
        <v>2027</v>
      </c>
      <c r="X21" s="764" t="str">
        <f aca="false">$C$21</f>
        <v>JUN</v>
      </c>
      <c r="Y21" s="765"/>
      <c r="Z21" s="766"/>
      <c r="AA21" s="765" t="n">
        <f aca="false">Y21/30*Z21</f>
        <v>0</v>
      </c>
      <c r="AB21" s="767" t="n">
        <f aca="false">(AB20*AA21)+AB20</f>
        <v>100</v>
      </c>
      <c r="AD21" s="762" t="n">
        <f aca="false">W21+1</f>
        <v>2028</v>
      </c>
      <c r="AE21" s="764" t="str">
        <f aca="false">$C$21</f>
        <v>JUN</v>
      </c>
      <c r="AF21" s="765"/>
      <c r="AG21" s="766"/>
      <c r="AH21" s="765" t="n">
        <f aca="false">AF21/30*AG21</f>
        <v>0</v>
      </c>
      <c r="AI21" s="767" t="n">
        <f aca="false">(AI20*AH21)+AI20</f>
        <v>100</v>
      </c>
    </row>
    <row r="22" customFormat="false" ht="15" hidden="false" customHeight="false" outlineLevel="0" collapsed="false">
      <c r="B22" s="762" t="n">
        <v>2024</v>
      </c>
      <c r="C22" s="768" t="s">
        <v>755</v>
      </c>
      <c r="D22" s="765"/>
      <c r="E22" s="766" t="n">
        <v>0</v>
      </c>
      <c r="F22" s="765" t="n">
        <f aca="false">D22/30*E22</f>
        <v>0</v>
      </c>
      <c r="G22" s="767" t="n">
        <f aca="false">(G21*F22)+G21</f>
        <v>100</v>
      </c>
      <c r="I22" s="762" t="n">
        <f aca="false">B22+1</f>
        <v>2025</v>
      </c>
      <c r="J22" s="764" t="str">
        <f aca="false">$C$22</f>
        <v>JUL</v>
      </c>
      <c r="K22" s="765"/>
      <c r="L22" s="766" t="n">
        <f aca="false">$E$22</f>
        <v>0</v>
      </c>
      <c r="M22" s="765" t="n">
        <f aca="false">K22/30*L22</f>
        <v>0</v>
      </c>
      <c r="N22" s="767" t="n">
        <f aca="false">(N21*M22)+N21</f>
        <v>100</v>
      </c>
      <c r="P22" s="762" t="n">
        <f aca="false">I22+1</f>
        <v>2026</v>
      </c>
      <c r="Q22" s="764" t="str">
        <f aca="false">$C$22</f>
        <v>JUL</v>
      </c>
      <c r="R22" s="765"/>
      <c r="S22" s="766" t="n">
        <f aca="false">$E$22</f>
        <v>0</v>
      </c>
      <c r="T22" s="765" t="n">
        <f aca="false">R22/30*S22</f>
        <v>0</v>
      </c>
      <c r="U22" s="767" t="n">
        <f aca="false">(U21*T22)+U21</f>
        <v>100</v>
      </c>
      <c r="W22" s="762" t="n">
        <f aca="false">P22+1</f>
        <v>2027</v>
      </c>
      <c r="X22" s="764" t="str">
        <f aca="false">$C$22</f>
        <v>JUL</v>
      </c>
      <c r="Y22" s="765"/>
      <c r="Z22" s="766" t="n">
        <f aca="false">$E$22</f>
        <v>0</v>
      </c>
      <c r="AA22" s="765" t="n">
        <f aca="false">Y22/30*Z22</f>
        <v>0</v>
      </c>
      <c r="AB22" s="767" t="n">
        <f aca="false">(AB21*AA22)+AB21</f>
        <v>100</v>
      </c>
      <c r="AD22" s="762" t="n">
        <f aca="false">W22+1</f>
        <v>2028</v>
      </c>
      <c r="AE22" s="764" t="str">
        <f aca="false">$C$22</f>
        <v>JUL</v>
      </c>
      <c r="AF22" s="765"/>
      <c r="AG22" s="766" t="n">
        <f aca="false">$E$22</f>
        <v>0</v>
      </c>
      <c r="AH22" s="765" t="n">
        <f aca="false">AF22/30*AG22</f>
        <v>0</v>
      </c>
      <c r="AI22" s="767" t="n">
        <f aca="false">(AI21*AH22)+AI21</f>
        <v>100</v>
      </c>
    </row>
    <row r="23" customFormat="false" ht="15" hidden="false" customHeight="false" outlineLevel="0" collapsed="false">
      <c r="B23" s="762" t="s">
        <v>756</v>
      </c>
      <c r="C23" s="762"/>
      <c r="D23" s="762"/>
      <c r="E23" s="762"/>
      <c r="F23" s="762"/>
      <c r="G23" s="771" t="n">
        <f aca="false">ROUND(((G22-G9)/G9),4)</f>
        <v>0</v>
      </c>
      <c r="I23" s="762" t="s">
        <v>756</v>
      </c>
      <c r="J23" s="762"/>
      <c r="K23" s="762"/>
      <c r="L23" s="762"/>
      <c r="M23" s="762"/>
      <c r="N23" s="771" t="n">
        <f aca="false">ROUND(((N22-N9)/N9),4)</f>
        <v>0</v>
      </c>
      <c r="P23" s="762" t="s">
        <v>756</v>
      </c>
      <c r="Q23" s="762"/>
      <c r="R23" s="762"/>
      <c r="S23" s="762"/>
      <c r="T23" s="762"/>
      <c r="U23" s="771" t="n">
        <f aca="false">ROUND(((U22-U9)/U9),4)</f>
        <v>0</v>
      </c>
      <c r="W23" s="762" t="s">
        <v>756</v>
      </c>
      <c r="X23" s="762"/>
      <c r="Y23" s="762"/>
      <c r="Z23" s="762"/>
      <c r="AA23" s="762"/>
      <c r="AB23" s="771" t="n">
        <f aca="false">ROUND(((AB22-AB9)/AB9),4)</f>
        <v>0</v>
      </c>
      <c r="AD23" s="762" t="s">
        <v>756</v>
      </c>
      <c r="AE23" s="762"/>
      <c r="AF23" s="762"/>
      <c r="AG23" s="762"/>
      <c r="AH23" s="762"/>
      <c r="AI23" s="771" t="n">
        <f aca="false">ROUND(((AI22-AI9)/AI9),4)</f>
        <v>0</v>
      </c>
    </row>
  </sheetData>
  <mergeCells count="20">
    <mergeCell ref="B6:G6"/>
    <mergeCell ref="I6:N6"/>
    <mergeCell ref="P6:U6"/>
    <mergeCell ref="W6:AB6"/>
    <mergeCell ref="AD6:AI6"/>
    <mergeCell ref="C7:G7"/>
    <mergeCell ref="J7:N7"/>
    <mergeCell ref="Q7:U7"/>
    <mergeCell ref="X7:AB7"/>
    <mergeCell ref="AE7:AI7"/>
    <mergeCell ref="B8:C8"/>
    <mergeCell ref="I8:J8"/>
    <mergeCell ref="P8:Q8"/>
    <mergeCell ref="W8:X8"/>
    <mergeCell ref="AD8:AE8"/>
    <mergeCell ref="B23:F23"/>
    <mergeCell ref="I23:M23"/>
    <mergeCell ref="P23:T23"/>
    <mergeCell ref="W23:AA23"/>
    <mergeCell ref="AD23:AH23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W93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G62" activeCellId="0" sqref="G6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86"/>
    <col collapsed="false" customWidth="true" hidden="false" outlineLevel="0" max="2" min="2" style="1" width="10.42"/>
    <col collapsed="false" customWidth="true" hidden="false" outlineLevel="0" max="3" min="3" style="1" width="39.29"/>
    <col collapsed="false" customWidth="true" hidden="false" outlineLevel="0" max="4" min="4" style="1" width="12"/>
    <col collapsed="false" customWidth="true" hidden="false" outlineLevel="0" max="5" min="5" style="1" width="15.71"/>
    <col collapsed="false" customWidth="true" hidden="false" outlineLevel="0" max="6" min="6" style="1" width="14.86"/>
    <col collapsed="false" customWidth="true" hidden="false" outlineLevel="0" max="7" min="7" style="1" width="14"/>
    <col collapsed="false" customWidth="true" hidden="false" outlineLevel="0" max="8" min="8" style="1" width="13.57"/>
    <col collapsed="false" customWidth="true" hidden="false" outlineLevel="0" max="9" min="9" style="1" width="13.42"/>
    <col collapsed="false" customWidth="true" hidden="false" outlineLevel="0" max="10" min="10" style="2" width="13.57"/>
    <col collapsed="false" customWidth="true" hidden="false" outlineLevel="0" max="11" min="11" style="2" width="18.29"/>
    <col collapsed="false" customWidth="true" hidden="false" outlineLevel="0" max="12" min="12" style="1" width="13.29"/>
    <col collapsed="false" customWidth="true" hidden="false" outlineLevel="0" max="13" min="13" style="1" width="15.14"/>
    <col collapsed="false" customWidth="true" hidden="false" outlineLevel="0" max="14" min="14" style="1" width="12.57"/>
    <col collapsed="false" customWidth="true" hidden="false" outlineLevel="0" max="17" min="15" style="1" width="14.86"/>
    <col collapsed="false" customWidth="true" hidden="false" outlineLevel="0" max="20" min="18" style="1" width="13.57"/>
    <col collapsed="false" customWidth="true" hidden="false" outlineLevel="0" max="21" min="21" style="1" width="15"/>
    <col collapsed="false" customWidth="false" hidden="false" outlineLevel="0" max="257" min="22" style="1" width="9.14"/>
    <col collapsed="false" customWidth="true" hidden="false" outlineLevel="0" max="258" min="258" style="1" width="9.86"/>
    <col collapsed="false" customWidth="true" hidden="false" outlineLevel="0" max="259" min="259" style="1" width="10.42"/>
    <col collapsed="false" customWidth="true" hidden="false" outlineLevel="0" max="260" min="260" style="1" width="39.29"/>
    <col collapsed="false" customWidth="true" hidden="false" outlineLevel="0" max="261" min="261" style="1" width="15"/>
    <col collapsed="false" customWidth="true" hidden="false" outlineLevel="0" max="262" min="262" style="1" width="11"/>
    <col collapsed="false" customWidth="true" hidden="false" outlineLevel="0" max="263" min="263" style="1" width="11.14"/>
    <col collapsed="false" customWidth="true" hidden="false" outlineLevel="0" max="264" min="264" style="1" width="12.86"/>
    <col collapsed="false" customWidth="true" hidden="false" outlineLevel="0" max="265" min="265" style="1" width="13.15"/>
    <col collapsed="false" customWidth="true" hidden="false" outlineLevel="0" max="269" min="266" style="1" width="14.14"/>
    <col collapsed="false" customWidth="true" hidden="false" outlineLevel="0" max="270" min="270" style="1" width="14.42"/>
    <col collapsed="false" customWidth="true" hidden="false" outlineLevel="0" max="271" min="271" style="1" width="9.71"/>
    <col collapsed="false" customWidth="true" hidden="false" outlineLevel="0" max="272" min="272" style="1" width="12.71"/>
    <col collapsed="false" customWidth="true" hidden="false" outlineLevel="0" max="275" min="273" style="1" width="13.57"/>
    <col collapsed="false" customWidth="true" hidden="false" outlineLevel="0" max="276" min="276" style="1" width="12.15"/>
    <col collapsed="false" customWidth="true" hidden="false" outlineLevel="0" max="277" min="277" style="1" width="15"/>
    <col collapsed="false" customWidth="false" hidden="false" outlineLevel="0" max="513" min="278" style="1" width="9.14"/>
    <col collapsed="false" customWidth="true" hidden="false" outlineLevel="0" max="514" min="514" style="1" width="9.86"/>
    <col collapsed="false" customWidth="true" hidden="false" outlineLevel="0" max="515" min="515" style="1" width="10.42"/>
    <col collapsed="false" customWidth="true" hidden="false" outlineLevel="0" max="516" min="516" style="1" width="39.29"/>
    <col collapsed="false" customWidth="true" hidden="false" outlineLevel="0" max="517" min="517" style="1" width="15"/>
    <col collapsed="false" customWidth="true" hidden="false" outlineLevel="0" max="518" min="518" style="1" width="11"/>
    <col collapsed="false" customWidth="true" hidden="false" outlineLevel="0" max="519" min="519" style="1" width="11.14"/>
    <col collapsed="false" customWidth="true" hidden="false" outlineLevel="0" max="520" min="520" style="1" width="12.86"/>
    <col collapsed="false" customWidth="true" hidden="false" outlineLevel="0" max="521" min="521" style="1" width="13.15"/>
    <col collapsed="false" customWidth="true" hidden="false" outlineLevel="0" max="525" min="522" style="1" width="14.14"/>
    <col collapsed="false" customWidth="true" hidden="false" outlineLevel="0" max="526" min="526" style="1" width="14.42"/>
    <col collapsed="false" customWidth="true" hidden="false" outlineLevel="0" max="527" min="527" style="1" width="9.71"/>
    <col collapsed="false" customWidth="true" hidden="false" outlineLevel="0" max="528" min="528" style="1" width="12.71"/>
    <col collapsed="false" customWidth="true" hidden="false" outlineLevel="0" max="531" min="529" style="1" width="13.57"/>
    <col collapsed="false" customWidth="true" hidden="false" outlineLevel="0" max="532" min="532" style="1" width="12.15"/>
    <col collapsed="false" customWidth="true" hidden="false" outlineLevel="0" max="533" min="533" style="1" width="15"/>
    <col collapsed="false" customWidth="false" hidden="false" outlineLevel="0" max="769" min="534" style="1" width="9.14"/>
    <col collapsed="false" customWidth="true" hidden="false" outlineLevel="0" max="770" min="770" style="1" width="9.86"/>
    <col collapsed="false" customWidth="true" hidden="false" outlineLevel="0" max="771" min="771" style="1" width="10.42"/>
    <col collapsed="false" customWidth="true" hidden="false" outlineLevel="0" max="772" min="772" style="1" width="39.29"/>
    <col collapsed="false" customWidth="true" hidden="false" outlineLevel="0" max="773" min="773" style="1" width="15"/>
    <col collapsed="false" customWidth="true" hidden="false" outlineLevel="0" max="774" min="774" style="1" width="11"/>
    <col collapsed="false" customWidth="true" hidden="false" outlineLevel="0" max="775" min="775" style="1" width="11.14"/>
    <col collapsed="false" customWidth="true" hidden="false" outlineLevel="0" max="776" min="776" style="1" width="12.86"/>
    <col collapsed="false" customWidth="true" hidden="false" outlineLevel="0" max="777" min="777" style="1" width="13.15"/>
    <col collapsed="false" customWidth="true" hidden="false" outlineLevel="0" max="781" min="778" style="1" width="14.14"/>
    <col collapsed="false" customWidth="true" hidden="false" outlineLevel="0" max="782" min="782" style="1" width="14.42"/>
    <col collapsed="false" customWidth="true" hidden="false" outlineLevel="0" max="783" min="783" style="1" width="9.71"/>
    <col collapsed="false" customWidth="true" hidden="false" outlineLevel="0" max="784" min="784" style="1" width="12.71"/>
    <col collapsed="false" customWidth="true" hidden="false" outlineLevel="0" max="787" min="785" style="1" width="13.57"/>
    <col collapsed="false" customWidth="true" hidden="false" outlineLevel="0" max="788" min="788" style="1" width="12.15"/>
    <col collapsed="false" customWidth="true" hidden="false" outlineLevel="0" max="789" min="789" style="1" width="15"/>
    <col collapsed="false" customWidth="false" hidden="false" outlineLevel="0" max="1024" min="790" style="1" width="9.14"/>
  </cols>
  <sheetData>
    <row r="1" customFormat="false" ht="15" hidden="false" customHeight="false" outlineLevel="0" collapsed="false">
      <c r="A1" s="166"/>
      <c r="B1" s="167" t="str">
        <f aca="false">INSTRUÇÕES!B1</f>
        <v>Tribunal Regional Federal da 6ª Região</v>
      </c>
      <c r="D1" s="112"/>
      <c r="E1" s="112"/>
      <c r="F1" s="112"/>
      <c r="G1" s="112"/>
      <c r="H1" s="112"/>
      <c r="I1" s="112"/>
      <c r="J1" s="168"/>
      <c r="K1" s="168"/>
      <c r="L1" s="112"/>
      <c r="M1" s="112"/>
      <c r="N1" s="112"/>
    </row>
    <row r="2" customFormat="false" ht="15" hidden="false" customHeight="false" outlineLevel="0" collapsed="false">
      <c r="A2" s="166"/>
      <c r="B2" s="167" t="str">
        <f aca="false">INSTRUÇÕES!B2</f>
        <v>Seção Judiciária de Minas Gerais</v>
      </c>
      <c r="D2" s="112"/>
      <c r="E2" s="112"/>
      <c r="F2" s="112"/>
      <c r="G2" s="112"/>
      <c r="H2" s="112"/>
      <c r="I2" s="112"/>
      <c r="J2" s="168"/>
      <c r="K2" s="168"/>
      <c r="L2" s="112"/>
      <c r="M2" s="112"/>
      <c r="N2" s="112"/>
    </row>
    <row r="3" customFormat="false" ht="18.75" hidden="false" customHeight="false" outlineLevel="0" collapsed="false">
      <c r="A3" s="166"/>
      <c r="B3" s="167" t="str">
        <f aca="false">INSTRUÇÕES!B3</f>
        <v>Subseção Judiciária de Juiz de Fora</v>
      </c>
      <c r="D3" s="112"/>
      <c r="E3" s="169" t="s">
        <v>289</v>
      </c>
      <c r="F3" s="112"/>
      <c r="G3" s="112"/>
      <c r="H3" s="112"/>
      <c r="I3" s="112"/>
      <c r="J3" s="168"/>
      <c r="K3" s="168"/>
      <c r="L3" s="112"/>
      <c r="M3" s="112"/>
      <c r="N3" s="112"/>
      <c r="T3" s="170"/>
    </row>
    <row r="4" s="19" customFormat="true" ht="24.75" hidden="false" customHeight="true" outlineLevel="0" collapsed="false">
      <c r="A4" s="171" t="str">
        <f aca="false">CONCATENATE("Sindicato utilizado - ",E21,". Vigência: ",E23,". Sendo a data base da categoria ",E24,". Com número de registro no MTE ",E22,".")</f>
        <v>Sindicato utilizado - SINTEAC/JF. Vigência: 01/01/2023 à 31/12/2023. Sendo a data base da categoria 01º Janeiro. Com número de registro no MTE MG001725/2023.</v>
      </c>
      <c r="B4" s="171"/>
      <c r="C4" s="172"/>
      <c r="D4" s="173"/>
      <c r="E4" s="171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</row>
    <row r="5" s="19" customFormat="true" ht="66.75" hidden="false" customHeight="true" outlineLevel="0" collapsed="false">
      <c r="A5" s="175" t="s">
        <v>290</v>
      </c>
      <c r="B5" s="175" t="s">
        <v>291</v>
      </c>
      <c r="C5" s="175" t="s">
        <v>25</v>
      </c>
      <c r="D5" s="175" t="s">
        <v>292</v>
      </c>
      <c r="E5" s="175" t="s">
        <v>293</v>
      </c>
      <c r="F5" s="175" t="s">
        <v>294</v>
      </c>
      <c r="G5" s="175" t="s">
        <v>295</v>
      </c>
      <c r="H5" s="175" t="s">
        <v>296</v>
      </c>
      <c r="I5" s="175" t="s">
        <v>297</v>
      </c>
      <c r="J5" s="175" t="s">
        <v>298</v>
      </c>
      <c r="K5" s="175" t="s">
        <v>299</v>
      </c>
      <c r="L5" s="175" t="s">
        <v>300</v>
      </c>
      <c r="M5" s="176" t="s">
        <v>301</v>
      </c>
      <c r="N5" s="175" t="s">
        <v>302</v>
      </c>
      <c r="O5" s="175" t="s">
        <v>303</v>
      </c>
      <c r="P5" s="175" t="s">
        <v>304</v>
      </c>
      <c r="Q5" s="175" t="s">
        <v>305</v>
      </c>
      <c r="R5" s="175" t="s">
        <v>306</v>
      </c>
      <c r="S5" s="175" t="s">
        <v>307</v>
      </c>
      <c r="T5" s="175" t="s">
        <v>308</v>
      </c>
      <c r="U5" s="175" t="s">
        <v>309</v>
      </c>
      <c r="W5" s="177"/>
    </row>
    <row r="6" s="19" customFormat="true" ht="30" hidden="false" customHeight="false" outlineLevel="0" collapsed="false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6"/>
      <c r="N6" s="178" t="s">
        <v>310</v>
      </c>
      <c r="O6" s="179" t="n">
        <f aca="false">SUM(B13:B14)</f>
        <v>6</v>
      </c>
      <c r="P6" s="179" t="n">
        <f aca="false">B12</f>
        <v>2</v>
      </c>
      <c r="Q6" s="179" t="n">
        <f aca="false">B17</f>
        <v>1</v>
      </c>
      <c r="R6" s="179" t="n">
        <f aca="false">B11</f>
        <v>1</v>
      </c>
      <c r="S6" s="179" t="n">
        <f aca="false">B15</f>
        <v>1</v>
      </c>
      <c r="T6" s="179" t="n">
        <f aca="false">B13+B14</f>
        <v>6</v>
      </c>
      <c r="U6" s="175"/>
      <c r="W6" s="177"/>
    </row>
    <row r="7" s="19" customFormat="true" ht="24.75" hidden="false" customHeight="true" outlineLevel="0" collapsed="false">
      <c r="A7" s="180"/>
      <c r="B7" s="179" t="n">
        <v>13</v>
      </c>
      <c r="C7" s="181" t="s">
        <v>311</v>
      </c>
      <c r="D7" s="179" t="n">
        <v>150</v>
      </c>
      <c r="E7" s="182" t="n">
        <v>1812.51</v>
      </c>
      <c r="F7" s="183" t="n">
        <f aca="false">ROUND(((E7/220)*D7),2)</f>
        <v>1235.8</v>
      </c>
      <c r="G7" s="184"/>
      <c r="H7" s="185"/>
      <c r="I7" s="47" t="n">
        <v>0</v>
      </c>
      <c r="J7" s="47" t="n">
        <v>0</v>
      </c>
      <c r="K7" s="47"/>
      <c r="L7" s="47" t="n">
        <v>0</v>
      </c>
      <c r="M7" s="186" t="n">
        <f aca="false">F7+H7+L7</f>
        <v>1235.8</v>
      </c>
      <c r="N7" s="183" t="n">
        <f aca="false">Unif!H24</f>
        <v>42.5</v>
      </c>
      <c r="O7" s="183"/>
      <c r="P7" s="183"/>
      <c r="Q7" s="183"/>
      <c r="R7" s="183"/>
      <c r="S7" s="183"/>
      <c r="T7" s="183"/>
      <c r="U7" s="37" t="n">
        <v>1</v>
      </c>
      <c r="W7" s="177"/>
    </row>
    <row r="8" s="19" customFormat="true" ht="24" hidden="false" customHeight="true" outlineLevel="0" collapsed="false">
      <c r="A8" s="180"/>
      <c r="B8" s="179" t="n">
        <v>1</v>
      </c>
      <c r="C8" s="181" t="s">
        <v>312</v>
      </c>
      <c r="D8" s="179" t="n">
        <v>150</v>
      </c>
      <c r="E8" s="182" t="n">
        <v>2403.72</v>
      </c>
      <c r="F8" s="183" t="n">
        <f aca="false">ROUND(((E8/220)*D8),2)</f>
        <v>1638.9</v>
      </c>
      <c r="G8" s="187" t="n">
        <v>0</v>
      </c>
      <c r="H8" s="47" t="n">
        <v>0</v>
      </c>
      <c r="I8" s="188"/>
      <c r="J8" s="188"/>
      <c r="K8" s="189"/>
      <c r="L8" s="190"/>
      <c r="M8" s="186" t="n">
        <f aca="false">F8+H8+L8</f>
        <v>1638.9</v>
      </c>
      <c r="N8" s="183" t="n">
        <f aca="false">Unif!H59</f>
        <v>38.98</v>
      </c>
      <c r="O8" s="183"/>
      <c r="P8" s="183"/>
      <c r="Q8" s="183"/>
      <c r="R8" s="183"/>
      <c r="S8" s="183"/>
      <c r="T8" s="183"/>
      <c r="U8" s="37" t="n">
        <v>1</v>
      </c>
      <c r="W8" s="177"/>
    </row>
    <row r="9" s="19" customFormat="true" ht="24" hidden="false" customHeight="true" outlineLevel="0" collapsed="false">
      <c r="A9" s="180"/>
      <c r="B9" s="179" t="n">
        <v>1</v>
      </c>
      <c r="C9" s="181" t="s">
        <v>312</v>
      </c>
      <c r="D9" s="179" t="n">
        <v>220</v>
      </c>
      <c r="E9" s="182" t="n">
        <v>2403.72</v>
      </c>
      <c r="F9" s="183" t="n">
        <f aca="false">ROUND(((E9/220)*D9),2)</f>
        <v>2403.72</v>
      </c>
      <c r="G9" s="187"/>
      <c r="H9" s="47"/>
      <c r="I9" s="188"/>
      <c r="J9" s="188"/>
      <c r="K9" s="189"/>
      <c r="L9" s="191"/>
      <c r="M9" s="186" t="n">
        <f aca="false">F9+H9+L9</f>
        <v>2403.72</v>
      </c>
      <c r="N9" s="183" t="n">
        <f aca="false">Unif!H59</f>
        <v>38.98</v>
      </c>
      <c r="O9" s="183"/>
      <c r="P9" s="183"/>
      <c r="Q9" s="183"/>
      <c r="R9" s="183"/>
      <c r="S9" s="183"/>
      <c r="T9" s="183"/>
      <c r="U9" s="37" t="n">
        <v>1</v>
      </c>
      <c r="W9" s="177"/>
    </row>
    <row r="10" s="19" customFormat="true" ht="24" hidden="false" customHeight="true" outlineLevel="0" collapsed="false">
      <c r="A10" s="180"/>
      <c r="B10" s="179" t="n">
        <v>1</v>
      </c>
      <c r="C10" s="181" t="s">
        <v>313</v>
      </c>
      <c r="D10" s="179" t="n">
        <v>150</v>
      </c>
      <c r="E10" s="182" t="n">
        <v>2175.03</v>
      </c>
      <c r="F10" s="183" t="n">
        <f aca="false">ROUND(((E10/220)*D10),2)</f>
        <v>1482.98</v>
      </c>
      <c r="G10" s="187"/>
      <c r="H10" s="47"/>
      <c r="I10" s="188"/>
      <c r="J10" s="188"/>
      <c r="K10" s="189"/>
      <c r="L10" s="191"/>
      <c r="M10" s="186" t="n">
        <f aca="false">F10+H10+L10</f>
        <v>1482.98</v>
      </c>
      <c r="N10" s="183" t="n">
        <f aca="false">Unif!H33</f>
        <v>45.31</v>
      </c>
      <c r="O10" s="183"/>
      <c r="P10" s="183"/>
      <c r="Q10" s="183"/>
      <c r="R10" s="183"/>
      <c r="S10" s="183"/>
      <c r="T10" s="183"/>
      <c r="U10" s="37" t="n">
        <v>4</v>
      </c>
      <c r="W10" s="177"/>
    </row>
    <row r="11" s="19" customFormat="true" ht="24" hidden="false" customHeight="true" outlineLevel="0" collapsed="false">
      <c r="A11" s="180"/>
      <c r="B11" s="179" t="n">
        <v>1</v>
      </c>
      <c r="C11" s="181" t="s">
        <v>314</v>
      </c>
      <c r="D11" s="179" t="n">
        <v>150</v>
      </c>
      <c r="E11" s="182" t="n">
        <v>2006.13</v>
      </c>
      <c r="F11" s="183" t="n">
        <f aca="false">ROUND(((E11/220)*D11),2)</f>
        <v>1367.82</v>
      </c>
      <c r="G11" s="187"/>
      <c r="H11" s="47"/>
      <c r="I11" s="188"/>
      <c r="J11" s="188"/>
      <c r="K11" s="189"/>
      <c r="L11" s="191"/>
      <c r="M11" s="186" t="n">
        <f aca="false">F11+H11+L11</f>
        <v>1367.82</v>
      </c>
      <c r="N11" s="183" t="n">
        <f aca="false">Unif!H51</f>
        <v>30.93</v>
      </c>
      <c r="O11" s="183"/>
      <c r="P11" s="183"/>
      <c r="Q11" s="183"/>
      <c r="R11" s="183" t="n">
        <f aca="false">ROUND((Mat!$G$102/$R$6),2)</f>
        <v>157.1</v>
      </c>
      <c r="S11" s="183"/>
      <c r="T11" s="183" t="n">
        <f aca="false">Equip!$G$38</f>
        <v>29.52</v>
      </c>
      <c r="U11" s="37" t="n">
        <v>2</v>
      </c>
      <c r="W11" s="177"/>
    </row>
    <row r="12" s="19" customFormat="true" ht="24" hidden="false" customHeight="true" outlineLevel="0" collapsed="false">
      <c r="A12" s="180"/>
      <c r="B12" s="179" t="n">
        <v>2</v>
      </c>
      <c r="C12" s="181" t="s">
        <v>315</v>
      </c>
      <c r="D12" s="179" t="n">
        <v>220</v>
      </c>
      <c r="E12" s="182" t="n">
        <v>1596.68</v>
      </c>
      <c r="F12" s="183" t="n">
        <f aca="false">ROUND(((E12/220)*D12),2)</f>
        <v>1596.68</v>
      </c>
      <c r="G12" s="192" t="n">
        <v>0.3</v>
      </c>
      <c r="H12" s="183" t="n">
        <f aca="false">F12*G12</f>
        <v>479.004</v>
      </c>
      <c r="I12" s="188"/>
      <c r="J12" s="188"/>
      <c r="K12" s="189"/>
      <c r="L12" s="191"/>
      <c r="M12" s="186" t="n">
        <f aca="false">F12+H12+L12</f>
        <v>2075.684</v>
      </c>
      <c r="N12" s="183" t="n">
        <f aca="false">Unif!H16</f>
        <v>31.46</v>
      </c>
      <c r="O12" s="183"/>
      <c r="P12" s="183" t="n">
        <f aca="false">ROUND((Mat!$G$73/$P$6),2)</f>
        <v>55.19</v>
      </c>
      <c r="Q12" s="183"/>
      <c r="R12" s="183"/>
      <c r="S12" s="183"/>
      <c r="T12" s="183"/>
      <c r="U12" s="37" t="n">
        <v>2</v>
      </c>
      <c r="W12" s="177"/>
    </row>
    <row r="13" s="19" customFormat="true" ht="24" hidden="false" customHeight="true" outlineLevel="0" collapsed="false">
      <c r="A13" s="180"/>
      <c r="B13" s="179" t="n">
        <v>4</v>
      </c>
      <c r="C13" s="181" t="s">
        <v>316</v>
      </c>
      <c r="D13" s="179" t="n">
        <v>220</v>
      </c>
      <c r="E13" s="182" t="n">
        <v>1487.89</v>
      </c>
      <c r="F13" s="183" t="n">
        <f aca="false">ROUND(((E13/220)*D13),2)</f>
        <v>1487.89</v>
      </c>
      <c r="G13" s="187"/>
      <c r="H13" s="47"/>
      <c r="I13" s="188"/>
      <c r="J13" s="188"/>
      <c r="K13" s="189"/>
      <c r="L13" s="191"/>
      <c r="M13" s="186" t="n">
        <f aca="false">F13+H13+L13</f>
        <v>1487.89</v>
      </c>
      <c r="N13" s="183" t="n">
        <f aca="false">Unif!H16</f>
        <v>31.46</v>
      </c>
      <c r="O13" s="183" t="n">
        <f aca="false">ROUND((Mat!$G$64/$O$6),2)</f>
        <v>1317.56</v>
      </c>
      <c r="P13" s="183"/>
      <c r="Q13" s="183"/>
      <c r="R13" s="183"/>
      <c r="S13" s="183"/>
      <c r="T13" s="183" t="n">
        <f aca="false">ROUND((Equip!$G$20/$T$6),2)</f>
        <v>44.82</v>
      </c>
      <c r="U13" s="37" t="n">
        <v>2</v>
      </c>
      <c r="W13" s="177"/>
    </row>
    <row r="14" s="19" customFormat="true" ht="24" hidden="false" customHeight="true" outlineLevel="0" collapsed="false">
      <c r="A14" s="180"/>
      <c r="B14" s="179" t="n">
        <v>2</v>
      </c>
      <c r="C14" s="181" t="s">
        <v>317</v>
      </c>
      <c r="D14" s="179" t="n">
        <v>150</v>
      </c>
      <c r="E14" s="182" t="n">
        <v>1487.89</v>
      </c>
      <c r="F14" s="183" t="n">
        <f aca="false">ROUND(((E14/220)*D14),2)</f>
        <v>1014.47</v>
      </c>
      <c r="G14" s="192" t="n">
        <v>0.4</v>
      </c>
      <c r="H14" s="183" t="n">
        <f aca="false">G14*G34</f>
        <v>528</v>
      </c>
      <c r="I14" s="188"/>
      <c r="J14" s="188"/>
      <c r="K14" s="189"/>
      <c r="L14" s="191"/>
      <c r="M14" s="186" t="n">
        <f aca="false">F14+H14+L14</f>
        <v>1542.47</v>
      </c>
      <c r="N14" s="183" t="n">
        <f aca="false">Unif!H16</f>
        <v>31.46</v>
      </c>
      <c r="O14" s="183" t="n">
        <f aca="false">ROUND((Mat!$G$64/$O$6),2)</f>
        <v>1317.56</v>
      </c>
      <c r="P14" s="183"/>
      <c r="Q14" s="183"/>
      <c r="R14" s="183"/>
      <c r="S14" s="183"/>
      <c r="T14" s="183" t="n">
        <f aca="false">ROUND((Equip!$G$20/$T$6),2)</f>
        <v>44.82</v>
      </c>
      <c r="U14" s="37" t="n">
        <v>2</v>
      </c>
      <c r="W14" s="177"/>
    </row>
    <row r="15" s="19" customFormat="true" ht="24" hidden="false" customHeight="true" outlineLevel="0" collapsed="false">
      <c r="A15" s="180"/>
      <c r="B15" s="179" t="n">
        <v>1</v>
      </c>
      <c r="C15" s="181" t="s">
        <v>318</v>
      </c>
      <c r="D15" s="179" t="n">
        <v>220</v>
      </c>
      <c r="E15" s="182" t="n">
        <v>1625.4</v>
      </c>
      <c r="F15" s="183" t="n">
        <f aca="false">ROUND(((E15/220)*D15),2)</f>
        <v>1625.4</v>
      </c>
      <c r="G15" s="187"/>
      <c r="H15" s="47"/>
      <c r="I15" s="193" t="n">
        <v>0.12</v>
      </c>
      <c r="J15" s="193" t="n">
        <v>0.25</v>
      </c>
      <c r="K15" s="194" t="n">
        <f aca="false">F15</f>
        <v>1625.4</v>
      </c>
      <c r="L15" s="191" t="n">
        <f aca="false">ROUND((K15*I15*J15),2)</f>
        <v>48.76</v>
      </c>
      <c r="M15" s="186" t="n">
        <f aca="false">F15+H15+L15</f>
        <v>1674.16</v>
      </c>
      <c r="N15" s="183" t="n">
        <f aca="false">Unif!H33</f>
        <v>45.31</v>
      </c>
      <c r="O15" s="183"/>
      <c r="P15" s="183"/>
      <c r="Q15" s="183"/>
      <c r="R15" s="183"/>
      <c r="S15" s="183" t="n">
        <f aca="false">ROUND((Mat!$G$112/$S$6),2)</f>
        <v>83.25</v>
      </c>
      <c r="T15" s="183"/>
      <c r="U15" s="37" t="n">
        <v>2</v>
      </c>
      <c r="W15" s="177"/>
    </row>
    <row r="16" s="19" customFormat="true" ht="24" hidden="false" customHeight="true" outlineLevel="0" collapsed="false">
      <c r="A16" s="180"/>
      <c r="B16" s="179" t="n">
        <v>1</v>
      </c>
      <c r="C16" s="181" t="s">
        <v>319</v>
      </c>
      <c r="D16" s="179" t="n">
        <v>220</v>
      </c>
      <c r="E16" s="182" t="n">
        <v>2312.73</v>
      </c>
      <c r="F16" s="183" t="n">
        <f aca="false">ROUND(((E16/220)*D16),2)</f>
        <v>2312.73</v>
      </c>
      <c r="G16" s="187"/>
      <c r="H16" s="47"/>
      <c r="I16" s="188"/>
      <c r="J16" s="188"/>
      <c r="K16" s="189"/>
      <c r="L16" s="191"/>
      <c r="M16" s="186" t="n">
        <f aca="false">F16+H16+L16</f>
        <v>2312.73</v>
      </c>
      <c r="N16" s="183" t="n">
        <f aca="false">Unif!H67</f>
        <v>49.97</v>
      </c>
      <c r="O16" s="183"/>
      <c r="P16" s="183"/>
      <c r="Q16" s="183"/>
      <c r="R16" s="183"/>
      <c r="S16" s="183"/>
      <c r="T16" s="183"/>
      <c r="U16" s="37" t="n">
        <v>1</v>
      </c>
      <c r="W16" s="177"/>
    </row>
    <row r="17" s="19" customFormat="true" ht="24" hidden="false" customHeight="true" outlineLevel="0" collapsed="false">
      <c r="A17" s="180"/>
      <c r="B17" s="179" t="n">
        <v>1</v>
      </c>
      <c r="C17" s="181" t="s">
        <v>320</v>
      </c>
      <c r="D17" s="179" t="n">
        <v>220</v>
      </c>
      <c r="E17" s="182" t="n">
        <v>1400.25</v>
      </c>
      <c r="F17" s="183" t="n">
        <f aca="false">ROUND(((E17/220)*D17),2)</f>
        <v>1400.25</v>
      </c>
      <c r="G17" s="187"/>
      <c r="H17" s="47"/>
      <c r="I17" s="188"/>
      <c r="J17" s="188"/>
      <c r="K17" s="189"/>
      <c r="L17" s="191"/>
      <c r="M17" s="186" t="n">
        <f aca="false">F17+H17+L17</f>
        <v>1400.25</v>
      </c>
      <c r="N17" s="183" t="n">
        <f aca="false">Unif!H42</f>
        <v>48.92</v>
      </c>
      <c r="O17" s="183"/>
      <c r="P17" s="183"/>
      <c r="Q17" s="183" t="n">
        <f aca="false">ROUND((Mat!$G$85/$Q$6),2)</f>
        <v>134.47</v>
      </c>
      <c r="R17" s="183"/>
      <c r="S17" s="183"/>
      <c r="T17" s="183"/>
      <c r="U17" s="37" t="n">
        <v>5</v>
      </c>
      <c r="W17" s="177"/>
    </row>
    <row r="18" customFormat="false" ht="34.5" hidden="false" customHeight="true" outlineLevel="0" collapsed="false">
      <c r="A18" s="195" t="s">
        <v>321</v>
      </c>
      <c r="B18" s="2"/>
      <c r="C18" s="2"/>
      <c r="D18" s="195"/>
      <c r="F18" s="195"/>
      <c r="G18" s="195" t="s">
        <v>322</v>
      </c>
      <c r="H18" s="195"/>
      <c r="I18" s="195"/>
      <c r="J18" s="195"/>
      <c r="K18" s="171"/>
      <c r="L18" s="196" t="s">
        <v>323</v>
      </c>
      <c r="M18" s="197" t="n">
        <f aca="false">SUM(M7:M17)</f>
        <v>18622.404</v>
      </c>
      <c r="N18" s="171"/>
      <c r="O18" s="171"/>
      <c r="P18" s="171"/>
      <c r="Q18" s="171"/>
      <c r="R18" s="171"/>
      <c r="S18" s="171"/>
      <c r="T18" s="171"/>
      <c r="U18" s="171"/>
    </row>
    <row r="19" customFormat="false" ht="24.75" hidden="false" customHeight="true" outlineLevel="0" collapsed="false">
      <c r="A19" s="198" t="s">
        <v>324</v>
      </c>
      <c r="B19" s="198"/>
      <c r="C19" s="198"/>
      <c r="D19" s="198"/>
      <c r="E19" s="198"/>
      <c r="F19" s="198"/>
      <c r="G19" s="198"/>
      <c r="N19" s="171"/>
      <c r="O19" s="171"/>
      <c r="P19" s="171"/>
      <c r="Q19" s="171"/>
      <c r="R19" s="171"/>
      <c r="S19" s="171"/>
      <c r="T19" s="171"/>
      <c r="U19" s="171"/>
    </row>
    <row r="20" customFormat="false" ht="24" hidden="false" customHeight="true" outlineLevel="0" collapsed="false">
      <c r="A20" s="199" t="n">
        <v>1</v>
      </c>
      <c r="B20" s="200" t="s">
        <v>325</v>
      </c>
      <c r="C20" s="200"/>
      <c r="D20" s="200"/>
      <c r="E20" s="201" t="s">
        <v>326</v>
      </c>
      <c r="F20" s="201"/>
      <c r="G20" s="201"/>
      <c r="H20" s="16" t="s">
        <v>327</v>
      </c>
      <c r="N20" s="171"/>
      <c r="O20" s="171"/>
      <c r="P20" s="171"/>
      <c r="Q20" s="171"/>
      <c r="R20" s="171"/>
      <c r="S20" s="171"/>
      <c r="T20" s="171"/>
      <c r="U20" s="65"/>
    </row>
    <row r="21" customFormat="false" ht="24" hidden="false" customHeight="true" outlineLevel="0" collapsed="false">
      <c r="A21" s="199" t="n">
        <v>2</v>
      </c>
      <c r="B21" s="200" t="s">
        <v>328</v>
      </c>
      <c r="C21" s="200"/>
      <c r="D21" s="200"/>
      <c r="E21" s="201" t="s">
        <v>329</v>
      </c>
      <c r="F21" s="201"/>
      <c r="G21" s="201"/>
      <c r="H21" s="16" t="s">
        <v>330</v>
      </c>
      <c r="N21" s="171"/>
      <c r="O21" s="171"/>
      <c r="P21" s="171"/>
      <c r="Q21" s="171"/>
      <c r="R21" s="171"/>
      <c r="S21" s="171"/>
      <c r="T21" s="171"/>
      <c r="U21" s="65"/>
    </row>
    <row r="22" customFormat="false" ht="24" hidden="false" customHeight="true" outlineLevel="0" collapsed="false">
      <c r="A22" s="199" t="n">
        <v>3</v>
      </c>
      <c r="B22" s="200" t="s">
        <v>331</v>
      </c>
      <c r="C22" s="200"/>
      <c r="D22" s="200"/>
      <c r="E22" s="201" t="s">
        <v>332</v>
      </c>
      <c r="F22" s="201"/>
      <c r="G22" s="201"/>
      <c r="H22" s="16" t="s">
        <v>333</v>
      </c>
      <c r="N22" s="171"/>
      <c r="O22" s="171"/>
      <c r="P22" s="171"/>
      <c r="Q22" s="171"/>
      <c r="R22" s="171"/>
      <c r="S22" s="171"/>
      <c r="T22" s="171"/>
      <c r="U22" s="65"/>
    </row>
    <row r="23" customFormat="false" ht="24" hidden="false" customHeight="true" outlineLevel="0" collapsed="false">
      <c r="A23" s="199" t="n">
        <v>4</v>
      </c>
      <c r="B23" s="200" t="s">
        <v>334</v>
      </c>
      <c r="C23" s="200"/>
      <c r="D23" s="200"/>
      <c r="E23" s="201" t="s">
        <v>335</v>
      </c>
      <c r="F23" s="201"/>
      <c r="G23" s="201"/>
      <c r="H23" s="16" t="s">
        <v>336</v>
      </c>
      <c r="N23" s="171"/>
      <c r="O23" s="171"/>
      <c r="P23" s="171"/>
      <c r="Q23" s="171"/>
      <c r="R23" s="171"/>
      <c r="S23" s="171"/>
      <c r="T23" s="171"/>
      <c r="U23" s="65"/>
    </row>
    <row r="24" customFormat="false" ht="24" hidden="false" customHeight="true" outlineLevel="0" collapsed="false">
      <c r="A24" s="199" t="n">
        <v>5</v>
      </c>
      <c r="B24" s="200" t="s">
        <v>337</v>
      </c>
      <c r="C24" s="200"/>
      <c r="D24" s="200"/>
      <c r="E24" s="201" t="s">
        <v>338</v>
      </c>
      <c r="F24" s="201"/>
      <c r="G24" s="201"/>
      <c r="H24" s="16" t="s">
        <v>339</v>
      </c>
      <c r="N24" s="171"/>
      <c r="O24" s="171"/>
      <c r="P24" s="171"/>
      <c r="Q24" s="171"/>
      <c r="R24" s="171"/>
      <c r="S24" s="171"/>
      <c r="T24" s="171"/>
      <c r="U24" s="65"/>
    </row>
    <row r="25" s="1" customFormat="true" ht="12.75" hidden="false" customHeight="true" outlineLevel="0" collapsed="false">
      <c r="A25" s="202"/>
      <c r="H25" s="16"/>
    </row>
    <row r="26" s="65" customFormat="true" ht="24.75" hidden="false" customHeight="true" outlineLevel="0" collapsed="false">
      <c r="A26" s="198" t="s">
        <v>340</v>
      </c>
      <c r="B26" s="198"/>
      <c r="C26" s="198"/>
      <c r="D26" s="198"/>
      <c r="E26" s="198"/>
      <c r="F26" s="198"/>
      <c r="G26" s="198"/>
      <c r="H26" s="16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</row>
    <row r="27" s="1" customFormat="true" ht="24" hidden="false" customHeight="true" outlineLevel="0" collapsed="false">
      <c r="A27" s="199" t="s">
        <v>341</v>
      </c>
      <c r="B27" s="200" t="s">
        <v>342</v>
      </c>
      <c r="C27" s="200"/>
      <c r="D27" s="200"/>
      <c r="E27" s="200"/>
      <c r="F27" s="200"/>
      <c r="G27" s="192" t="n">
        <f aca="false">Encargos!C57</f>
        <v>0.7905</v>
      </c>
      <c r="H27" s="16"/>
    </row>
    <row r="28" s="1" customFormat="true" ht="12.75" hidden="false" customHeight="true" outlineLevel="0" collapsed="false">
      <c r="A28" s="202"/>
      <c r="G28" s="2"/>
      <c r="H28" s="16"/>
    </row>
    <row r="29" s="1" customFormat="true" ht="24.75" hidden="false" customHeight="true" outlineLevel="0" collapsed="false">
      <c r="A29" s="140" t="n">
        <v>1</v>
      </c>
      <c r="B29" s="200" t="s">
        <v>343</v>
      </c>
      <c r="C29" s="200"/>
      <c r="D29" s="200"/>
      <c r="E29" s="200"/>
      <c r="F29" s="200"/>
      <c r="G29" s="203" t="n">
        <f aca="false">G30*G31</f>
        <v>0.06</v>
      </c>
      <c r="H29" s="16"/>
    </row>
    <row r="30" s="1" customFormat="true" ht="24.75" hidden="false" customHeight="true" outlineLevel="0" collapsed="false">
      <c r="A30" s="140" t="n">
        <v>2</v>
      </c>
      <c r="B30" s="200" t="s">
        <v>344</v>
      </c>
      <c r="C30" s="200"/>
      <c r="D30" s="200"/>
      <c r="E30" s="200"/>
      <c r="F30" s="200"/>
      <c r="G30" s="204" t="n">
        <v>0.03</v>
      </c>
      <c r="H30" s="16" t="s">
        <v>345</v>
      </c>
    </row>
    <row r="31" s="1" customFormat="true" ht="24.75" hidden="false" customHeight="true" outlineLevel="0" collapsed="false">
      <c r="A31" s="140" t="n">
        <v>3</v>
      </c>
      <c r="B31" s="200" t="s">
        <v>346</v>
      </c>
      <c r="C31" s="200"/>
      <c r="D31" s="200"/>
      <c r="E31" s="200"/>
      <c r="F31" s="200"/>
      <c r="G31" s="205" t="n">
        <v>2</v>
      </c>
      <c r="H31" s="16" t="s">
        <v>347</v>
      </c>
    </row>
    <row r="32" s="1" customFormat="true" ht="12.75" hidden="false" customHeight="true" outlineLevel="0" collapsed="false">
      <c r="A32" s="202"/>
      <c r="B32" s="171"/>
      <c r="C32" s="171"/>
      <c r="D32" s="171"/>
      <c r="E32" s="171"/>
      <c r="F32" s="171"/>
      <c r="H32" s="16"/>
    </row>
    <row r="33" s="1" customFormat="true" ht="24.75" hidden="false" customHeight="true" outlineLevel="0" collapsed="false">
      <c r="A33" s="198" t="s">
        <v>348</v>
      </c>
      <c r="B33" s="198"/>
      <c r="C33" s="198"/>
      <c r="D33" s="198"/>
      <c r="E33" s="198"/>
      <c r="F33" s="198"/>
      <c r="G33" s="198"/>
      <c r="H33" s="16"/>
    </row>
    <row r="34" s="1" customFormat="true" ht="24.75" hidden="false" customHeight="true" outlineLevel="0" collapsed="false">
      <c r="A34" s="140" t="n">
        <v>1</v>
      </c>
      <c r="B34" s="200" t="s">
        <v>349</v>
      </c>
      <c r="C34" s="200"/>
      <c r="D34" s="200"/>
      <c r="E34" s="200"/>
      <c r="F34" s="200"/>
      <c r="G34" s="182" t="n">
        <v>1320</v>
      </c>
      <c r="H34" s="16" t="s">
        <v>350</v>
      </c>
    </row>
    <row r="35" s="1" customFormat="true" ht="12.75" hidden="false" customHeight="true" outlineLevel="0" collapsed="false">
      <c r="A35" s="206"/>
      <c r="B35" s="207"/>
      <c r="C35" s="207"/>
      <c r="D35" s="207"/>
      <c r="E35" s="207"/>
      <c r="F35" s="207"/>
      <c r="G35" s="208"/>
      <c r="H35" s="16"/>
    </row>
    <row r="36" s="65" customFormat="true" ht="24.75" hidden="false" customHeight="true" outlineLevel="0" collapsed="false">
      <c r="A36" s="198" t="s">
        <v>351</v>
      </c>
      <c r="B36" s="198"/>
      <c r="C36" s="198"/>
      <c r="D36" s="198"/>
      <c r="E36" s="198"/>
      <c r="F36" s="198"/>
      <c r="G36" s="198"/>
      <c r="H36" s="16"/>
      <c r="I36" s="1"/>
      <c r="J36" s="1"/>
      <c r="K36" s="171"/>
      <c r="L36" s="171"/>
      <c r="M36" s="171"/>
      <c r="N36" s="171"/>
      <c r="O36" s="171"/>
      <c r="P36" s="171"/>
      <c r="Q36" s="171"/>
      <c r="R36" s="171"/>
      <c r="S36" s="171"/>
      <c r="T36" s="171"/>
    </row>
    <row r="37" s="1" customFormat="true" ht="26.25" hidden="false" customHeight="true" outlineLevel="0" collapsed="false">
      <c r="A37" s="199" t="n">
        <v>1</v>
      </c>
      <c r="B37" s="200" t="s">
        <v>352</v>
      </c>
      <c r="C37" s="200"/>
      <c r="D37" s="200"/>
      <c r="E37" s="200"/>
      <c r="F37" s="200"/>
      <c r="G37" s="209" t="n">
        <v>1.55</v>
      </c>
      <c r="H37" s="16" t="s">
        <v>353</v>
      </c>
    </row>
    <row r="38" s="1" customFormat="true" ht="26.25" hidden="false" customHeight="true" outlineLevel="0" collapsed="false">
      <c r="A38" s="210" t="n">
        <v>2</v>
      </c>
      <c r="B38" s="200" t="s">
        <v>354</v>
      </c>
      <c r="C38" s="200"/>
      <c r="D38" s="200"/>
      <c r="E38" s="200"/>
      <c r="F38" s="200"/>
      <c r="G38" s="205" t="n">
        <v>50.36</v>
      </c>
      <c r="H38" s="16" t="s">
        <v>353</v>
      </c>
    </row>
    <row r="39" s="1" customFormat="true" ht="26.25" hidden="false" customHeight="true" outlineLevel="0" collapsed="false">
      <c r="A39" s="199" t="n">
        <v>3</v>
      </c>
      <c r="B39" s="211" t="s">
        <v>355</v>
      </c>
      <c r="C39" s="211"/>
      <c r="D39" s="212" t="s">
        <v>356</v>
      </c>
      <c r="E39" s="212"/>
      <c r="F39" s="212"/>
      <c r="G39" s="213" t="n">
        <v>3.75</v>
      </c>
      <c r="H39" s="214" t="s">
        <v>357</v>
      </c>
      <c r="I39" s="171"/>
      <c r="O39" s="67"/>
      <c r="P39" s="67"/>
      <c r="Q39" s="67"/>
    </row>
    <row r="40" s="1" customFormat="true" ht="26.25" hidden="false" customHeight="true" outlineLevel="0" collapsed="false">
      <c r="A40" s="199"/>
      <c r="B40" s="211"/>
      <c r="C40" s="211"/>
      <c r="D40" s="212" t="s">
        <v>358</v>
      </c>
      <c r="E40" s="212"/>
      <c r="F40" s="212"/>
      <c r="G40" s="213" t="n">
        <v>2</v>
      </c>
      <c r="H40" s="214" t="s">
        <v>359</v>
      </c>
      <c r="I40" s="171"/>
      <c r="O40" s="67"/>
      <c r="P40" s="67"/>
      <c r="Q40" s="67"/>
    </row>
    <row r="41" s="1" customFormat="true" ht="26.25" hidden="false" customHeight="true" outlineLevel="0" collapsed="false">
      <c r="A41" s="199"/>
      <c r="B41" s="211"/>
      <c r="C41" s="211"/>
      <c r="D41" s="212" t="s">
        <v>360</v>
      </c>
      <c r="E41" s="212"/>
      <c r="F41" s="212"/>
      <c r="G41" s="215" t="n">
        <v>22</v>
      </c>
      <c r="H41" s="16" t="s">
        <v>361</v>
      </c>
      <c r="I41" s="171"/>
      <c r="O41" s="67"/>
      <c r="P41" s="67"/>
      <c r="Q41" s="67"/>
    </row>
    <row r="42" customFormat="false" ht="26.25" hidden="false" customHeight="true" outlineLevel="0" collapsed="false">
      <c r="A42" s="199"/>
      <c r="B42" s="211"/>
      <c r="C42" s="211"/>
      <c r="D42" s="216" t="s">
        <v>362</v>
      </c>
      <c r="E42" s="216"/>
      <c r="F42" s="216"/>
      <c r="G42" s="217" t="n">
        <v>0.06</v>
      </c>
      <c r="H42" s="214" t="s">
        <v>363</v>
      </c>
      <c r="O42" s="67"/>
      <c r="P42" s="67"/>
      <c r="Q42" s="67"/>
    </row>
    <row r="43" s="1" customFormat="true" ht="29.25" hidden="false" customHeight="true" outlineLevel="0" collapsed="false">
      <c r="A43" s="199" t="n">
        <v>4</v>
      </c>
      <c r="B43" s="211" t="s">
        <v>364</v>
      </c>
      <c r="C43" s="211"/>
      <c r="D43" s="216" t="s">
        <v>365</v>
      </c>
      <c r="E43" s="216"/>
      <c r="F43" s="216"/>
      <c r="G43" s="205" t="n">
        <v>26</v>
      </c>
      <c r="H43" s="214" t="s">
        <v>366</v>
      </c>
      <c r="I43" s="171"/>
    </row>
    <row r="44" s="1" customFormat="true" ht="29.25" hidden="false" customHeight="true" outlineLevel="0" collapsed="false">
      <c r="A44" s="199"/>
      <c r="B44" s="211"/>
      <c r="C44" s="211"/>
      <c r="D44" s="216" t="s">
        <v>367</v>
      </c>
      <c r="E44" s="216"/>
      <c r="F44" s="216"/>
      <c r="G44" s="205" t="n">
        <v>15.6</v>
      </c>
      <c r="H44" s="214"/>
      <c r="I44" s="171"/>
    </row>
    <row r="45" customFormat="false" ht="26.25" hidden="false" customHeight="true" outlineLevel="0" collapsed="false">
      <c r="A45" s="199"/>
      <c r="B45" s="211"/>
      <c r="C45" s="211"/>
      <c r="D45" s="212" t="s">
        <v>360</v>
      </c>
      <c r="E45" s="212"/>
      <c r="F45" s="212"/>
      <c r="G45" s="215" t="n">
        <f aca="false">G41</f>
        <v>22</v>
      </c>
      <c r="H45" s="16" t="s">
        <v>361</v>
      </c>
      <c r="I45" s="218"/>
      <c r="J45" s="218"/>
      <c r="K45" s="171"/>
      <c r="O45" s="67"/>
      <c r="P45" s="67"/>
      <c r="Q45" s="67"/>
    </row>
    <row r="46" s="1" customFormat="true" ht="26.25" hidden="false" customHeight="true" outlineLevel="0" collapsed="false">
      <c r="A46" s="199"/>
      <c r="B46" s="211"/>
      <c r="C46" s="211"/>
      <c r="D46" s="216" t="s">
        <v>362</v>
      </c>
      <c r="E46" s="216"/>
      <c r="F46" s="216"/>
      <c r="G46" s="204" t="n">
        <v>0.2</v>
      </c>
      <c r="H46" s="214" t="s">
        <v>363</v>
      </c>
      <c r="O46" s="67"/>
      <c r="P46" s="67"/>
      <c r="Q46" s="67"/>
    </row>
    <row r="47" s="1" customFormat="true" ht="26.25" hidden="false" customHeight="true" outlineLevel="0" collapsed="false">
      <c r="A47" s="199" t="n">
        <v>5</v>
      </c>
      <c r="B47" s="219" t="s">
        <v>368</v>
      </c>
      <c r="C47" s="219"/>
      <c r="D47" s="219"/>
      <c r="E47" s="219"/>
      <c r="F47" s="219"/>
      <c r="G47" s="205" t="n">
        <v>0</v>
      </c>
      <c r="H47" s="16" t="s">
        <v>369</v>
      </c>
      <c r="O47" s="67"/>
      <c r="P47" s="67"/>
      <c r="Q47" s="67"/>
    </row>
    <row r="48" s="1" customFormat="true" ht="26.25" hidden="false" customHeight="true" outlineLevel="0" collapsed="false">
      <c r="A48" s="199" t="n">
        <v>6</v>
      </c>
      <c r="B48" s="219" t="s">
        <v>368</v>
      </c>
      <c r="C48" s="219"/>
      <c r="D48" s="219"/>
      <c r="E48" s="219"/>
      <c r="F48" s="219"/>
      <c r="G48" s="205" t="n">
        <v>0</v>
      </c>
      <c r="H48" s="16" t="s">
        <v>369</v>
      </c>
    </row>
    <row r="49" s="1" customFormat="true" ht="12.75" hidden="false" customHeight="true" outlineLevel="0" collapsed="false">
      <c r="H49" s="16"/>
    </row>
    <row r="50" s="65" customFormat="true" ht="24.75" hidden="false" customHeight="true" outlineLevel="0" collapsed="false">
      <c r="A50" s="198" t="s">
        <v>370</v>
      </c>
      <c r="B50" s="198"/>
      <c r="C50" s="198"/>
      <c r="D50" s="198"/>
      <c r="E50" s="198"/>
      <c r="F50" s="198"/>
      <c r="G50" s="198"/>
      <c r="H50" s="16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</row>
    <row r="51" s="1" customFormat="true" ht="24.75" hidden="false" customHeight="true" outlineLevel="0" collapsed="false">
      <c r="A51" s="199" t="n">
        <v>1</v>
      </c>
      <c r="B51" s="200" t="s">
        <v>371</v>
      </c>
      <c r="C51" s="200"/>
      <c r="D51" s="200"/>
      <c r="E51" s="200"/>
      <c r="F51" s="200"/>
      <c r="G51" s="204" t="n">
        <v>0.03</v>
      </c>
      <c r="H51" s="16" t="s">
        <v>372</v>
      </c>
    </row>
    <row r="52" s="1" customFormat="true" ht="24.75" hidden="false" customHeight="true" outlineLevel="0" collapsed="false">
      <c r="A52" s="199" t="n">
        <v>2</v>
      </c>
      <c r="B52" s="200" t="s">
        <v>373</v>
      </c>
      <c r="C52" s="200"/>
      <c r="D52" s="200"/>
      <c r="E52" s="200"/>
      <c r="F52" s="200"/>
      <c r="G52" s="204" t="n">
        <v>0.0679</v>
      </c>
      <c r="H52" s="16" t="s">
        <v>372</v>
      </c>
    </row>
    <row r="53" s="1" customFormat="true" ht="12.75" hidden="false" customHeight="true" outlineLevel="0" collapsed="false">
      <c r="H53" s="16"/>
    </row>
    <row r="54" s="65" customFormat="true" ht="24.75" hidden="false" customHeight="true" outlineLevel="0" collapsed="false">
      <c r="A54" s="198" t="s">
        <v>374</v>
      </c>
      <c r="B54" s="198"/>
      <c r="C54" s="198"/>
      <c r="D54" s="198"/>
      <c r="E54" s="198"/>
      <c r="F54" s="198"/>
      <c r="G54" s="198"/>
      <c r="H54" s="16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</row>
    <row r="55" s="65" customFormat="true" ht="24.75" hidden="false" customHeight="true" outlineLevel="0" collapsed="false">
      <c r="A55" s="176" t="s">
        <v>375</v>
      </c>
      <c r="B55" s="220" t="str">
        <f aca="false">IF(F58="LUCRO REAL","INFORMAR ALÍQUOTAS MÉDIAS DE RECOLHIMENTO DOS ÚLTIMOS 12 (DOZE) MESES.",IF(F58="LUCRO PRESUMIDO","ALÍQUOTAS FIXAS - PIS: 0,65%; COFINS: 3,00%.",IF(F58="SIMPLES NACIONAL","NECESSÁRIO COMUNICAR A EXCLUSÃO DO SIMPLES NACIONAL - REGIME DE CONTRATAÇÃO INCOMPATÍVEL COM A LEI 123/2003. DEFINIR OUTRO REGIME TRIBUTÁRIO PARA O PRESENTE PROCESSO, OU APRESENTAR AS JUSTIFICATIVAS LEGAIS.","INFORMAR ALÍQUOTA E APRESENTAR AS JUSTIFICATIVAS LEGAIS.")))</f>
        <v>INFORMAR ALÍQUOTAS MÉDIAS DE RECOLHIMENTO DOS ÚLTIMOS 12 (DOZE) MESES.</v>
      </c>
      <c r="C55" s="220"/>
      <c r="D55" s="220"/>
      <c r="E55" s="220"/>
      <c r="F55" s="220"/>
      <c r="G55" s="220"/>
      <c r="H55" s="16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</row>
    <row r="56" s="65" customFormat="true" ht="24.75" hidden="false" customHeight="true" outlineLevel="0" collapsed="false">
      <c r="A56" s="176"/>
      <c r="B56" s="176"/>
      <c r="C56" s="220"/>
      <c r="D56" s="220"/>
      <c r="E56" s="220"/>
      <c r="F56" s="220"/>
      <c r="G56" s="220"/>
      <c r="H56" s="16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</row>
    <row r="57" s="65" customFormat="true" ht="24.75" hidden="false" customHeight="true" outlineLevel="0" collapsed="false">
      <c r="A57" s="176"/>
      <c r="B57" s="176"/>
      <c r="C57" s="220"/>
      <c r="D57" s="220"/>
      <c r="E57" s="220"/>
      <c r="F57" s="220"/>
      <c r="G57" s="220"/>
      <c r="H57" s="16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</row>
    <row r="58" s="1" customFormat="true" ht="24" hidden="false" customHeight="true" outlineLevel="0" collapsed="false">
      <c r="A58" s="199" t="n">
        <v>1</v>
      </c>
      <c r="B58" s="200" t="s">
        <v>376</v>
      </c>
      <c r="C58" s="200"/>
      <c r="D58" s="200"/>
      <c r="E58" s="200"/>
      <c r="F58" s="201" t="s">
        <v>377</v>
      </c>
      <c r="G58" s="201"/>
      <c r="H58" s="16" t="s">
        <v>378</v>
      </c>
      <c r="T58" s="221"/>
    </row>
    <row r="59" s="1" customFormat="true" ht="24" hidden="false" customHeight="true" outlineLevel="0" collapsed="false">
      <c r="A59" s="199" t="n">
        <v>2</v>
      </c>
      <c r="B59" s="200" t="s">
        <v>379</v>
      </c>
      <c r="C59" s="200"/>
      <c r="D59" s="200"/>
      <c r="E59" s="200"/>
      <c r="F59" s="200"/>
      <c r="G59" s="204" t="n">
        <v>0.076</v>
      </c>
      <c r="H59" s="16" t="s">
        <v>380</v>
      </c>
    </row>
    <row r="60" s="1" customFormat="true" ht="24" hidden="false" customHeight="true" outlineLevel="0" collapsed="false">
      <c r="A60" s="199" t="n">
        <v>3</v>
      </c>
      <c r="B60" s="200" t="s">
        <v>381</v>
      </c>
      <c r="C60" s="200"/>
      <c r="D60" s="200"/>
      <c r="E60" s="200"/>
      <c r="F60" s="200"/>
      <c r="G60" s="204" t="n">
        <v>0.0165</v>
      </c>
      <c r="H60" s="16" t="s">
        <v>380</v>
      </c>
    </row>
    <row r="61" s="1" customFormat="true" ht="24" hidden="false" customHeight="true" outlineLevel="0" collapsed="false">
      <c r="A61" s="199" t="n">
        <v>4</v>
      </c>
      <c r="B61" s="200" t="s">
        <v>382</v>
      </c>
      <c r="C61" s="200"/>
      <c r="D61" s="200"/>
      <c r="E61" s="200"/>
      <c r="F61" s="200"/>
      <c r="G61" s="204" t="n">
        <v>0.03</v>
      </c>
      <c r="H61" s="16" t="s">
        <v>383</v>
      </c>
    </row>
    <row r="62" s="1" customFormat="true" ht="24" hidden="false" customHeight="true" outlineLevel="0" collapsed="false">
      <c r="A62" s="199" t="n">
        <v>5</v>
      </c>
      <c r="B62" s="200" t="s">
        <v>384</v>
      </c>
      <c r="C62" s="200"/>
      <c r="D62" s="200"/>
      <c r="E62" s="200"/>
      <c r="F62" s="200"/>
      <c r="G62" s="204" t="n">
        <v>0.05</v>
      </c>
      <c r="H62" s="16" t="s">
        <v>383</v>
      </c>
    </row>
    <row r="63" s="1" customFormat="true" ht="24" hidden="false" customHeight="true" outlineLevel="0" collapsed="false">
      <c r="A63" s="199" t="n">
        <v>6</v>
      </c>
      <c r="B63" s="219" t="s">
        <v>368</v>
      </c>
      <c r="C63" s="219"/>
      <c r="D63" s="219"/>
      <c r="E63" s="219"/>
      <c r="F63" s="219"/>
      <c r="G63" s="204" t="n">
        <v>0</v>
      </c>
      <c r="H63" s="16" t="s">
        <v>385</v>
      </c>
    </row>
    <row r="64" s="1" customFormat="true" ht="21.75" hidden="false" customHeight="true" outlineLevel="0" collapsed="false">
      <c r="A64" s="199" t="n">
        <v>7</v>
      </c>
      <c r="B64" s="200" t="s">
        <v>386</v>
      </c>
      <c r="C64" s="200"/>
      <c r="D64" s="200"/>
      <c r="E64" s="200"/>
      <c r="F64" s="200"/>
      <c r="G64" s="192" t="n">
        <f aca="false">SUM(G59:G63)</f>
        <v>0.1725</v>
      </c>
      <c r="H64" s="16"/>
    </row>
    <row r="65" customFormat="false" ht="12.75" hidden="false" customHeight="true" outlineLevel="0" collapsed="false"/>
    <row r="66" s="1" customFormat="true" ht="15" hidden="false" customHeight="false" outlineLevel="0" collapsed="false"/>
    <row r="67" customFormat="false" ht="15" hidden="true" customHeight="false" outlineLevel="0" collapsed="false"/>
    <row r="68" customFormat="false" ht="66.75" hidden="true" customHeight="true" outlineLevel="0" collapsed="false">
      <c r="A68" s="176" t="s">
        <v>387</v>
      </c>
      <c r="B68" s="176"/>
      <c r="C68" s="176"/>
      <c r="D68" s="176"/>
      <c r="E68" s="176"/>
      <c r="F68" s="176"/>
      <c r="G68" s="176"/>
      <c r="H68" s="176"/>
      <c r="I68" s="198" t="s">
        <v>388</v>
      </c>
      <c r="J68" s="176" t="s">
        <v>389</v>
      </c>
      <c r="K68" s="198" t="s">
        <v>388</v>
      </c>
      <c r="L68" s="198" t="s">
        <v>390</v>
      </c>
      <c r="M68" s="222" t="s">
        <v>391</v>
      </c>
      <c r="N68" s="176" t="s">
        <v>392</v>
      </c>
      <c r="O68" s="176" t="s">
        <v>393</v>
      </c>
      <c r="P68" s="223"/>
      <c r="Q68" s="223"/>
      <c r="R68" s="224"/>
      <c r="S68" s="224"/>
      <c r="T68" s="224"/>
    </row>
    <row r="69" customFormat="false" ht="15" hidden="true" customHeight="true" outlineLevel="0" collapsed="false">
      <c r="A69" s="199" t="s">
        <v>394</v>
      </c>
      <c r="B69" s="199"/>
      <c r="C69" s="199" t="s">
        <v>395</v>
      </c>
      <c r="D69" s="225" t="n">
        <f aca="false">IPCA!G23</f>
        <v>0</v>
      </c>
      <c r="E69" s="200" t="s">
        <v>396</v>
      </c>
      <c r="F69" s="200"/>
      <c r="G69" s="200"/>
      <c r="H69" s="200"/>
      <c r="I69" s="226" t="s">
        <v>397</v>
      </c>
      <c r="J69" s="226" t="s">
        <v>397</v>
      </c>
      <c r="K69" s="226" t="s">
        <v>397</v>
      </c>
      <c r="L69" s="226" t="s">
        <v>397</v>
      </c>
      <c r="M69" s="227" t="n">
        <f aca="false">ROUND((100%+D69),2)</f>
        <v>1</v>
      </c>
      <c r="N69" s="228"/>
      <c r="O69" s="229"/>
      <c r="P69" s="230"/>
      <c r="Q69" s="230"/>
      <c r="R69" s="231"/>
      <c r="S69" s="231"/>
      <c r="T69" s="230"/>
    </row>
    <row r="70" customFormat="false" ht="15" hidden="true" customHeight="true" outlineLevel="0" collapsed="false">
      <c r="A70" s="199" t="s">
        <v>398</v>
      </c>
      <c r="B70" s="199"/>
      <c r="C70" s="199" t="s">
        <v>395</v>
      </c>
      <c r="D70" s="225" t="n">
        <f aca="false">IPCA!N23</f>
        <v>0</v>
      </c>
      <c r="E70" s="200" t="s">
        <v>396</v>
      </c>
      <c r="F70" s="200"/>
      <c r="G70" s="200"/>
      <c r="H70" s="200"/>
      <c r="I70" s="226" t="s">
        <v>397</v>
      </c>
      <c r="J70" s="226" t="s">
        <v>397</v>
      </c>
      <c r="K70" s="226" t="s">
        <v>397</v>
      </c>
      <c r="L70" s="226" t="s">
        <v>397</v>
      </c>
      <c r="M70" s="227" t="n">
        <f aca="false">ROUND((100%+D70),2)</f>
        <v>1</v>
      </c>
      <c r="N70" s="228"/>
      <c r="O70" s="229"/>
      <c r="P70" s="230"/>
      <c r="Q70" s="230"/>
      <c r="R70" s="231"/>
      <c r="S70" s="231"/>
      <c r="T70" s="230"/>
    </row>
    <row r="71" customFormat="false" ht="15" hidden="true" customHeight="true" outlineLevel="0" collapsed="false">
      <c r="A71" s="199" t="s">
        <v>399</v>
      </c>
      <c r="B71" s="199"/>
      <c r="C71" s="199" t="s">
        <v>395</v>
      </c>
      <c r="D71" s="225" t="n">
        <f aca="false">IPCA!U23</f>
        <v>0</v>
      </c>
      <c r="E71" s="200" t="s">
        <v>396</v>
      </c>
      <c r="F71" s="200"/>
      <c r="G71" s="200"/>
      <c r="H71" s="200"/>
      <c r="I71" s="226" t="s">
        <v>397</v>
      </c>
      <c r="J71" s="226" t="s">
        <v>397</v>
      </c>
      <c r="K71" s="226" t="s">
        <v>397</v>
      </c>
      <c r="L71" s="226" t="s">
        <v>397</v>
      </c>
      <c r="M71" s="227" t="n">
        <f aca="false">ROUND((100%+D71),2)</f>
        <v>1</v>
      </c>
      <c r="N71" s="228"/>
      <c r="O71" s="229"/>
      <c r="P71" s="230"/>
      <c r="Q71" s="230"/>
      <c r="R71" s="231"/>
      <c r="S71" s="231"/>
      <c r="T71" s="230"/>
    </row>
    <row r="72" customFormat="false" ht="15" hidden="true" customHeight="true" outlineLevel="0" collapsed="false">
      <c r="A72" s="199" t="s">
        <v>400</v>
      </c>
      <c r="B72" s="199"/>
      <c r="C72" s="199" t="s">
        <v>395</v>
      </c>
      <c r="D72" s="225" t="n">
        <f aca="false">IPCA!AB23</f>
        <v>0</v>
      </c>
      <c r="E72" s="200" t="s">
        <v>396</v>
      </c>
      <c r="F72" s="200"/>
      <c r="G72" s="200"/>
      <c r="H72" s="200"/>
      <c r="I72" s="226" t="s">
        <v>397</v>
      </c>
      <c r="J72" s="226" t="s">
        <v>397</v>
      </c>
      <c r="K72" s="226" t="s">
        <v>397</v>
      </c>
      <c r="L72" s="226" t="s">
        <v>397</v>
      </c>
      <c r="M72" s="227" t="n">
        <f aca="false">ROUND((100%+D72),2)</f>
        <v>1</v>
      </c>
      <c r="N72" s="228"/>
      <c r="O72" s="229"/>
      <c r="P72" s="230"/>
      <c r="Q72" s="230"/>
      <c r="R72" s="231"/>
      <c r="S72" s="231"/>
      <c r="T72" s="230"/>
    </row>
    <row r="73" customFormat="false" ht="15" hidden="true" customHeight="true" outlineLevel="0" collapsed="false">
      <c r="A73" s="199" t="s">
        <v>401</v>
      </c>
      <c r="B73" s="199"/>
      <c r="C73" s="199" t="s">
        <v>395</v>
      </c>
      <c r="D73" s="225" t="n">
        <f aca="false">IPCA!AI23</f>
        <v>0</v>
      </c>
      <c r="E73" s="200" t="s">
        <v>396</v>
      </c>
      <c r="F73" s="200"/>
      <c r="G73" s="200"/>
      <c r="H73" s="200"/>
      <c r="I73" s="226" t="s">
        <v>397</v>
      </c>
      <c r="J73" s="226" t="s">
        <v>397</v>
      </c>
      <c r="K73" s="226" t="s">
        <v>397</v>
      </c>
      <c r="L73" s="226" t="s">
        <v>397</v>
      </c>
      <c r="M73" s="227" t="n">
        <f aca="false">ROUND((100%+D73),2)</f>
        <v>1</v>
      </c>
      <c r="N73" s="228"/>
      <c r="O73" s="229"/>
      <c r="P73" s="230"/>
      <c r="Q73" s="230"/>
      <c r="R73" s="231"/>
      <c r="S73" s="231"/>
      <c r="T73" s="230"/>
    </row>
    <row r="74" customFormat="false" ht="15" hidden="true" customHeight="false" outlineLevel="0" collapsed="false">
      <c r="B74" s="232"/>
      <c r="C74" s="232"/>
      <c r="D74" s="232"/>
      <c r="E74" s="232"/>
    </row>
    <row r="75" customFormat="false" ht="30" hidden="true" customHeight="true" outlineLevel="0" collapsed="false">
      <c r="A75" s="176" t="s">
        <v>402</v>
      </c>
      <c r="B75" s="176"/>
      <c r="C75" s="176"/>
      <c r="D75" s="233" t="s">
        <v>403</v>
      </c>
      <c r="E75" s="232"/>
    </row>
    <row r="76" customFormat="false" ht="15.75" hidden="true" customHeight="true" outlineLevel="0" collapsed="false">
      <c r="A76" s="176"/>
      <c r="B76" s="176"/>
      <c r="C76" s="176"/>
      <c r="D76" s="226" t="s">
        <v>404</v>
      </c>
      <c r="E76" s="232"/>
    </row>
    <row r="77" customFormat="false" ht="30" hidden="true" customHeight="true" outlineLevel="0" collapsed="false">
      <c r="A77" s="176" t="s">
        <v>405</v>
      </c>
      <c r="B77" s="176"/>
      <c r="C77" s="176"/>
      <c r="D77" s="233" t="s">
        <v>403</v>
      </c>
      <c r="E77" s="232"/>
    </row>
    <row r="78" customFormat="false" ht="15.75" hidden="true" customHeight="true" outlineLevel="0" collapsed="false">
      <c r="A78" s="176"/>
      <c r="B78" s="176"/>
      <c r="C78" s="176"/>
      <c r="D78" s="226" t="s">
        <v>404</v>
      </c>
      <c r="E78" s="232"/>
    </row>
    <row r="79" customFormat="false" ht="30" hidden="true" customHeight="true" outlineLevel="0" collapsed="false">
      <c r="A79" s="176" t="s">
        <v>406</v>
      </c>
      <c r="B79" s="176"/>
      <c r="C79" s="176"/>
      <c r="D79" s="233" t="s">
        <v>403</v>
      </c>
      <c r="E79" s="232"/>
    </row>
    <row r="80" customFormat="false" ht="15.75" hidden="true" customHeight="true" outlineLevel="0" collapsed="false">
      <c r="A80" s="176"/>
      <c r="B80" s="176"/>
      <c r="C80" s="176"/>
      <c r="D80" s="226" t="s">
        <v>404</v>
      </c>
      <c r="E80" s="232"/>
    </row>
    <row r="81" customFormat="false" ht="42.75" hidden="true" customHeight="true" outlineLevel="0" collapsed="false">
      <c r="A81" s="176" t="s">
        <v>407</v>
      </c>
      <c r="B81" s="176"/>
      <c r="C81" s="176"/>
      <c r="D81" s="233" t="s">
        <v>403</v>
      </c>
      <c r="E81" s="234" t="s">
        <v>408</v>
      </c>
      <c r="F81" s="233" t="s">
        <v>77</v>
      </c>
      <c r="G81" s="233" t="s">
        <v>78</v>
      </c>
      <c r="H81" s="233" t="s">
        <v>79</v>
      </c>
      <c r="I81" s="233" t="s">
        <v>80</v>
      </c>
      <c r="J81" s="233" t="s">
        <v>81</v>
      </c>
      <c r="K81" s="232" t="s">
        <v>409</v>
      </c>
    </row>
    <row r="82" customFormat="false" ht="15.75" hidden="true" customHeight="true" outlineLevel="0" collapsed="false">
      <c r="A82" s="176"/>
      <c r="B82" s="176"/>
      <c r="C82" s="176"/>
      <c r="D82" s="226" t="s">
        <v>404</v>
      </c>
      <c r="E82" s="235" t="n">
        <f aca="false">G37</f>
        <v>1.55</v>
      </c>
      <c r="F82" s="236" t="n">
        <f aca="false">ROUND(IF(Dados!$M$69="SIM",E82*Dados!$N$69,E82),2)</f>
        <v>1.55</v>
      </c>
      <c r="G82" s="236" t="n">
        <f aca="false">ROUND(IF(Dados!$M$70="SIM",F82*Dados!$N$70,F82),2)</f>
        <v>1.55</v>
      </c>
      <c r="H82" s="236" t="n">
        <f aca="false">ROUND(IF(Dados!$M$71="SIM",G82*Dados!$N$71,G82),2)</f>
        <v>1.55</v>
      </c>
      <c r="I82" s="236" t="n">
        <f aca="false">ROUND(IF(Dados!$M$72="SIM",H82*Dados!$N$72,H82),2)</f>
        <v>1.55</v>
      </c>
      <c r="J82" s="236" t="n">
        <f aca="false">ROUND(IF(Dados!$M$73="SIM",I82*Dados!$N$73,I82),2)</f>
        <v>1.55</v>
      </c>
      <c r="K82" s="2" t="n">
        <f aca="false">IF(D82="INICIAL",E82,IF(D82="1º IPCA",F82,IF(D82="2º IPCA",G82,IF(D82="3º IPCA",H82,IF(D82="4º IPCA",I82,IF(D82="5º IPCA",J82,))))))</f>
        <v>1.55</v>
      </c>
    </row>
    <row r="83" customFormat="false" ht="15" hidden="true" customHeight="false" outlineLevel="0" collapsed="false">
      <c r="E83" s="232"/>
    </row>
    <row r="84" customFormat="false" ht="15.75" hidden="true" customHeight="true" outlineLevel="0" collapsed="false">
      <c r="A84" s="237" t="s">
        <v>410</v>
      </c>
      <c r="B84" s="237"/>
      <c r="C84" s="237"/>
      <c r="D84" s="237"/>
      <c r="E84" s="237"/>
      <c r="F84" s="237"/>
      <c r="G84" s="237"/>
      <c r="H84" s="237"/>
    </row>
    <row r="85" customFormat="false" ht="15" hidden="true" customHeight="false" outlineLevel="0" collapsed="false">
      <c r="A85" s="238" t="s">
        <v>411</v>
      </c>
      <c r="B85" s="238"/>
      <c r="C85" s="238"/>
      <c r="D85" s="238"/>
      <c r="E85" s="238"/>
      <c r="F85" s="239" t="s">
        <v>412</v>
      </c>
      <c r="G85" s="239"/>
      <c r="H85" s="240"/>
    </row>
    <row r="86" customFormat="false" ht="43.5" hidden="true" customHeight="true" outlineLevel="0" collapsed="false">
      <c r="A86" s="241" t="s">
        <v>413</v>
      </c>
      <c r="B86" s="241"/>
      <c r="C86" s="241"/>
      <c r="D86" s="241"/>
      <c r="E86" s="241"/>
      <c r="F86" s="241"/>
      <c r="G86" s="241"/>
      <c r="H86" s="241"/>
    </row>
    <row r="87" customFormat="false" ht="15" hidden="true" customHeight="false" outlineLevel="0" collapsed="false">
      <c r="A87" s="238" t="s">
        <v>414</v>
      </c>
      <c r="B87" s="238"/>
      <c r="C87" s="238"/>
      <c r="D87" s="238"/>
      <c r="E87" s="238"/>
      <c r="F87" s="239" t="s">
        <v>412</v>
      </c>
      <c r="G87" s="239"/>
      <c r="H87" s="240"/>
    </row>
    <row r="88" customFormat="false" ht="43.5" hidden="true" customHeight="true" outlineLevel="0" collapsed="false">
      <c r="A88" s="242" t="s">
        <v>415</v>
      </c>
      <c r="B88" s="242"/>
      <c r="C88" s="242"/>
      <c r="D88" s="242"/>
      <c r="E88" s="242"/>
      <c r="F88" s="242"/>
      <c r="G88" s="242"/>
      <c r="H88" s="242"/>
    </row>
    <row r="89" customFormat="false" ht="15" hidden="true" customHeight="false" outlineLevel="0" collapsed="false">
      <c r="A89" s="238" t="s">
        <v>416</v>
      </c>
      <c r="B89" s="238"/>
      <c r="C89" s="238"/>
      <c r="D89" s="238"/>
      <c r="E89" s="238"/>
      <c r="F89" s="239" t="s">
        <v>412</v>
      </c>
      <c r="G89" s="239"/>
      <c r="H89" s="240"/>
    </row>
    <row r="90" customFormat="false" ht="43.5" hidden="true" customHeight="true" outlineLevel="0" collapsed="false">
      <c r="A90" s="241" t="s">
        <v>417</v>
      </c>
      <c r="B90" s="241"/>
      <c r="C90" s="241"/>
      <c r="D90" s="241"/>
      <c r="E90" s="241"/>
      <c r="F90" s="241"/>
      <c r="G90" s="241"/>
      <c r="H90" s="241"/>
    </row>
    <row r="91" customFormat="false" ht="15" hidden="true" customHeight="false" outlineLevel="0" collapsed="false">
      <c r="A91" s="243" t="s">
        <v>418</v>
      </c>
      <c r="B91" s="243"/>
      <c r="C91" s="243"/>
      <c r="D91" s="243"/>
      <c r="E91" s="243"/>
      <c r="F91" s="239" t="s">
        <v>412</v>
      </c>
      <c r="G91" s="239"/>
      <c r="H91" s="244"/>
    </row>
    <row r="92" customFormat="false" ht="43.5" hidden="true" customHeight="true" outlineLevel="0" collapsed="false">
      <c r="A92" s="241" t="s">
        <v>419</v>
      </c>
      <c r="B92" s="241"/>
      <c r="C92" s="241"/>
      <c r="D92" s="241"/>
      <c r="E92" s="241"/>
      <c r="F92" s="241"/>
      <c r="G92" s="241"/>
      <c r="H92" s="241"/>
    </row>
    <row r="93" customFormat="false" ht="15" hidden="true" customHeight="false" outlineLevel="0" collapsed="false">
      <c r="A93" s="245"/>
      <c r="H93" s="246"/>
    </row>
  </sheetData>
  <sheetProtection sheet="true" password="c494" objects="true" scenarios="true"/>
  <mergeCells count="92"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U5:U6"/>
    <mergeCell ref="A7:A17"/>
    <mergeCell ref="A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D24"/>
    <mergeCell ref="E24:G24"/>
    <mergeCell ref="A26:G26"/>
    <mergeCell ref="B27:F27"/>
    <mergeCell ref="B29:F29"/>
    <mergeCell ref="B30:F30"/>
    <mergeCell ref="B31:F31"/>
    <mergeCell ref="A33:G33"/>
    <mergeCell ref="B34:F34"/>
    <mergeCell ref="A36:G36"/>
    <mergeCell ref="B37:F37"/>
    <mergeCell ref="B38:F38"/>
    <mergeCell ref="A39:A42"/>
    <mergeCell ref="B39:C42"/>
    <mergeCell ref="D39:F39"/>
    <mergeCell ref="D40:F40"/>
    <mergeCell ref="D41:F41"/>
    <mergeCell ref="D42:F42"/>
    <mergeCell ref="A43:A46"/>
    <mergeCell ref="B43:C46"/>
    <mergeCell ref="D43:F43"/>
    <mergeCell ref="D44:F44"/>
    <mergeCell ref="D45:F45"/>
    <mergeCell ref="D46:F46"/>
    <mergeCell ref="B47:F47"/>
    <mergeCell ref="B48:F48"/>
    <mergeCell ref="A50:G50"/>
    <mergeCell ref="B51:F51"/>
    <mergeCell ref="B52:F52"/>
    <mergeCell ref="A54:G54"/>
    <mergeCell ref="A55:A57"/>
    <mergeCell ref="B55:G57"/>
    <mergeCell ref="B58:E58"/>
    <mergeCell ref="F58:G58"/>
    <mergeCell ref="B59:F59"/>
    <mergeCell ref="B60:F60"/>
    <mergeCell ref="B61:F61"/>
    <mergeCell ref="B62:F62"/>
    <mergeCell ref="B63:F63"/>
    <mergeCell ref="B64:F64"/>
    <mergeCell ref="A68:H68"/>
    <mergeCell ref="A69:B69"/>
    <mergeCell ref="E69:H69"/>
    <mergeCell ref="A70:B70"/>
    <mergeCell ref="E70:H70"/>
    <mergeCell ref="A71:B71"/>
    <mergeCell ref="E71:H71"/>
    <mergeCell ref="A72:B72"/>
    <mergeCell ref="E72:H72"/>
    <mergeCell ref="A73:B73"/>
    <mergeCell ref="E73:H73"/>
    <mergeCell ref="A75:C76"/>
    <mergeCell ref="A77:C78"/>
    <mergeCell ref="A79:C80"/>
    <mergeCell ref="A81:C82"/>
    <mergeCell ref="A84:H84"/>
    <mergeCell ref="A85:E85"/>
    <mergeCell ref="F85:G85"/>
    <mergeCell ref="A86:H86"/>
    <mergeCell ref="A87:E87"/>
    <mergeCell ref="F87:G87"/>
    <mergeCell ref="A88:H88"/>
    <mergeCell ref="A89:E89"/>
    <mergeCell ref="F89:G89"/>
    <mergeCell ref="A90:H90"/>
    <mergeCell ref="A91:E91"/>
    <mergeCell ref="F91:G91"/>
    <mergeCell ref="A92:H92"/>
  </mergeCells>
  <dataValidations count="3">
    <dataValidation allowBlank="true" errorStyle="stop" operator="between" showDropDown="false" showErrorMessage="true" showInputMessage="true" sqref="F58" type="list">
      <formula1>"LUCRO REAL,LUCRO PRESUMIDO,SIMPLES NACIONAL,OUTRO"</formula1>
      <formula2>0</formula2>
    </dataValidation>
    <dataValidation allowBlank="true" errorStyle="stop" operator="between" showDropDown="false" showErrorMessage="true" showInputMessage="true" sqref="I69:L73" type="list">
      <formula1>"NÃO,SIM"</formula1>
      <formula2>0</formula2>
    </dataValidation>
    <dataValidation allowBlank="true" errorStyle="stop" operator="between" showDropDown="false" showErrorMessage="true" showInputMessage="true" sqref="D76 D78 D80 D82" type="list">
      <formula1>"INICIAL,1º IPCA,2º IPCA,3º IPCA,4º IPCA,5º IPCA"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6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7" activeCellId="0" sqref="A37"/>
    </sheetView>
  </sheetViews>
  <sheetFormatPr defaultColWidth="9.00390625" defaultRowHeight="15" zeroHeight="false" outlineLevelRow="0" outlineLevelCol="0"/>
  <cols>
    <col collapsed="false" customWidth="true" hidden="false" outlineLevel="0" max="2" min="2" style="247" width="55.57"/>
    <col collapsed="false" customWidth="true" hidden="false" outlineLevel="0" max="3" min="3" style="247" width="13.15"/>
    <col collapsed="false" customWidth="true" hidden="false" outlineLevel="0" max="4" min="4" style="247" width="4.86"/>
    <col collapsed="false" customWidth="true" hidden="false" outlineLevel="0" max="5" min="5" style="247" width="41.71"/>
    <col collapsed="false" customWidth="true" hidden="false" outlineLevel="0" max="8" min="6" style="247" width="11"/>
    <col collapsed="false" customWidth="true" hidden="false" outlineLevel="0" max="258" min="258" style="247" width="55.57"/>
    <col collapsed="false" customWidth="true" hidden="false" outlineLevel="0" max="259" min="259" style="247" width="13.15"/>
    <col collapsed="false" customWidth="true" hidden="false" outlineLevel="0" max="261" min="261" style="247" width="35.14"/>
    <col collapsed="false" customWidth="true" hidden="false" outlineLevel="0" max="264" min="262" style="247" width="11"/>
    <col collapsed="false" customWidth="true" hidden="false" outlineLevel="0" max="514" min="514" style="247" width="55.57"/>
    <col collapsed="false" customWidth="true" hidden="false" outlineLevel="0" max="515" min="515" style="247" width="13.15"/>
    <col collapsed="false" customWidth="true" hidden="false" outlineLevel="0" max="517" min="517" style="247" width="35.14"/>
    <col collapsed="false" customWidth="true" hidden="false" outlineLevel="0" max="520" min="518" style="247" width="11"/>
    <col collapsed="false" customWidth="true" hidden="false" outlineLevel="0" max="770" min="770" style="247" width="55.57"/>
    <col collapsed="false" customWidth="true" hidden="false" outlineLevel="0" max="771" min="771" style="247" width="13.15"/>
    <col collapsed="false" customWidth="true" hidden="false" outlineLevel="0" max="773" min="773" style="247" width="35.14"/>
    <col collapsed="false" customWidth="true" hidden="false" outlineLevel="0" max="776" min="774" style="247" width="11"/>
  </cols>
  <sheetData>
    <row r="1" customFormat="false" ht="15" hidden="false" customHeight="false" outlineLevel="0" collapsed="false">
      <c r="A1" s="248"/>
      <c r="B1" s="249" t="str">
        <f aca="false">INSTRUÇÕES!B1</f>
        <v>Tribunal Regional Federal da 6ª Região</v>
      </c>
      <c r="C1" s="250"/>
    </row>
    <row r="2" customFormat="false" ht="15" hidden="false" customHeight="false" outlineLevel="0" collapsed="false">
      <c r="A2" s="251"/>
      <c r="B2" s="167" t="str">
        <f aca="false">INSTRUÇÕES!B2</f>
        <v>Seção Judiciária de Minas Gerais</v>
      </c>
      <c r="C2" s="252"/>
    </row>
    <row r="3" customFormat="false" ht="15" hidden="false" customHeight="false" outlineLevel="0" collapsed="false">
      <c r="A3" s="253"/>
      <c r="B3" s="167" t="str">
        <f aca="false">INSTRUÇÕES!B3</f>
        <v>Subseção Judiciária de Juiz de Fora</v>
      </c>
      <c r="C3" s="252"/>
    </row>
    <row r="4" customFormat="false" ht="21.75" hidden="false" customHeight="true" outlineLevel="0" collapsed="false">
      <c r="A4" s="254" t="s">
        <v>420</v>
      </c>
      <c r="B4" s="254"/>
      <c r="C4" s="254"/>
    </row>
    <row r="5" customFormat="false" ht="21.75" hidden="false" customHeight="true" outlineLevel="0" collapsed="false">
      <c r="A5" s="254" t="s">
        <v>421</v>
      </c>
      <c r="B5" s="254"/>
      <c r="C5" s="254"/>
    </row>
    <row r="6" customFormat="false" ht="26.25" hidden="false" customHeight="true" outlineLevel="0" collapsed="false">
      <c r="A6" s="255" t="s">
        <v>422</v>
      </c>
      <c r="B6" s="255"/>
      <c r="C6" s="255"/>
    </row>
    <row r="7" customFormat="false" ht="15" hidden="false" customHeight="false" outlineLevel="0" collapsed="false">
      <c r="A7" s="256" t="s">
        <v>423</v>
      </c>
      <c r="B7" s="256"/>
      <c r="C7" s="256"/>
    </row>
    <row r="8" customFormat="false" ht="15.75" hidden="false" customHeight="true" outlineLevel="0" collapsed="false">
      <c r="A8" s="257" t="s">
        <v>61</v>
      </c>
      <c r="B8" s="258" t="s">
        <v>424</v>
      </c>
      <c r="C8" s="259" t="s">
        <v>425</v>
      </c>
    </row>
    <row r="9" customFormat="false" ht="15.75" hidden="false" customHeight="true" outlineLevel="0" collapsed="false">
      <c r="A9" s="260" t="s">
        <v>426</v>
      </c>
      <c r="B9" s="261" t="s">
        <v>427</v>
      </c>
      <c r="C9" s="261"/>
    </row>
    <row r="10" customFormat="false" ht="15.75" hidden="false" customHeight="true" outlineLevel="0" collapsed="false">
      <c r="A10" s="262" t="n">
        <v>1</v>
      </c>
      <c r="B10" s="263" t="s">
        <v>428</v>
      </c>
      <c r="C10" s="264" t="n">
        <v>0.2</v>
      </c>
    </row>
    <row r="11" customFormat="false" ht="15.75" hidden="false" customHeight="true" outlineLevel="0" collapsed="false">
      <c r="A11" s="262" t="n">
        <v>2</v>
      </c>
      <c r="B11" s="263" t="s">
        <v>429</v>
      </c>
      <c r="C11" s="264" t="n">
        <v>0.015</v>
      </c>
    </row>
    <row r="12" customFormat="false" ht="15.75" hidden="false" customHeight="true" outlineLevel="0" collapsed="false">
      <c r="A12" s="262" t="n">
        <v>3</v>
      </c>
      <c r="B12" s="263" t="s">
        <v>430</v>
      </c>
      <c r="C12" s="264" t="n">
        <v>0.01</v>
      </c>
    </row>
    <row r="13" customFormat="false" ht="15.75" hidden="false" customHeight="true" outlineLevel="0" collapsed="false">
      <c r="A13" s="262" t="n">
        <v>4</v>
      </c>
      <c r="B13" s="263" t="s">
        <v>431</v>
      </c>
      <c r="C13" s="264" t="n">
        <v>0.002</v>
      </c>
    </row>
    <row r="14" customFormat="false" ht="15.75" hidden="false" customHeight="true" outlineLevel="0" collapsed="false">
      <c r="A14" s="262" t="n">
        <v>5</v>
      </c>
      <c r="B14" s="263" t="s">
        <v>432</v>
      </c>
      <c r="C14" s="264" t="n">
        <v>0.025</v>
      </c>
    </row>
    <row r="15" customFormat="false" ht="15.75" hidden="false" customHeight="true" outlineLevel="0" collapsed="false">
      <c r="A15" s="262" t="n">
        <v>6</v>
      </c>
      <c r="B15" s="263" t="s">
        <v>433</v>
      </c>
      <c r="C15" s="264" t="n">
        <v>0.08</v>
      </c>
    </row>
    <row r="16" customFormat="false" ht="15.75" hidden="false" customHeight="true" outlineLevel="0" collapsed="false">
      <c r="A16" s="262" t="n">
        <v>7</v>
      </c>
      <c r="B16" s="263" t="s">
        <v>434</v>
      </c>
      <c r="C16" s="265" t="n">
        <f aca="false">Dados!G29</f>
        <v>0.06</v>
      </c>
      <c r="D16" s="266" t="s">
        <v>435</v>
      </c>
    </row>
    <row r="17" customFormat="false" ht="15.75" hidden="false" customHeight="true" outlineLevel="0" collapsed="false">
      <c r="A17" s="262" t="n">
        <v>8</v>
      </c>
      <c r="B17" s="263" t="s">
        <v>436</v>
      </c>
      <c r="C17" s="264" t="n">
        <v>0.006</v>
      </c>
    </row>
    <row r="18" customFormat="false" ht="15.75" hidden="false" customHeight="true" outlineLevel="0" collapsed="false">
      <c r="A18" s="267" t="s">
        <v>437</v>
      </c>
      <c r="B18" s="267"/>
      <c r="C18" s="268" t="n">
        <f aca="false">SUM(C10:C17)</f>
        <v>0.398</v>
      </c>
    </row>
    <row r="19" customFormat="false" ht="15.75" hidden="false" customHeight="true" outlineLevel="0" collapsed="false">
      <c r="A19" s="269" t="s">
        <v>438</v>
      </c>
      <c r="B19" s="269"/>
      <c r="C19" s="269"/>
    </row>
    <row r="20" customFormat="false" ht="15.75" hidden="false" customHeight="true" outlineLevel="0" collapsed="false">
      <c r="A20" s="269" t="s">
        <v>439</v>
      </c>
      <c r="B20" s="269"/>
      <c r="C20" s="269"/>
    </row>
    <row r="21" customFormat="false" ht="15.75" hidden="false" customHeight="true" outlineLevel="0" collapsed="false">
      <c r="A21" s="262" t="n">
        <v>9</v>
      </c>
      <c r="B21" s="270" t="s">
        <v>440</v>
      </c>
      <c r="C21" s="271" t="n">
        <f aca="false">ROUND((100%/11),4)</f>
        <v>0.0909</v>
      </c>
    </row>
    <row r="22" customFormat="false" ht="15.75" hidden="false" customHeight="true" outlineLevel="0" collapsed="false">
      <c r="A22" s="262" t="n">
        <v>10</v>
      </c>
      <c r="B22" s="270" t="s">
        <v>441</v>
      </c>
      <c r="C22" s="271" t="n">
        <f aca="false">ROUND((C21/3),4)</f>
        <v>0.0303</v>
      </c>
    </row>
    <row r="23" customFormat="false" ht="15.75" hidden="false" customHeight="true" outlineLevel="0" collapsed="false">
      <c r="A23" s="272" t="s">
        <v>442</v>
      </c>
      <c r="B23" s="272"/>
      <c r="C23" s="273" t="n">
        <f aca="false">SUM(C21:C22)</f>
        <v>0.1212</v>
      </c>
    </row>
    <row r="24" customFormat="false" ht="15.75" hidden="false" customHeight="true" outlineLevel="0" collapsed="false">
      <c r="A24" s="274" t="s">
        <v>443</v>
      </c>
      <c r="B24" s="274"/>
      <c r="C24" s="265" t="n">
        <f aca="false">(C18*C23)</f>
        <v>0.0482376</v>
      </c>
    </row>
    <row r="25" customFormat="false" ht="15.75" hidden="false" customHeight="true" outlineLevel="0" collapsed="false">
      <c r="A25" s="272" t="s">
        <v>444</v>
      </c>
      <c r="B25" s="272"/>
      <c r="C25" s="273" t="n">
        <f aca="false">SUM(C23:C24)</f>
        <v>0.1694376</v>
      </c>
    </row>
    <row r="26" customFormat="false" ht="15.75" hidden="false" customHeight="true" outlineLevel="0" collapsed="false">
      <c r="A26" s="260" t="s">
        <v>445</v>
      </c>
      <c r="B26" s="261" t="s">
        <v>446</v>
      </c>
      <c r="C26" s="261"/>
    </row>
    <row r="27" customFormat="false" ht="15.75" hidden="false" customHeight="true" outlineLevel="0" collapsed="false">
      <c r="A27" s="262" t="n">
        <v>11</v>
      </c>
      <c r="B27" s="263" t="s">
        <v>447</v>
      </c>
      <c r="C27" s="275" t="n">
        <f aca="false">ROUND((0.0144*0.1*0.4509*6/12),4)</f>
        <v>0.0003</v>
      </c>
    </row>
    <row r="28" customFormat="false" ht="15.75" hidden="false" customHeight="true" outlineLevel="0" collapsed="false">
      <c r="A28" s="274" t="s">
        <v>448</v>
      </c>
      <c r="B28" s="274"/>
      <c r="C28" s="276" t="n">
        <f aca="false">C18*C27</f>
        <v>0.0001194</v>
      </c>
    </row>
    <row r="29" customFormat="false" ht="15.75" hidden="false" customHeight="true" outlineLevel="0" collapsed="false">
      <c r="A29" s="272" t="s">
        <v>449</v>
      </c>
      <c r="B29" s="272"/>
      <c r="C29" s="277" t="n">
        <f aca="false">SUM(C27:C28)</f>
        <v>0.0004194</v>
      </c>
    </row>
    <row r="30" customFormat="false" ht="15.75" hidden="false" customHeight="true" outlineLevel="0" collapsed="false">
      <c r="A30" s="260" t="s">
        <v>450</v>
      </c>
      <c r="B30" s="261" t="s">
        <v>451</v>
      </c>
      <c r="C30" s="261"/>
    </row>
    <row r="31" customFormat="false" ht="15.75" hidden="false" customHeight="true" outlineLevel="0" collapsed="false">
      <c r="A31" s="262" t="n">
        <v>12</v>
      </c>
      <c r="B31" s="263" t="s">
        <v>452</v>
      </c>
      <c r="C31" s="264" t="n">
        <f aca="false">ROUND((100%/12)*5%,4)</f>
        <v>0.0042</v>
      </c>
    </row>
    <row r="32" customFormat="false" ht="15.75" hidden="false" customHeight="true" outlineLevel="0" collapsed="false">
      <c r="A32" s="278" t="s">
        <v>453</v>
      </c>
      <c r="B32" s="278"/>
      <c r="C32" s="265" t="n">
        <f aca="false">C15*C31</f>
        <v>0.000336</v>
      </c>
    </row>
    <row r="33" customFormat="false" ht="15.75" hidden="false" customHeight="true" outlineLevel="0" collapsed="false">
      <c r="A33" s="262" t="n">
        <v>13</v>
      </c>
      <c r="B33" s="263" t="s">
        <v>454</v>
      </c>
      <c r="C33" s="271" t="n">
        <f aca="false">ROUND((C15*0.4*0.9*(1+1/11+1/11+(1/3*1/11))),5)</f>
        <v>0.03491</v>
      </c>
    </row>
    <row r="34" customFormat="false" ht="15.75" hidden="false" customHeight="true" outlineLevel="0" collapsed="false">
      <c r="A34" s="262" t="n">
        <v>14</v>
      </c>
      <c r="B34" s="263" t="s">
        <v>455</v>
      </c>
      <c r="C34" s="264" t="n">
        <f aca="false">ROUND((100%/30)*7/12,4)</f>
        <v>0.0194</v>
      </c>
    </row>
    <row r="35" customFormat="false" ht="15.75" hidden="false" customHeight="true" outlineLevel="0" collapsed="false">
      <c r="A35" s="278" t="s">
        <v>456</v>
      </c>
      <c r="B35" s="278"/>
      <c r="C35" s="265" t="n">
        <f aca="false">ROUND((C34*C18),4)</f>
        <v>0.0077</v>
      </c>
    </row>
    <row r="36" customFormat="false" ht="15.75" hidden="false" customHeight="true" outlineLevel="0" collapsed="false">
      <c r="A36" s="262" t="n">
        <v>15</v>
      </c>
      <c r="B36" s="263" t="s">
        <v>457</v>
      </c>
      <c r="C36" s="265" t="n">
        <f aca="false">(0.4*C15/100)</f>
        <v>0.00032</v>
      </c>
    </row>
    <row r="37" customFormat="false" ht="15.75" hidden="false" customHeight="true" outlineLevel="0" collapsed="false">
      <c r="A37" s="279" t="s">
        <v>458</v>
      </c>
      <c r="B37" s="279"/>
      <c r="C37" s="273" t="n">
        <f aca="false">SUM(C31:C36)</f>
        <v>0.066866</v>
      </c>
    </row>
    <row r="38" customFormat="false" ht="15.75" hidden="false" customHeight="true" outlineLevel="0" collapsed="false">
      <c r="A38" s="260" t="s">
        <v>459</v>
      </c>
      <c r="B38" s="261" t="s">
        <v>460</v>
      </c>
      <c r="C38" s="261"/>
    </row>
    <row r="39" customFormat="false" ht="15.75" hidden="false" customHeight="true" outlineLevel="0" collapsed="false">
      <c r="A39" s="262" t="n">
        <v>16</v>
      </c>
      <c r="B39" s="263" t="s">
        <v>461</v>
      </c>
      <c r="C39" s="271" t="n">
        <f aca="false">ROUND((100%/11),4)</f>
        <v>0.0909</v>
      </c>
    </row>
    <row r="40" customFormat="false" ht="15.75" hidden="false" customHeight="true" outlineLevel="0" collapsed="false">
      <c r="A40" s="262" t="n">
        <v>17</v>
      </c>
      <c r="B40" s="263" t="s">
        <v>462</v>
      </c>
      <c r="C40" s="264" t="n">
        <f aca="false">ROUND((5.96/30/12),4)</f>
        <v>0.0166</v>
      </c>
    </row>
    <row r="41" customFormat="false" ht="15.75" hidden="false" customHeight="true" outlineLevel="0" collapsed="false">
      <c r="A41" s="262" t="n">
        <v>18</v>
      </c>
      <c r="B41" s="263" t="s">
        <v>463</v>
      </c>
      <c r="C41" s="264" t="n">
        <f aca="false">ROUND((5/30/12)*0.022,4)</f>
        <v>0.0003</v>
      </c>
    </row>
    <row r="42" customFormat="false" ht="15.75" hidden="false" customHeight="true" outlineLevel="0" collapsed="false">
      <c r="A42" s="262" t="n">
        <v>19</v>
      </c>
      <c r="B42" s="263" t="s">
        <v>464</v>
      </c>
      <c r="C42" s="264" t="n">
        <f aca="false">ROUND((1/30/12),4)</f>
        <v>0.0028</v>
      </c>
    </row>
    <row r="43" customFormat="false" ht="15.75" hidden="false" customHeight="true" outlineLevel="0" collapsed="false">
      <c r="A43" s="262" t="n">
        <v>20</v>
      </c>
      <c r="B43" s="263" t="s">
        <v>465</v>
      </c>
      <c r="C43" s="264" t="n">
        <f aca="false">ROUND((15/30/12*0.0078),4)</f>
        <v>0.0003</v>
      </c>
    </row>
    <row r="44" customFormat="false" ht="15.75" hidden="false" customHeight="true" outlineLevel="0" collapsed="false">
      <c r="A44" s="279" t="s">
        <v>442</v>
      </c>
      <c r="B44" s="279"/>
      <c r="C44" s="273" t="n">
        <f aca="false">SUM(C39:C43)</f>
        <v>0.1109</v>
      </c>
      <c r="E44" s="280" t="s">
        <v>466</v>
      </c>
      <c r="F44" s="280"/>
      <c r="G44" s="280"/>
      <c r="H44" s="280"/>
    </row>
    <row r="45" customFormat="false" ht="15.75" hidden="false" customHeight="true" outlineLevel="0" collapsed="false">
      <c r="A45" s="278" t="s">
        <v>467</v>
      </c>
      <c r="B45" s="278"/>
      <c r="C45" s="265" t="n">
        <f aca="false">C18*C44</f>
        <v>0.0441382</v>
      </c>
      <c r="E45" s="280"/>
      <c r="F45" s="280"/>
      <c r="G45" s="280"/>
      <c r="H45" s="280"/>
    </row>
    <row r="46" customFormat="false" ht="15" hidden="false" customHeight="true" outlineLevel="0" collapsed="false">
      <c r="A46" s="279" t="s">
        <v>468</v>
      </c>
      <c r="B46" s="279"/>
      <c r="C46" s="273" t="n">
        <f aca="false">SUM(C44:C45)</f>
        <v>0.1550382</v>
      </c>
      <c r="E46" s="281" t="s">
        <v>469</v>
      </c>
      <c r="F46" s="282" t="s">
        <v>470</v>
      </c>
      <c r="G46" s="282"/>
      <c r="H46" s="282"/>
    </row>
    <row r="47" customFormat="false" ht="15.75" hidden="false" customHeight="true" outlineLevel="0" collapsed="false">
      <c r="A47" s="283" t="s">
        <v>471</v>
      </c>
      <c r="B47" s="284" t="s">
        <v>472</v>
      </c>
      <c r="C47" s="285" t="s">
        <v>341</v>
      </c>
      <c r="E47" s="281"/>
      <c r="F47" s="282" t="s">
        <v>473</v>
      </c>
      <c r="G47" s="282"/>
      <c r="H47" s="282"/>
    </row>
    <row r="48" customFormat="false" ht="15.75" hidden="false" customHeight="true" outlineLevel="0" collapsed="false">
      <c r="A48" s="262" t="n">
        <v>21</v>
      </c>
      <c r="B48" s="263" t="s">
        <v>474</v>
      </c>
      <c r="C48" s="264" t="n">
        <f aca="false">1*1%/12</f>
        <v>0.000833333333333333</v>
      </c>
      <c r="E48" s="286" t="s">
        <v>475</v>
      </c>
      <c r="F48" s="287" t="s">
        <v>476</v>
      </c>
      <c r="G48" s="287" t="s">
        <v>477</v>
      </c>
      <c r="H48" s="288" t="s">
        <v>478</v>
      </c>
    </row>
    <row r="49" customFormat="false" ht="15.75" hidden="false" customHeight="true" outlineLevel="0" collapsed="false">
      <c r="A49" s="279" t="s">
        <v>479</v>
      </c>
      <c r="B49" s="279"/>
      <c r="C49" s="273" t="n">
        <f aca="false">SUM(C47:C48)</f>
        <v>0.000833333333333333</v>
      </c>
      <c r="E49" s="286" t="s">
        <v>480</v>
      </c>
      <c r="F49" s="289" t="n">
        <v>0.343</v>
      </c>
      <c r="G49" s="289" t="n">
        <v>0.398</v>
      </c>
      <c r="H49" s="290" t="n">
        <f aca="false">$C$18</f>
        <v>0.398</v>
      </c>
    </row>
    <row r="50" customFormat="false" ht="15.75" hidden="false" customHeight="true" outlineLevel="0" collapsed="false">
      <c r="A50" s="291" t="s">
        <v>481</v>
      </c>
      <c r="B50" s="291"/>
      <c r="C50" s="291"/>
      <c r="E50" s="286" t="s">
        <v>482</v>
      </c>
      <c r="F50" s="289" t="n">
        <v>0.005</v>
      </c>
      <c r="G50" s="289" t="n">
        <v>0.06</v>
      </c>
      <c r="H50" s="290" t="n">
        <f aca="false">$C$16</f>
        <v>0.06</v>
      </c>
    </row>
    <row r="51" customFormat="false" ht="15.75" hidden="false" customHeight="true" outlineLevel="0" collapsed="false">
      <c r="A51" s="278" t="s">
        <v>427</v>
      </c>
      <c r="B51" s="278"/>
      <c r="C51" s="265" t="n">
        <f aca="false">ROUND(C18,4)</f>
        <v>0.398</v>
      </c>
      <c r="E51" s="292" t="s">
        <v>483</v>
      </c>
      <c r="F51" s="293" t="n">
        <f aca="false">$C$21</f>
        <v>0.0909</v>
      </c>
      <c r="G51" s="293" t="n">
        <f aca="false">$F$51</f>
        <v>0.0909</v>
      </c>
      <c r="H51" s="294" t="n">
        <f aca="false">$F$51</f>
        <v>0.0909</v>
      </c>
    </row>
    <row r="52" customFormat="false" ht="15.75" hidden="false" customHeight="true" outlineLevel="0" collapsed="false">
      <c r="A52" s="278" t="s">
        <v>484</v>
      </c>
      <c r="B52" s="278"/>
      <c r="C52" s="265" t="n">
        <f aca="false">ROUND(C25,4)</f>
        <v>0.1694</v>
      </c>
      <c r="E52" s="292" t="s">
        <v>485</v>
      </c>
      <c r="F52" s="293" t="n">
        <f aca="false">$C$39</f>
        <v>0.0909</v>
      </c>
      <c r="G52" s="293" t="n">
        <f aca="false">$F$52</f>
        <v>0.0909</v>
      </c>
      <c r="H52" s="294" t="n">
        <f aca="false">$F$52</f>
        <v>0.0909</v>
      </c>
    </row>
    <row r="53" customFormat="false" ht="15.75" hidden="false" customHeight="true" outlineLevel="0" collapsed="false">
      <c r="A53" s="278" t="s">
        <v>446</v>
      </c>
      <c r="B53" s="278"/>
      <c r="C53" s="265" t="n">
        <f aca="false">ROUND(C29,4)</f>
        <v>0.0004</v>
      </c>
      <c r="E53" s="292" t="s">
        <v>486</v>
      </c>
      <c r="F53" s="293" t="n">
        <f aca="false">$C$22</f>
        <v>0.0303</v>
      </c>
      <c r="G53" s="293" t="n">
        <f aca="false">$F$53</f>
        <v>0.0303</v>
      </c>
      <c r="H53" s="294" t="n">
        <f aca="false">$F$53</f>
        <v>0.0303</v>
      </c>
    </row>
    <row r="54" customFormat="false" ht="15.75" hidden="false" customHeight="true" outlineLevel="0" collapsed="false">
      <c r="A54" s="278" t="s">
        <v>487</v>
      </c>
      <c r="B54" s="278"/>
      <c r="C54" s="265" t="n">
        <f aca="false">ROUND(C37,4)</f>
        <v>0.0669</v>
      </c>
      <c r="E54" s="295" t="s">
        <v>442</v>
      </c>
      <c r="F54" s="296" t="n">
        <f aca="false">SUM(F51:F53)</f>
        <v>0.2121</v>
      </c>
      <c r="G54" s="296" t="n">
        <f aca="false">SUM(G51:G53)</f>
        <v>0.2121</v>
      </c>
      <c r="H54" s="297" t="n">
        <f aca="false">SUM(H51:H53)</f>
        <v>0.2121</v>
      </c>
    </row>
    <row r="55" customFormat="false" ht="15.75" hidden="false" customHeight="true" outlineLevel="0" collapsed="false">
      <c r="A55" s="278" t="s">
        <v>488</v>
      </c>
      <c r="B55" s="278"/>
      <c r="C55" s="265" t="n">
        <f aca="false">ROUND(C46,4)</f>
        <v>0.155</v>
      </c>
      <c r="E55" s="292" t="s">
        <v>489</v>
      </c>
      <c r="F55" s="293" t="n">
        <f aca="false">F54*F49</f>
        <v>0.0727503</v>
      </c>
      <c r="G55" s="293" t="n">
        <f aca="false">G54*G49</f>
        <v>0.0844158</v>
      </c>
      <c r="H55" s="294" t="n">
        <f aca="false">H54*H49</f>
        <v>0.0844158</v>
      </c>
    </row>
    <row r="56" customFormat="false" ht="15.75" hidden="false" customHeight="true" outlineLevel="0" collapsed="false">
      <c r="A56" s="278" t="s">
        <v>474</v>
      </c>
      <c r="B56" s="278"/>
      <c r="C56" s="265" t="n">
        <f aca="false">ROUND(C49,4)</f>
        <v>0.0008</v>
      </c>
      <c r="E56" s="292" t="s">
        <v>490</v>
      </c>
      <c r="F56" s="293" t="n">
        <v>0.03491</v>
      </c>
      <c r="G56" s="293" t="n">
        <v>0.03491</v>
      </c>
      <c r="H56" s="294" t="n">
        <v>0.03491</v>
      </c>
    </row>
    <row r="57" customFormat="false" ht="15.75" hidden="false" customHeight="true" outlineLevel="0" collapsed="false">
      <c r="A57" s="298" t="s">
        <v>491</v>
      </c>
      <c r="B57" s="298"/>
      <c r="C57" s="268" t="n">
        <f aca="false">SUM(C51:C56)</f>
        <v>0.7905</v>
      </c>
      <c r="E57" s="299" t="s">
        <v>492</v>
      </c>
      <c r="F57" s="300" t="n">
        <v>0.3197603</v>
      </c>
      <c r="G57" s="300" t="n">
        <v>0.3314258</v>
      </c>
      <c r="H57" s="301" t="n">
        <v>0.3314258</v>
      </c>
    </row>
    <row r="58" customFormat="false" ht="24" hidden="false" customHeight="false" outlineLevel="0" collapsed="false">
      <c r="A58" s="302" t="s">
        <v>52</v>
      </c>
      <c r="B58" s="303"/>
      <c r="C58" s="304"/>
      <c r="E58" s="292" t="s">
        <v>493</v>
      </c>
      <c r="F58" s="293" t="s">
        <v>341</v>
      </c>
      <c r="G58" s="293" t="s">
        <v>341</v>
      </c>
      <c r="H58" s="294" t="s">
        <v>341</v>
      </c>
    </row>
    <row r="59" customFormat="false" ht="54.75" hidden="false" customHeight="true" outlineLevel="0" collapsed="false">
      <c r="A59" s="305" t="s">
        <v>494</v>
      </c>
      <c r="B59" s="305"/>
      <c r="C59" s="305"/>
      <c r="E59" s="306" t="s">
        <v>495</v>
      </c>
      <c r="F59" s="307" t="n">
        <v>0.3197603</v>
      </c>
      <c r="G59" s="307" t="n">
        <v>0.3314258</v>
      </c>
      <c r="H59" s="308" t="n">
        <v>0.3314258</v>
      </c>
    </row>
    <row r="61" customFormat="false" ht="12.75" hidden="false" customHeight="true" outlineLevel="0" collapsed="false"/>
  </sheetData>
  <sheetProtection sheet="true" password="c494" objects="true" scenarios="true"/>
  <mergeCells count="36">
    <mergeCell ref="A4:C4"/>
    <mergeCell ref="A5:C5"/>
    <mergeCell ref="A6:C6"/>
    <mergeCell ref="A7:C7"/>
    <mergeCell ref="B9:C9"/>
    <mergeCell ref="A18:B18"/>
    <mergeCell ref="A19:C19"/>
    <mergeCell ref="A20:C20"/>
    <mergeCell ref="A23:B23"/>
    <mergeCell ref="A24:B24"/>
    <mergeCell ref="A25:B25"/>
    <mergeCell ref="B26:C26"/>
    <mergeCell ref="A28:B28"/>
    <mergeCell ref="A29:B29"/>
    <mergeCell ref="B30:C30"/>
    <mergeCell ref="A32:B32"/>
    <mergeCell ref="A35:B35"/>
    <mergeCell ref="A37:B37"/>
    <mergeCell ref="B38:C38"/>
    <mergeCell ref="A44:B44"/>
    <mergeCell ref="E44:H45"/>
    <mergeCell ref="A45:B45"/>
    <mergeCell ref="A46:B46"/>
    <mergeCell ref="E46:E47"/>
    <mergeCell ref="F46:H46"/>
    <mergeCell ref="F47:H47"/>
    <mergeCell ref="A49:B49"/>
    <mergeCell ref="A50:C50"/>
    <mergeCell ref="A51:B51"/>
    <mergeCell ref="A52:B52"/>
    <mergeCell ref="A53:B53"/>
    <mergeCell ref="A54:B54"/>
    <mergeCell ref="A55:B55"/>
    <mergeCell ref="A56:B56"/>
    <mergeCell ref="A57:B57"/>
    <mergeCell ref="A59:C59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2" activeCellId="0" sqref="F12"/>
    </sheetView>
  </sheetViews>
  <sheetFormatPr defaultColWidth="9.00390625" defaultRowHeight="15" zeroHeight="false" outlineLevelRow="0" outlineLevelCol="0"/>
  <cols>
    <col collapsed="false" customWidth="true" hidden="false" outlineLevel="0" max="1" min="1" style="118" width="5"/>
    <col collapsed="false" customWidth="true" hidden="false" outlineLevel="0" max="2" min="2" style="76" width="59.14"/>
    <col collapsed="false" customWidth="true" hidden="false" outlineLevel="0" max="3" min="3" style="76" width="10.42"/>
    <col collapsed="false" customWidth="true" hidden="false" outlineLevel="0" max="4" min="4" style="76" width="18.42"/>
    <col collapsed="false" customWidth="true" hidden="false" outlineLevel="0" max="5" min="5" style="76" width="11.57"/>
    <col collapsed="false" customWidth="true" hidden="false" outlineLevel="0" max="6" min="6" style="118" width="9.42"/>
    <col collapsed="false" customWidth="true" hidden="false" outlineLevel="0" max="7" min="7" style="76" width="11.43"/>
    <col collapsed="false" customWidth="true" hidden="false" outlineLevel="0" max="8" min="8" style="247" width="23.71"/>
    <col collapsed="false" customWidth="true" hidden="false" outlineLevel="0" max="9" min="9" style="247" width="4.29"/>
    <col collapsed="false" customWidth="true" hidden="false" outlineLevel="0" max="10" min="10" style="247" width="11.43"/>
    <col collapsed="false" customWidth="true" hidden="false" outlineLevel="0" max="11" min="11" style="76" width="12.42"/>
    <col collapsed="false" customWidth="true" hidden="false" outlineLevel="0" max="12" min="12" style="247" width="10"/>
    <col collapsed="false" customWidth="true" hidden="false" outlineLevel="0" max="257" min="257" style="247" width="8.29"/>
    <col collapsed="false" customWidth="true" hidden="false" outlineLevel="0" max="258" min="258" style="247" width="44.57"/>
    <col collapsed="false" customWidth="true" hidden="false" outlineLevel="0" max="259" min="259" style="247" width="7.42"/>
    <col collapsed="false" customWidth="true" hidden="false" outlineLevel="0" max="260" min="260" style="247" width="13"/>
    <col collapsed="false" customWidth="true" hidden="false" outlineLevel="0" max="261" min="261" style="247" width="11.71"/>
    <col collapsed="false" customWidth="true" hidden="false" outlineLevel="0" max="262" min="262" style="247" width="10.57"/>
    <col collapsed="false" customWidth="true" hidden="false" outlineLevel="0" max="263" min="263" style="247" width="14.42"/>
    <col collapsed="false" customWidth="true" hidden="false" outlineLevel="0" max="264" min="264" style="247" width="35.43"/>
    <col collapsed="false" customWidth="true" hidden="false" outlineLevel="0" max="265" min="265" style="247" width="14"/>
    <col collapsed="false" customWidth="true" hidden="false" outlineLevel="0" max="266" min="266" style="247" width="11.71"/>
    <col collapsed="false" customWidth="true" hidden="false" outlineLevel="0" max="267" min="267" style="247" width="13.57"/>
    <col collapsed="false" customWidth="true" hidden="false" outlineLevel="0" max="513" min="513" style="247" width="8.29"/>
    <col collapsed="false" customWidth="true" hidden="false" outlineLevel="0" max="514" min="514" style="247" width="44.57"/>
    <col collapsed="false" customWidth="true" hidden="false" outlineLevel="0" max="515" min="515" style="247" width="7.42"/>
    <col collapsed="false" customWidth="true" hidden="false" outlineLevel="0" max="516" min="516" style="247" width="13"/>
    <col collapsed="false" customWidth="true" hidden="false" outlineLevel="0" max="517" min="517" style="247" width="11.71"/>
    <col collapsed="false" customWidth="true" hidden="false" outlineLevel="0" max="518" min="518" style="247" width="10.57"/>
    <col collapsed="false" customWidth="true" hidden="false" outlineLevel="0" max="519" min="519" style="247" width="14.42"/>
    <col collapsed="false" customWidth="true" hidden="false" outlineLevel="0" max="520" min="520" style="247" width="35.43"/>
    <col collapsed="false" customWidth="true" hidden="false" outlineLevel="0" max="521" min="521" style="247" width="14"/>
    <col collapsed="false" customWidth="true" hidden="false" outlineLevel="0" max="522" min="522" style="247" width="11.71"/>
    <col collapsed="false" customWidth="true" hidden="false" outlineLevel="0" max="523" min="523" style="247" width="13.57"/>
    <col collapsed="false" customWidth="true" hidden="false" outlineLevel="0" max="769" min="769" style="247" width="8.29"/>
    <col collapsed="false" customWidth="true" hidden="false" outlineLevel="0" max="770" min="770" style="247" width="44.57"/>
    <col collapsed="false" customWidth="true" hidden="false" outlineLevel="0" max="771" min="771" style="247" width="7.42"/>
    <col collapsed="false" customWidth="true" hidden="false" outlineLevel="0" max="772" min="772" style="247" width="13"/>
    <col collapsed="false" customWidth="true" hidden="false" outlineLevel="0" max="773" min="773" style="247" width="11.71"/>
    <col collapsed="false" customWidth="true" hidden="false" outlineLevel="0" max="774" min="774" style="247" width="10.57"/>
    <col collapsed="false" customWidth="true" hidden="false" outlineLevel="0" max="775" min="775" style="247" width="14.42"/>
    <col collapsed="false" customWidth="true" hidden="false" outlineLevel="0" max="776" min="776" style="247" width="35.43"/>
    <col collapsed="false" customWidth="true" hidden="false" outlineLevel="0" max="777" min="777" style="247" width="14"/>
    <col collapsed="false" customWidth="true" hidden="false" outlineLevel="0" max="778" min="778" style="247" width="11.71"/>
    <col collapsed="false" customWidth="true" hidden="false" outlineLevel="0" max="779" min="779" style="247" width="13.57"/>
  </cols>
  <sheetData>
    <row r="1" s="76" customFormat="true" ht="15" hidden="false" customHeight="true" outlineLevel="0" collapsed="false">
      <c r="A1" s="309"/>
      <c r="B1" s="249" t="str">
        <f aca="false">INSTRUÇÕES!B1</f>
        <v>Tribunal Regional Federal da 6ª Região</v>
      </c>
      <c r="C1" s="310"/>
      <c r="D1" s="310"/>
      <c r="E1" s="310"/>
      <c r="F1" s="311"/>
      <c r="G1" s="310"/>
      <c r="H1" s="312"/>
    </row>
    <row r="2" s="76" customFormat="true" ht="17.25" hidden="false" customHeight="true" outlineLevel="0" collapsed="false">
      <c r="A2" s="313"/>
      <c r="B2" s="167" t="str">
        <f aca="false">INSTRUÇÕES!B2</f>
        <v>Seção Judiciária de Minas Gerais</v>
      </c>
      <c r="F2" s="118"/>
      <c r="H2" s="314"/>
    </row>
    <row r="3" s="76" customFormat="true" ht="16.5" hidden="false" customHeight="true" outlineLevel="0" collapsed="false">
      <c r="A3" s="313"/>
      <c r="B3" s="167" t="str">
        <f aca="false">INSTRUÇÕES!B3</f>
        <v>Subseção Judiciária de Juiz de Fora</v>
      </c>
      <c r="F3" s="118"/>
      <c r="H3" s="314"/>
    </row>
    <row r="4" s="76" customFormat="true" ht="27.75" hidden="false" customHeight="true" outlineLevel="0" collapsed="false">
      <c r="A4" s="315" t="s">
        <v>496</v>
      </c>
      <c r="B4" s="315"/>
      <c r="C4" s="315"/>
      <c r="D4" s="315"/>
      <c r="E4" s="315"/>
      <c r="F4" s="315"/>
      <c r="G4" s="315"/>
      <c r="H4" s="315"/>
      <c r="I4" s="316"/>
      <c r="J4" s="316"/>
    </row>
    <row r="5" s="318" customFormat="true" ht="24" hidden="false" customHeight="true" outlineLevel="0" collapsed="false">
      <c r="A5" s="317" t="s">
        <v>497</v>
      </c>
      <c r="B5" s="317"/>
      <c r="C5" s="317"/>
      <c r="D5" s="317"/>
      <c r="E5" s="317"/>
      <c r="F5" s="317"/>
      <c r="G5" s="317"/>
      <c r="H5" s="317"/>
      <c r="K5" s="319"/>
    </row>
    <row r="6" s="76" customFormat="true" ht="12.75" hidden="false" customHeight="true" outlineLevel="0" collapsed="false">
      <c r="A6" s="320" t="s">
        <v>61</v>
      </c>
      <c r="B6" s="321" t="s">
        <v>498</v>
      </c>
      <c r="C6" s="321"/>
      <c r="D6" s="321"/>
      <c r="E6" s="322" t="s">
        <v>63</v>
      </c>
      <c r="F6" s="322"/>
      <c r="G6" s="322"/>
      <c r="H6" s="323" t="s">
        <v>499</v>
      </c>
      <c r="I6" s="75"/>
      <c r="J6" s="75"/>
    </row>
    <row r="7" s="76" customFormat="true" ht="12.75" hidden="false" customHeight="true" outlineLevel="0" collapsed="false">
      <c r="A7" s="320"/>
      <c r="B7" s="321"/>
      <c r="C7" s="321"/>
      <c r="D7" s="321"/>
      <c r="E7" s="322"/>
      <c r="F7" s="322"/>
      <c r="G7" s="322"/>
      <c r="H7" s="323"/>
      <c r="I7" s="75"/>
      <c r="J7" s="324" t="s">
        <v>500</v>
      </c>
      <c r="K7" s="324"/>
      <c r="L7" s="324"/>
    </row>
    <row r="8" s="76" customFormat="true" ht="24" hidden="false" customHeight="false" outlineLevel="0" collapsed="false">
      <c r="A8" s="320"/>
      <c r="B8" s="321" t="s">
        <v>67</v>
      </c>
      <c r="C8" s="325" t="s">
        <v>68</v>
      </c>
      <c r="D8" s="325" t="s">
        <v>69</v>
      </c>
      <c r="E8" s="325" t="s">
        <v>72</v>
      </c>
      <c r="F8" s="325" t="s">
        <v>501</v>
      </c>
      <c r="G8" s="325" t="s">
        <v>71</v>
      </c>
      <c r="H8" s="323"/>
      <c r="I8" s="75"/>
      <c r="J8" s="326" t="s">
        <v>502</v>
      </c>
      <c r="K8" s="327" t="s">
        <v>74</v>
      </c>
      <c r="L8" s="326" t="s">
        <v>503</v>
      </c>
    </row>
    <row r="9" s="76" customFormat="true" ht="15" hidden="false" customHeight="false" outlineLevel="0" collapsed="false">
      <c r="A9" s="85" t="n">
        <v>1</v>
      </c>
      <c r="B9" s="328" t="s">
        <v>83</v>
      </c>
      <c r="C9" s="329" t="s">
        <v>84</v>
      </c>
      <c r="D9" s="329"/>
      <c r="E9" s="330" t="n">
        <f aca="false">'Ocorrências Mensais - FAT'!G33</f>
        <v>6</v>
      </c>
      <c r="F9" s="331" t="n">
        <v>34.94</v>
      </c>
      <c r="G9" s="332" t="n">
        <f aca="false">E9*F9</f>
        <v>209.64</v>
      </c>
      <c r="H9" s="333"/>
      <c r="I9" s="75"/>
      <c r="J9" s="329" t="n">
        <v>6</v>
      </c>
      <c r="K9" s="329" t="s">
        <v>504</v>
      </c>
      <c r="L9" s="334" t="n">
        <f aca="false">IF(K9="Semestral",6,IF(K9="Mensal",1,IF(K9="Anual",12,IF(K9="Bienal",24,IF(K9="Trimestral",3,IF(K9="Bimestral",2,IF(K9="Quadrimestral",4)))))))</f>
        <v>1</v>
      </c>
    </row>
    <row r="10" s="76" customFormat="true" ht="15" hidden="false" customHeight="false" outlineLevel="0" collapsed="false">
      <c r="A10" s="85" t="n">
        <v>2</v>
      </c>
      <c r="B10" s="328" t="s">
        <v>85</v>
      </c>
      <c r="C10" s="329" t="s">
        <v>86</v>
      </c>
      <c r="D10" s="335"/>
      <c r="E10" s="330" t="n">
        <f aca="false">'Ocorrências Mensais - FAT'!G34</f>
        <v>24</v>
      </c>
      <c r="F10" s="331" t="n">
        <v>7.14</v>
      </c>
      <c r="G10" s="332" t="n">
        <f aca="false">E10*F10</f>
        <v>171.36</v>
      </c>
      <c r="H10" s="333"/>
      <c r="I10" s="75"/>
      <c r="J10" s="329" t="n">
        <v>24</v>
      </c>
      <c r="K10" s="329" t="s">
        <v>504</v>
      </c>
      <c r="L10" s="334" t="n">
        <f aca="false">IF(K10="Semestral",6,IF(K10="Mensal",1,IF(K10="Anual",12,IF(K10="Bienal",24,IF(K10="Trimestral",3,IF(K10="Bimestral",2,IF(K10="Quadrimestral",4)))))))</f>
        <v>1</v>
      </c>
    </row>
    <row r="11" s="76" customFormat="true" ht="15" hidden="false" customHeight="false" outlineLevel="0" collapsed="false">
      <c r="A11" s="85" t="n">
        <v>3</v>
      </c>
      <c r="B11" s="328" t="s">
        <v>87</v>
      </c>
      <c r="C11" s="329" t="s">
        <v>86</v>
      </c>
      <c r="D11" s="329" t="s">
        <v>88</v>
      </c>
      <c r="E11" s="330" t="n">
        <f aca="false">'Ocorrências Mensais - FAT'!G35</f>
        <v>0.333333333333333</v>
      </c>
      <c r="F11" s="331" t="n">
        <v>62.16</v>
      </c>
      <c r="G11" s="332" t="n">
        <f aca="false">E11*F11</f>
        <v>20.72</v>
      </c>
      <c r="H11" s="333"/>
      <c r="I11" s="75"/>
      <c r="J11" s="329" t="n">
        <v>2</v>
      </c>
      <c r="K11" s="329" t="s">
        <v>505</v>
      </c>
      <c r="L11" s="334" t="n">
        <f aca="false">IF(K11="Semestral",6,IF(K11="Mensal",1,IF(K11="Anual",12,IF(K11="Bienal",24,IF(K11="Trimestral",3,IF(K11="Bimestral",2,IF(K11="Quadrimestral",4)))))))</f>
        <v>6</v>
      </c>
    </row>
    <row r="12" s="76" customFormat="true" ht="15" hidden="false" customHeight="false" outlineLevel="0" collapsed="false">
      <c r="A12" s="85" t="n">
        <v>4</v>
      </c>
      <c r="B12" s="328" t="s">
        <v>89</v>
      </c>
      <c r="C12" s="329" t="s">
        <v>86</v>
      </c>
      <c r="D12" s="329"/>
      <c r="E12" s="330" t="n">
        <f aca="false">'Ocorrências Mensais - FAT'!G36</f>
        <v>2.66666666666667</v>
      </c>
      <c r="F12" s="331" t="n">
        <v>7.39</v>
      </c>
      <c r="G12" s="332" t="n">
        <f aca="false">E12*F12</f>
        <v>19.7066666666667</v>
      </c>
      <c r="H12" s="333"/>
      <c r="I12" s="75"/>
      <c r="J12" s="329" t="n">
        <v>8</v>
      </c>
      <c r="K12" s="329" t="s">
        <v>506</v>
      </c>
      <c r="L12" s="334" t="n">
        <f aca="false">IF(K12="Semestral",6,IF(K12="Mensal",1,IF(K12="Anual",12,IF(K12="Bienal",24,IF(K12="Trimestral",3,IF(K12="Bimestral",2,IF(K12="Quadrimestral",4)))))))</f>
        <v>3</v>
      </c>
    </row>
    <row r="13" s="76" customFormat="true" ht="15" hidden="false" customHeight="false" outlineLevel="0" collapsed="false">
      <c r="A13" s="85" t="n">
        <v>5</v>
      </c>
      <c r="B13" s="328" t="s">
        <v>90</v>
      </c>
      <c r="C13" s="329" t="s">
        <v>86</v>
      </c>
      <c r="D13" s="329"/>
      <c r="E13" s="330" t="n">
        <f aca="false">'Ocorrências Mensais - FAT'!G37</f>
        <v>3.33333333333333</v>
      </c>
      <c r="F13" s="331" t="n">
        <v>15.88</v>
      </c>
      <c r="G13" s="332" t="n">
        <f aca="false">E13*F13</f>
        <v>52.9333333333333</v>
      </c>
      <c r="H13" s="333"/>
      <c r="I13" s="75"/>
      <c r="J13" s="329" t="n">
        <v>10</v>
      </c>
      <c r="K13" s="329" t="s">
        <v>506</v>
      </c>
      <c r="L13" s="334" t="n">
        <f aca="false">IF(K13="Semestral",6,IF(K13="Mensal",1,IF(K13="Anual",12,IF(K13="Bienal",24,IF(K13="Trimestral",3,IF(K13="Bimestral",2,IF(K13="Quadrimestral",4)))))))</f>
        <v>3</v>
      </c>
    </row>
    <row r="14" s="76" customFormat="true" ht="25.5" hidden="false" customHeight="false" outlineLevel="0" collapsed="false">
      <c r="A14" s="85" t="n">
        <v>6</v>
      </c>
      <c r="B14" s="328" t="s">
        <v>91</v>
      </c>
      <c r="C14" s="329" t="s">
        <v>86</v>
      </c>
      <c r="D14" s="336"/>
      <c r="E14" s="330" t="n">
        <f aca="false">'Ocorrências Mensais - FAT'!G38</f>
        <v>0.25</v>
      </c>
      <c r="F14" s="331" t="n">
        <v>46.6</v>
      </c>
      <c r="G14" s="332" t="n">
        <f aca="false">E14*F14</f>
        <v>11.65</v>
      </c>
      <c r="H14" s="333"/>
      <c r="I14" s="75"/>
      <c r="J14" s="329" t="n">
        <v>1</v>
      </c>
      <c r="K14" s="329" t="s">
        <v>507</v>
      </c>
      <c r="L14" s="334" t="n">
        <f aca="false">IF(K14="Semestral",6,IF(K14="Mensal",1,IF(K14="Anual",12,IF(K14="Bienal",24,IF(K14="Trimestral",3,IF(K14="Bimestral",2,IF(K14="Quadrimestral",4)))))))</f>
        <v>4</v>
      </c>
    </row>
    <row r="15" s="76" customFormat="true" ht="15" hidden="false" customHeight="false" outlineLevel="0" collapsed="false">
      <c r="A15" s="85" t="n">
        <v>7</v>
      </c>
      <c r="B15" s="328" t="s">
        <v>92</v>
      </c>
      <c r="C15" s="329" t="s">
        <v>86</v>
      </c>
      <c r="D15" s="329"/>
      <c r="E15" s="330" t="n">
        <f aca="false">'Ocorrências Mensais - FAT'!G39</f>
        <v>1.66666666666667</v>
      </c>
      <c r="F15" s="331" t="n">
        <v>4.32</v>
      </c>
      <c r="G15" s="332" t="n">
        <f aca="false">E15*F15</f>
        <v>7.2</v>
      </c>
      <c r="H15" s="337"/>
      <c r="I15" s="75"/>
      <c r="J15" s="329" t="n">
        <v>5</v>
      </c>
      <c r="K15" s="329" t="s">
        <v>506</v>
      </c>
      <c r="L15" s="334" t="n">
        <f aca="false">IF(K15="Semestral",6,IF(K15="Mensal",1,IF(K15="Anual",12,IF(K15="Bienal",24,IF(K15="Trimestral",3,IF(K15="Bimestral",2,IF(K15="Quadrimestral",4)))))))</f>
        <v>3</v>
      </c>
    </row>
    <row r="16" s="76" customFormat="true" ht="15" hidden="false" customHeight="false" outlineLevel="0" collapsed="false">
      <c r="A16" s="99" t="n">
        <v>8</v>
      </c>
      <c r="B16" s="328" t="s">
        <v>93</v>
      </c>
      <c r="C16" s="329" t="s">
        <v>86</v>
      </c>
      <c r="D16" s="329"/>
      <c r="E16" s="330" t="n">
        <f aca="false">'Ocorrências Mensais - FAT'!G40</f>
        <v>2</v>
      </c>
      <c r="F16" s="331" t="n">
        <v>6.62</v>
      </c>
      <c r="G16" s="332" t="n">
        <f aca="false">E16*F16</f>
        <v>13.24</v>
      </c>
      <c r="H16" s="337"/>
      <c r="I16" s="75"/>
      <c r="J16" s="329" t="n">
        <v>6</v>
      </c>
      <c r="K16" s="329" t="s">
        <v>506</v>
      </c>
      <c r="L16" s="334" t="n">
        <f aca="false">IF(K16="Semestral",6,IF(K16="Mensal",1,IF(K16="Anual",12,IF(K16="Bienal",24,IF(K16="Trimestral",3,IF(K16="Bimestral",2,IF(K16="Quadrimestral",4)))))))</f>
        <v>3</v>
      </c>
    </row>
    <row r="17" s="76" customFormat="true" ht="15" hidden="false" customHeight="false" outlineLevel="0" collapsed="false">
      <c r="A17" s="85" t="n">
        <v>9</v>
      </c>
      <c r="B17" s="328" t="s">
        <v>94</v>
      </c>
      <c r="C17" s="329" t="s">
        <v>84</v>
      </c>
      <c r="D17" s="329"/>
      <c r="E17" s="330" t="n">
        <f aca="false">'Ocorrências Mensais - FAT'!G41</f>
        <v>2</v>
      </c>
      <c r="F17" s="331" t="n">
        <v>11.48</v>
      </c>
      <c r="G17" s="332" t="n">
        <f aca="false">E17*F17</f>
        <v>22.96</v>
      </c>
      <c r="H17" s="333"/>
      <c r="I17" s="75"/>
      <c r="J17" s="329" t="n">
        <v>2</v>
      </c>
      <c r="K17" s="329" t="s">
        <v>504</v>
      </c>
      <c r="L17" s="334" t="n">
        <f aca="false">IF(K17="Semestral",6,IF(K17="Mensal",1,IF(K17="Anual",12,IF(K17="Bienal",24,IF(K17="Trimestral",3,IF(K17="Bimestral",2,IF(K17="Quadrimestral",4)))))))</f>
        <v>1</v>
      </c>
    </row>
    <row r="18" s="76" customFormat="true" ht="15" hidden="false" customHeight="false" outlineLevel="0" collapsed="false">
      <c r="A18" s="85" t="n">
        <v>10</v>
      </c>
      <c r="B18" s="338" t="s">
        <v>95</v>
      </c>
      <c r="C18" s="329" t="s">
        <v>86</v>
      </c>
      <c r="D18" s="329" t="s">
        <v>96</v>
      </c>
      <c r="E18" s="330" t="n">
        <f aca="false">'Ocorrências Mensais - FAT'!G42</f>
        <v>40</v>
      </c>
      <c r="F18" s="331" t="n">
        <v>2.23</v>
      </c>
      <c r="G18" s="332" t="n">
        <f aca="false">E18*F18</f>
        <v>89.2</v>
      </c>
      <c r="H18" s="333"/>
      <c r="I18" s="75"/>
      <c r="J18" s="329" t="n">
        <v>40</v>
      </c>
      <c r="K18" s="329" t="s">
        <v>504</v>
      </c>
      <c r="L18" s="334" t="n">
        <f aca="false">IF(K18="Semestral",6,IF(K18="Mensal",1,IF(K18="Anual",12,IF(K18="Bienal",24,IF(K18="Trimestral",3,IF(K18="Bimestral",2,IF(K18="Quadrimestral",4)))))))</f>
        <v>1</v>
      </c>
    </row>
    <row r="19" s="76" customFormat="true" ht="15" hidden="false" customHeight="false" outlineLevel="0" collapsed="false">
      <c r="A19" s="85" t="n">
        <v>11</v>
      </c>
      <c r="B19" s="338" t="s">
        <v>97</v>
      </c>
      <c r="C19" s="329" t="s">
        <v>86</v>
      </c>
      <c r="D19" s="329"/>
      <c r="E19" s="330" t="n">
        <f aca="false">'Ocorrências Mensais - FAT'!G43</f>
        <v>1</v>
      </c>
      <c r="F19" s="331" t="n">
        <v>18.84</v>
      </c>
      <c r="G19" s="332" t="n">
        <f aca="false">E19*F19</f>
        <v>18.84</v>
      </c>
      <c r="H19" s="333"/>
      <c r="I19" s="75"/>
      <c r="J19" s="329" t="n">
        <v>2</v>
      </c>
      <c r="K19" s="329" t="s">
        <v>508</v>
      </c>
      <c r="L19" s="334" t="n">
        <f aca="false">IF(K19="Semestral",6,IF(K19="Mensal",1,IF(K19="Anual",12,IF(K19="Bienal",24,IF(K19="Trimestral",3,IF(K19="Bimestral",2,IF(K19="Quadrimestral",4)))))))</f>
        <v>2</v>
      </c>
    </row>
    <row r="20" s="76" customFormat="true" ht="15" hidden="false" customHeight="false" outlineLevel="0" collapsed="false">
      <c r="A20" s="85" t="n">
        <v>12</v>
      </c>
      <c r="B20" s="338" t="s">
        <v>98</v>
      </c>
      <c r="C20" s="329" t="s">
        <v>86</v>
      </c>
      <c r="D20" s="329"/>
      <c r="E20" s="330" t="n">
        <f aca="false">'Ocorrências Mensais - FAT'!G44</f>
        <v>0.666666666666667</v>
      </c>
      <c r="F20" s="331" t="n">
        <v>26.41</v>
      </c>
      <c r="G20" s="332" t="n">
        <f aca="false">E20*F20</f>
        <v>17.6066666666667</v>
      </c>
      <c r="H20" s="333"/>
      <c r="I20" s="75"/>
      <c r="J20" s="329" t="n">
        <v>2</v>
      </c>
      <c r="K20" s="329" t="s">
        <v>506</v>
      </c>
      <c r="L20" s="334" t="n">
        <f aca="false">IF(K20="Semestral",6,IF(K20="Mensal",1,IF(K20="Anual",12,IF(K20="Bienal",24,IF(K20="Trimestral",3,IF(K20="Bimestral",2,IF(K20="Quadrimestral",4)))))))</f>
        <v>3</v>
      </c>
    </row>
    <row r="21" s="76" customFormat="true" ht="15" hidden="false" customHeight="false" outlineLevel="0" collapsed="false">
      <c r="A21" s="85" t="n">
        <v>13</v>
      </c>
      <c r="B21" s="338" t="s">
        <v>99</v>
      </c>
      <c r="C21" s="329" t="s">
        <v>86</v>
      </c>
      <c r="D21" s="329"/>
      <c r="E21" s="330" t="n">
        <f aca="false">'Ocorrências Mensais - FAT'!G45</f>
        <v>2</v>
      </c>
      <c r="F21" s="331" t="n">
        <v>2.9</v>
      </c>
      <c r="G21" s="332" t="n">
        <f aca="false">E21*F21</f>
        <v>5.8</v>
      </c>
      <c r="H21" s="333"/>
      <c r="I21" s="75"/>
      <c r="J21" s="329" t="n">
        <v>6</v>
      </c>
      <c r="K21" s="329" t="s">
        <v>506</v>
      </c>
      <c r="L21" s="334" t="n">
        <f aca="false">IF(K21="Semestral",6,IF(K21="Mensal",1,IF(K21="Anual",12,IF(K21="Bienal",24,IF(K21="Trimestral",3,IF(K21="Bimestral",2,IF(K21="Quadrimestral",4)))))))</f>
        <v>3</v>
      </c>
    </row>
    <row r="22" s="76" customFormat="true" ht="15" hidden="false" customHeight="false" outlineLevel="0" collapsed="false">
      <c r="A22" s="85" t="n">
        <v>14</v>
      </c>
      <c r="B22" s="338" t="s">
        <v>100</v>
      </c>
      <c r="C22" s="329" t="s">
        <v>86</v>
      </c>
      <c r="D22" s="329"/>
      <c r="E22" s="330" t="n">
        <f aca="false">'Ocorrências Mensais - FAT'!G46</f>
        <v>0.666666666666667</v>
      </c>
      <c r="F22" s="331" t="n">
        <v>39.85</v>
      </c>
      <c r="G22" s="332" t="n">
        <f aca="false">E22*F22</f>
        <v>26.5666666666667</v>
      </c>
      <c r="H22" s="337"/>
      <c r="I22" s="75"/>
      <c r="J22" s="329" t="n">
        <v>2</v>
      </c>
      <c r="K22" s="329" t="s">
        <v>506</v>
      </c>
      <c r="L22" s="334" t="n">
        <f aca="false">IF(K22="Semestral",6,IF(K22="Mensal",1,IF(K22="Anual",12,IF(K22="Bienal",24,IF(K22="Trimestral",3,IF(K22="Bimestral",2,IF(K22="Quadrimestral",4)))))))</f>
        <v>3</v>
      </c>
    </row>
    <row r="23" s="76" customFormat="true" ht="15" hidden="false" customHeight="false" outlineLevel="0" collapsed="false">
      <c r="A23" s="85" t="n">
        <v>15</v>
      </c>
      <c r="B23" s="339" t="s">
        <v>101</v>
      </c>
      <c r="C23" s="329" t="s">
        <v>86</v>
      </c>
      <c r="D23" s="340"/>
      <c r="E23" s="330" t="n">
        <f aca="false">'Ocorrências Mensais - FAT'!G47</f>
        <v>0.666666666666667</v>
      </c>
      <c r="F23" s="331" t="n">
        <v>43.24</v>
      </c>
      <c r="G23" s="332" t="n">
        <f aca="false">E23*F23</f>
        <v>28.8266666666667</v>
      </c>
      <c r="H23" s="337"/>
      <c r="I23" s="75"/>
      <c r="J23" s="340" t="n">
        <v>2</v>
      </c>
      <c r="K23" s="340" t="s">
        <v>506</v>
      </c>
      <c r="L23" s="334" t="n">
        <f aca="false">IF(K23="Semestral",6,IF(K23="Mensal",1,IF(K23="Anual",12,IF(K23="Bienal",24,IF(K23="Trimestral",3,IF(K23="Bimestral",2,IF(K23="Quadrimestral",4)))))))</f>
        <v>3</v>
      </c>
    </row>
    <row r="24" s="76" customFormat="true" ht="15" hidden="false" customHeight="false" outlineLevel="0" collapsed="false">
      <c r="A24" s="85" t="n">
        <v>16</v>
      </c>
      <c r="B24" s="338" t="s">
        <v>102</v>
      </c>
      <c r="C24" s="329" t="s">
        <v>86</v>
      </c>
      <c r="D24" s="341"/>
      <c r="E24" s="330" t="n">
        <f aca="false">'Ocorrências Mensais - FAT'!G48</f>
        <v>70</v>
      </c>
      <c r="F24" s="331" t="n">
        <v>0.9</v>
      </c>
      <c r="G24" s="332" t="n">
        <f aca="false">E24*F24</f>
        <v>63</v>
      </c>
      <c r="H24" s="337"/>
      <c r="I24" s="75"/>
      <c r="J24" s="329" t="n">
        <v>70</v>
      </c>
      <c r="K24" s="329" t="s">
        <v>504</v>
      </c>
      <c r="L24" s="334" t="n">
        <f aca="false">IF(K24="Semestral",6,IF(K24="Mensal",1,IF(K24="Anual",12,IF(K24="Bienal",24,IF(K24="Trimestral",3,IF(K24="Bimestral",2,IF(K24="Quadrimestral",4)))))))</f>
        <v>1</v>
      </c>
    </row>
    <row r="25" s="76" customFormat="true" ht="15" hidden="false" customHeight="false" outlineLevel="0" collapsed="false">
      <c r="A25" s="85" t="n">
        <v>17</v>
      </c>
      <c r="B25" s="338" t="s">
        <v>103</v>
      </c>
      <c r="C25" s="329" t="s">
        <v>86</v>
      </c>
      <c r="D25" s="329"/>
      <c r="E25" s="330" t="n">
        <f aca="false">'Ocorrências Mensais - FAT'!G49</f>
        <v>0.333333333333333</v>
      </c>
      <c r="F25" s="331" t="n">
        <v>20.24</v>
      </c>
      <c r="G25" s="332" t="n">
        <f aca="false">E25*F25</f>
        <v>6.74666666666667</v>
      </c>
      <c r="H25" s="333"/>
      <c r="I25" s="75"/>
      <c r="J25" s="329" t="n">
        <v>2</v>
      </c>
      <c r="K25" s="329" t="s">
        <v>505</v>
      </c>
      <c r="L25" s="334" t="n">
        <f aca="false">IF(K25="Semestral",6,IF(K25="Mensal",1,IF(K25="Anual",12,IF(K25="Bienal",24,IF(K25="Trimestral",3,IF(K25="Bimestral",2,IF(K25="Quadrimestral",4)))))))</f>
        <v>6</v>
      </c>
    </row>
    <row r="26" s="76" customFormat="true" ht="15" hidden="false" customHeight="false" outlineLevel="0" collapsed="false">
      <c r="A26" s="85" t="n">
        <v>18</v>
      </c>
      <c r="B26" s="338" t="s">
        <v>104</v>
      </c>
      <c r="C26" s="329" t="s">
        <v>86</v>
      </c>
      <c r="D26" s="329"/>
      <c r="E26" s="330" t="n">
        <f aca="false">'Ocorrências Mensais - FAT'!G50</f>
        <v>0.333333333333333</v>
      </c>
      <c r="F26" s="331" t="n">
        <v>54.58</v>
      </c>
      <c r="G26" s="332" t="n">
        <f aca="false">E26*F26</f>
        <v>18.1933333333333</v>
      </c>
      <c r="H26" s="333"/>
      <c r="I26" s="75"/>
      <c r="J26" s="329" t="n">
        <v>2</v>
      </c>
      <c r="K26" s="329" t="s">
        <v>505</v>
      </c>
      <c r="L26" s="334" t="n">
        <f aca="false">IF(K26="Semestral",6,IF(K26="Mensal",1,IF(K26="Anual",12,IF(K26="Bienal",24,IF(K26="Trimestral",3,IF(K26="Bimestral",2,IF(K26="Quadrimestral",4)))))))</f>
        <v>6</v>
      </c>
    </row>
    <row r="27" s="76" customFormat="true" ht="15" hidden="false" customHeight="false" outlineLevel="0" collapsed="false">
      <c r="A27" s="85" t="n">
        <v>19</v>
      </c>
      <c r="B27" s="338" t="s">
        <v>105</v>
      </c>
      <c r="C27" s="329" t="s">
        <v>86</v>
      </c>
      <c r="D27" s="341"/>
      <c r="E27" s="330" t="n">
        <f aca="false">'Ocorrências Mensais - FAT'!G51</f>
        <v>0.333333333333333</v>
      </c>
      <c r="F27" s="331" t="n">
        <v>24.97</v>
      </c>
      <c r="G27" s="332" t="n">
        <f aca="false">E27*F27</f>
        <v>8.32333333333333</v>
      </c>
      <c r="H27" s="333"/>
      <c r="I27" s="75"/>
      <c r="J27" s="329" t="n">
        <v>2</v>
      </c>
      <c r="K27" s="329" t="s">
        <v>505</v>
      </c>
      <c r="L27" s="334" t="n">
        <f aca="false">IF(K27="Semestral",6,IF(K27="Mensal",1,IF(K27="Anual",12,IF(K27="Bienal",24,IF(K27="Trimestral",3,IF(K27="Bimestral",2,IF(K27="Quadrimestral",4)))))))</f>
        <v>6</v>
      </c>
    </row>
    <row r="28" s="76" customFormat="true" ht="15" hidden="false" customHeight="false" outlineLevel="0" collapsed="false">
      <c r="A28" s="85" t="n">
        <v>20</v>
      </c>
      <c r="B28" s="338" t="s">
        <v>106</v>
      </c>
      <c r="C28" s="329" t="s">
        <v>86</v>
      </c>
      <c r="D28" s="329"/>
      <c r="E28" s="330" t="n">
        <f aca="false">'Ocorrências Mensais - FAT'!G52</f>
        <v>30</v>
      </c>
      <c r="F28" s="331" t="n">
        <v>2.43</v>
      </c>
      <c r="G28" s="332" t="n">
        <f aca="false">E28*F28</f>
        <v>72.9</v>
      </c>
      <c r="H28" s="337"/>
      <c r="I28" s="75"/>
      <c r="J28" s="329" t="n">
        <v>30</v>
      </c>
      <c r="K28" s="329" t="s">
        <v>504</v>
      </c>
      <c r="L28" s="334" t="n">
        <f aca="false">IF(K28="Semestral",6,IF(K28="Mensal",1,IF(K28="Anual",12,IF(K28="Bienal",24,IF(K28="Trimestral",3,IF(K28="Bimestral",2,IF(K28="Quadrimestral",4)))))))</f>
        <v>1</v>
      </c>
    </row>
    <row r="29" s="76" customFormat="true" ht="15" hidden="false" customHeight="false" outlineLevel="0" collapsed="false">
      <c r="A29" s="85" t="n">
        <v>21</v>
      </c>
      <c r="B29" s="328" t="s">
        <v>107</v>
      </c>
      <c r="C29" s="329" t="s">
        <v>108</v>
      </c>
      <c r="D29" s="329" t="s">
        <v>109</v>
      </c>
      <c r="E29" s="330" t="n">
        <f aca="false">'Ocorrências Mensais - FAT'!G53</f>
        <v>6</v>
      </c>
      <c r="F29" s="331" t="n">
        <v>2.65</v>
      </c>
      <c r="G29" s="332" t="n">
        <f aca="false">E29*F29</f>
        <v>15.9</v>
      </c>
      <c r="H29" s="337"/>
      <c r="I29" s="75"/>
      <c r="J29" s="329" t="n">
        <v>6</v>
      </c>
      <c r="K29" s="329" t="s">
        <v>504</v>
      </c>
      <c r="L29" s="334" t="n">
        <f aca="false">IF(K29="Semestral",6,IF(K29="Mensal",1,IF(K29="Anual",12,IF(K29="Bienal",24,IF(K29="Trimestral",3,IF(K29="Bimestral",2,IF(K29="Quadrimestral",4)))))))</f>
        <v>1</v>
      </c>
    </row>
    <row r="30" s="76" customFormat="true" ht="15" hidden="false" customHeight="false" outlineLevel="0" collapsed="false">
      <c r="A30" s="85" t="n">
        <v>22</v>
      </c>
      <c r="B30" s="328" t="s">
        <v>110</v>
      </c>
      <c r="C30" s="329" t="s">
        <v>84</v>
      </c>
      <c r="D30" s="341"/>
      <c r="E30" s="330" t="n">
        <f aca="false">'Ocorrências Mensais - FAT'!G54</f>
        <v>4</v>
      </c>
      <c r="F30" s="331" t="n">
        <v>31.61</v>
      </c>
      <c r="G30" s="332" t="n">
        <f aca="false">E30*F30</f>
        <v>126.44</v>
      </c>
      <c r="H30" s="333"/>
      <c r="I30" s="75"/>
      <c r="J30" s="329" t="n">
        <v>4</v>
      </c>
      <c r="K30" s="329" t="s">
        <v>504</v>
      </c>
      <c r="L30" s="334" t="n">
        <f aca="false">IF(K30="Semestral",6,IF(K30="Mensal",1,IF(K30="Anual",12,IF(K30="Bienal",24,IF(K30="Trimestral",3,IF(K30="Bimestral",2,IF(K30="Quadrimestral",4)))))))</f>
        <v>1</v>
      </c>
    </row>
    <row r="31" s="76" customFormat="true" ht="15" hidden="false" customHeight="false" outlineLevel="0" collapsed="false">
      <c r="A31" s="85" t="n">
        <v>23</v>
      </c>
      <c r="B31" s="338" t="s">
        <v>111</v>
      </c>
      <c r="C31" s="329" t="s">
        <v>86</v>
      </c>
      <c r="D31" s="341"/>
      <c r="E31" s="330" t="n">
        <f aca="false">'Ocorrências Mensais - FAT'!G55</f>
        <v>0.5</v>
      </c>
      <c r="F31" s="331" t="n">
        <v>28.56</v>
      </c>
      <c r="G31" s="332" t="n">
        <f aca="false">E31*F31</f>
        <v>14.28</v>
      </c>
      <c r="H31" s="333"/>
      <c r="I31" s="75"/>
      <c r="J31" s="329" t="n">
        <v>1</v>
      </c>
      <c r="K31" s="329" t="s">
        <v>508</v>
      </c>
      <c r="L31" s="334" t="n">
        <f aca="false">IF(K31="Semestral",6,IF(K31="Mensal",1,IF(K31="Anual",12,IF(K31="Bienal",24,IF(K31="Trimestral",3,IF(K31="Bimestral",2,IF(K31="Quadrimestral",4)))))))</f>
        <v>2</v>
      </c>
    </row>
    <row r="32" s="76" customFormat="true" ht="15" hidden="false" customHeight="false" outlineLevel="0" collapsed="false">
      <c r="A32" s="85" t="n">
        <v>24</v>
      </c>
      <c r="B32" s="342" t="s">
        <v>112</v>
      </c>
      <c r="C32" s="329" t="s">
        <v>86</v>
      </c>
      <c r="D32" s="329"/>
      <c r="E32" s="330" t="n">
        <f aca="false">'Ocorrências Mensais - FAT'!G56</f>
        <v>30</v>
      </c>
      <c r="F32" s="331" t="n">
        <v>6.94</v>
      </c>
      <c r="G32" s="332" t="n">
        <f aca="false">E32*F32</f>
        <v>208.2</v>
      </c>
      <c r="H32" s="333"/>
      <c r="I32" s="75"/>
      <c r="J32" s="329" t="n">
        <v>30</v>
      </c>
      <c r="K32" s="329" t="s">
        <v>504</v>
      </c>
      <c r="L32" s="334" t="n">
        <f aca="false">IF(K32="Semestral",6,IF(K32="Mensal",1,IF(K32="Anual",12,IF(K32="Bienal",24,IF(K32="Trimestral",3,IF(K32="Bimestral",2,IF(K32="Quadrimestral",4)))))))</f>
        <v>1</v>
      </c>
    </row>
    <row r="33" s="76" customFormat="true" ht="15" hidden="false" customHeight="false" outlineLevel="0" collapsed="false">
      <c r="A33" s="85" t="n">
        <v>25</v>
      </c>
      <c r="B33" s="338" t="s">
        <v>113</v>
      </c>
      <c r="C33" s="329" t="s">
        <v>86</v>
      </c>
      <c r="D33" s="329" t="s">
        <v>114</v>
      </c>
      <c r="E33" s="330" t="n">
        <f aca="false">'Ocorrências Mensais - FAT'!G57</f>
        <v>10</v>
      </c>
      <c r="F33" s="331" t="n">
        <v>9.06</v>
      </c>
      <c r="G33" s="332" t="n">
        <f aca="false">E33*F33</f>
        <v>90.6</v>
      </c>
      <c r="H33" s="333"/>
      <c r="I33" s="75"/>
      <c r="J33" s="329" t="n">
        <v>10</v>
      </c>
      <c r="K33" s="329" t="s">
        <v>504</v>
      </c>
      <c r="L33" s="334" t="n">
        <f aca="false">IF(K33="Semestral",6,IF(K33="Mensal",1,IF(K33="Anual",12,IF(K33="Bienal",24,IF(K33="Trimestral",3,IF(K33="Bimestral",2,IF(K33="Quadrimestral",4)))))))</f>
        <v>1</v>
      </c>
    </row>
    <row r="34" s="76" customFormat="true" ht="15" hidden="false" customHeight="false" outlineLevel="0" collapsed="false">
      <c r="A34" s="85" t="n">
        <v>26</v>
      </c>
      <c r="B34" s="338" t="s">
        <v>115</v>
      </c>
      <c r="C34" s="329" t="s">
        <v>116</v>
      </c>
      <c r="D34" s="329"/>
      <c r="E34" s="330" t="n">
        <f aca="false">'Ocorrências Mensais - FAT'!G58</f>
        <v>20</v>
      </c>
      <c r="F34" s="331" t="n">
        <v>8.35</v>
      </c>
      <c r="G34" s="332" t="n">
        <f aca="false">E34*F34</f>
        <v>167</v>
      </c>
      <c r="H34" s="337"/>
      <c r="I34" s="75"/>
      <c r="J34" s="329" t="n">
        <v>20</v>
      </c>
      <c r="K34" s="329" t="s">
        <v>504</v>
      </c>
      <c r="L34" s="334" t="n">
        <f aca="false">IF(K34="Semestral",6,IF(K34="Mensal",1,IF(K34="Anual",12,IF(K34="Bienal",24,IF(K34="Trimestral",3,IF(K34="Bimestral",2,IF(K34="Quadrimestral",4)))))))</f>
        <v>1</v>
      </c>
    </row>
    <row r="35" s="76" customFormat="true" ht="15" hidden="false" customHeight="false" outlineLevel="0" collapsed="false">
      <c r="A35" s="85" t="n">
        <v>27</v>
      </c>
      <c r="B35" s="338" t="s">
        <v>117</v>
      </c>
      <c r="C35" s="329" t="s">
        <v>116</v>
      </c>
      <c r="D35" s="329"/>
      <c r="E35" s="330" t="n">
        <f aca="false">'Ocorrências Mensais - FAT'!G59</f>
        <v>20</v>
      </c>
      <c r="F35" s="331" t="n">
        <v>8.35</v>
      </c>
      <c r="G35" s="332" t="n">
        <f aca="false">E35*F35</f>
        <v>167</v>
      </c>
      <c r="H35" s="337"/>
      <c r="I35" s="75"/>
      <c r="J35" s="329" t="n">
        <v>20</v>
      </c>
      <c r="K35" s="329" t="s">
        <v>504</v>
      </c>
      <c r="L35" s="334" t="n">
        <f aca="false">IF(K35="Semestral",6,IF(K35="Mensal",1,IF(K35="Anual",12,IF(K35="Bienal",24,IF(K35="Trimestral",3,IF(K35="Bimestral",2,IF(K35="Quadrimestral",4)))))))</f>
        <v>1</v>
      </c>
    </row>
    <row r="36" s="76" customFormat="true" ht="15" hidden="false" customHeight="false" outlineLevel="0" collapsed="false">
      <c r="A36" s="85" t="n">
        <v>28</v>
      </c>
      <c r="B36" s="338" t="s">
        <v>118</v>
      </c>
      <c r="C36" s="329" t="s">
        <v>86</v>
      </c>
      <c r="D36" s="329" t="s">
        <v>119</v>
      </c>
      <c r="E36" s="330" t="n">
        <f aca="false">'Ocorrências Mensais - FAT'!G60</f>
        <v>40</v>
      </c>
      <c r="F36" s="331" t="n">
        <v>5.16</v>
      </c>
      <c r="G36" s="332" t="n">
        <f aca="false">E36*F36</f>
        <v>206.4</v>
      </c>
      <c r="H36" s="337"/>
      <c r="I36" s="75"/>
      <c r="J36" s="329" t="n">
        <v>40</v>
      </c>
      <c r="K36" s="329" t="s">
        <v>504</v>
      </c>
      <c r="L36" s="334" t="n">
        <f aca="false">IF(K36="Semestral",6,IF(K36="Mensal",1,IF(K36="Anual",12,IF(K36="Bienal",24,IF(K36="Trimestral",3,IF(K36="Bimestral",2,IF(K36="Quadrimestral",4)))))))</f>
        <v>1</v>
      </c>
    </row>
    <row r="37" s="76" customFormat="true" ht="15" hidden="false" customHeight="false" outlineLevel="0" collapsed="false">
      <c r="A37" s="85" t="n">
        <v>29</v>
      </c>
      <c r="B37" s="338" t="s">
        <v>120</v>
      </c>
      <c r="C37" s="329" t="s">
        <v>86</v>
      </c>
      <c r="D37" s="329"/>
      <c r="E37" s="330" t="n">
        <f aca="false">'Ocorrências Mensais - FAT'!G61</f>
        <v>10</v>
      </c>
      <c r="F37" s="331" t="n">
        <v>12.96</v>
      </c>
      <c r="G37" s="332" t="n">
        <f aca="false">E37*F37</f>
        <v>129.6</v>
      </c>
      <c r="H37" s="337"/>
      <c r="I37" s="75"/>
      <c r="J37" s="329" t="n">
        <v>10</v>
      </c>
      <c r="K37" s="329" t="s">
        <v>504</v>
      </c>
      <c r="L37" s="334" t="n">
        <f aca="false">IF(K37="Semestral",6,IF(K37="Mensal",1,IF(K37="Anual",12,IF(K37="Bienal",24,IF(K37="Trimestral",3,IF(K37="Bimestral",2,IF(K37="Quadrimestral",4)))))))</f>
        <v>1</v>
      </c>
    </row>
    <row r="38" s="76" customFormat="true" ht="15" hidden="false" customHeight="false" outlineLevel="0" collapsed="false">
      <c r="A38" s="85" t="n">
        <v>30</v>
      </c>
      <c r="B38" s="342" t="s">
        <v>121</v>
      </c>
      <c r="C38" s="329" t="s">
        <v>122</v>
      </c>
      <c r="D38" s="329" t="s">
        <v>123</v>
      </c>
      <c r="E38" s="330" t="n">
        <f aca="false">'Ocorrências Mensais - FAT'!G62</f>
        <v>8</v>
      </c>
      <c r="F38" s="331" t="n">
        <v>65.6</v>
      </c>
      <c r="G38" s="332" t="n">
        <f aca="false">E38*F38</f>
        <v>524.8</v>
      </c>
      <c r="H38" s="337"/>
      <c r="I38" s="75"/>
      <c r="J38" s="329" t="n">
        <v>8</v>
      </c>
      <c r="K38" s="329" t="s">
        <v>504</v>
      </c>
      <c r="L38" s="334" t="n">
        <f aca="false">IF(K38="Semestral",6,IF(K38="Mensal",1,IF(K38="Anual",12,IF(K38="Bienal",24,IF(K38="Trimestral",3,IF(K38="Bimestral",2,IF(K38="Quadrimestral",4)))))))</f>
        <v>1</v>
      </c>
    </row>
    <row r="39" s="76" customFormat="true" ht="15" hidden="false" customHeight="false" outlineLevel="0" collapsed="false">
      <c r="A39" s="85" t="n">
        <v>31</v>
      </c>
      <c r="B39" s="342" t="s">
        <v>124</v>
      </c>
      <c r="C39" s="329" t="s">
        <v>125</v>
      </c>
      <c r="D39" s="341"/>
      <c r="E39" s="330" t="n">
        <f aca="false">'Ocorrências Mensais - FAT'!G63</f>
        <v>20</v>
      </c>
      <c r="F39" s="331" t="n">
        <v>43.79</v>
      </c>
      <c r="G39" s="332" t="n">
        <f aca="false">E39*F39</f>
        <v>875.8</v>
      </c>
      <c r="H39" s="337"/>
      <c r="I39" s="75"/>
      <c r="J39" s="329" t="n">
        <v>20</v>
      </c>
      <c r="K39" s="329" t="s">
        <v>504</v>
      </c>
      <c r="L39" s="334" t="n">
        <f aca="false">IF(K39="Semestral",6,IF(K39="Mensal",1,IF(K39="Anual",12,IF(K39="Bienal",24,IF(K39="Trimestral",3,IF(K39="Bimestral",2,IF(K39="Quadrimestral",4)))))))</f>
        <v>1</v>
      </c>
    </row>
    <row r="40" s="76" customFormat="true" ht="15" hidden="false" customHeight="false" outlineLevel="0" collapsed="false">
      <c r="A40" s="85" t="n">
        <v>32</v>
      </c>
      <c r="B40" s="342" t="s">
        <v>126</v>
      </c>
      <c r="C40" s="329" t="s">
        <v>122</v>
      </c>
      <c r="D40" s="329" t="s">
        <v>127</v>
      </c>
      <c r="E40" s="330" t="n">
        <f aca="false">'Ocorrências Mensais - FAT'!G64</f>
        <v>100</v>
      </c>
      <c r="F40" s="331" t="n">
        <v>14.94</v>
      </c>
      <c r="G40" s="332" t="n">
        <f aca="false">E40*F40</f>
        <v>1494</v>
      </c>
      <c r="H40" s="337"/>
      <c r="I40" s="75"/>
      <c r="J40" s="329" t="n">
        <v>100</v>
      </c>
      <c r="K40" s="329" t="s">
        <v>504</v>
      </c>
      <c r="L40" s="334" t="n">
        <f aca="false">IF(K40="Semestral",6,IF(K40="Mensal",1,IF(K40="Anual",12,IF(K40="Bienal",24,IF(K40="Trimestral",3,IF(K40="Bimestral",2,IF(K40="Quadrimestral",4)))))))</f>
        <v>1</v>
      </c>
    </row>
    <row r="41" s="76" customFormat="true" ht="15" hidden="false" customHeight="false" outlineLevel="0" collapsed="false">
      <c r="A41" s="85" t="n">
        <v>33</v>
      </c>
      <c r="B41" s="338" t="s">
        <v>128</v>
      </c>
      <c r="C41" s="329" t="s">
        <v>86</v>
      </c>
      <c r="D41" s="329" t="s">
        <v>129</v>
      </c>
      <c r="E41" s="330" t="n">
        <f aca="false">'Ocorrências Mensais - FAT'!G65</f>
        <v>9</v>
      </c>
      <c r="F41" s="331" t="n">
        <v>7.63</v>
      </c>
      <c r="G41" s="332" t="n">
        <f aca="false">E41*F41</f>
        <v>68.67</v>
      </c>
      <c r="H41" s="337"/>
      <c r="I41" s="75"/>
      <c r="J41" s="329" t="n">
        <v>9</v>
      </c>
      <c r="K41" s="329" t="s">
        <v>504</v>
      </c>
      <c r="L41" s="334" t="n">
        <f aca="false">IF(K41="Semestral",6,IF(K41="Mensal",1,IF(K41="Anual",12,IF(K41="Bienal",24,IF(K41="Trimestral",3,IF(K41="Bimestral",2,IF(K41="Quadrimestral",4)))))))</f>
        <v>1</v>
      </c>
    </row>
    <row r="42" s="76" customFormat="true" ht="15" hidden="false" customHeight="false" outlineLevel="0" collapsed="false">
      <c r="A42" s="85" t="n">
        <v>34</v>
      </c>
      <c r="B42" s="338" t="s">
        <v>130</v>
      </c>
      <c r="C42" s="329" t="s">
        <v>86</v>
      </c>
      <c r="D42" s="329"/>
      <c r="E42" s="330" t="n">
        <f aca="false">'Ocorrências Mensais - FAT'!G66</f>
        <v>4.66666666666667</v>
      </c>
      <c r="F42" s="343" t="n">
        <v>50.33</v>
      </c>
      <c r="G42" s="332" t="n">
        <f aca="false">E42*F42</f>
        <v>234.873333333333</v>
      </c>
      <c r="H42" s="337"/>
      <c r="I42" s="75"/>
      <c r="J42" s="329" t="n">
        <v>14</v>
      </c>
      <c r="K42" s="329" t="s">
        <v>506</v>
      </c>
      <c r="L42" s="334" t="n">
        <f aca="false">IF(K42="Semestral",6,IF(K42="Mensal",1,IF(K42="Anual",12,IF(K42="Bienal",24,IF(K42="Trimestral",3,IF(K42="Bimestral",2,IF(K42="Quadrimestral",4)))))))</f>
        <v>3</v>
      </c>
    </row>
    <row r="43" s="76" customFormat="true" ht="15" hidden="false" customHeight="false" outlineLevel="0" collapsed="false">
      <c r="A43" s="107" t="n">
        <v>35</v>
      </c>
      <c r="B43" s="338" t="s">
        <v>131</v>
      </c>
      <c r="C43" s="329" t="s">
        <v>86</v>
      </c>
      <c r="D43" s="329"/>
      <c r="E43" s="330" t="n">
        <f aca="false">'Ocorrências Mensais - FAT'!G67</f>
        <v>3.33333333333333</v>
      </c>
      <c r="F43" s="343" t="n">
        <v>28.27</v>
      </c>
      <c r="G43" s="332" t="n">
        <f aca="false">E43*F43</f>
        <v>94.2333333333333</v>
      </c>
      <c r="H43" s="344"/>
      <c r="I43" s="75"/>
      <c r="J43" s="329" t="n">
        <v>10</v>
      </c>
      <c r="K43" s="329" t="s">
        <v>506</v>
      </c>
      <c r="L43" s="334" t="n">
        <f aca="false">IF(K43="Semestral",6,IF(K43="Mensal",1,IF(K43="Anual",12,IF(K43="Bienal",24,IF(K43="Trimestral",3,IF(K43="Bimestral",2,IF(K43="Quadrimestral",4)))))))</f>
        <v>3</v>
      </c>
    </row>
    <row r="44" s="76" customFormat="true" ht="15" hidden="false" customHeight="false" outlineLevel="0" collapsed="false">
      <c r="A44" s="107" t="n">
        <v>36</v>
      </c>
      <c r="B44" s="338" t="s">
        <v>132</v>
      </c>
      <c r="C44" s="329" t="s">
        <v>86</v>
      </c>
      <c r="D44" s="329"/>
      <c r="E44" s="330" t="n">
        <f aca="false">'Ocorrências Mensais - FAT'!G68</f>
        <v>3.33333333333333</v>
      </c>
      <c r="F44" s="343" t="n">
        <v>30.36</v>
      </c>
      <c r="G44" s="332" t="n">
        <f aca="false">E44*F44</f>
        <v>101.2</v>
      </c>
      <c r="H44" s="344"/>
      <c r="I44" s="75"/>
      <c r="J44" s="329" t="n">
        <v>10</v>
      </c>
      <c r="K44" s="329" t="s">
        <v>506</v>
      </c>
      <c r="L44" s="334" t="n">
        <f aca="false">IF(K44="Semestral",6,IF(K44="Mensal",1,IF(K44="Anual",12,IF(K44="Bienal",24,IF(K44="Trimestral",3,IF(K44="Bimestral",2,IF(K44="Quadrimestral",4)))))))</f>
        <v>3</v>
      </c>
    </row>
    <row r="45" s="76" customFormat="true" ht="15" hidden="false" customHeight="false" outlineLevel="0" collapsed="false">
      <c r="A45" s="107" t="n">
        <v>37</v>
      </c>
      <c r="B45" s="338" t="s">
        <v>133</v>
      </c>
      <c r="C45" s="329" t="s">
        <v>134</v>
      </c>
      <c r="D45" s="329" t="s">
        <v>135</v>
      </c>
      <c r="E45" s="330" t="n">
        <f aca="false">'Ocorrências Mensais - FAT'!G69</f>
        <v>10</v>
      </c>
      <c r="F45" s="343" t="n">
        <v>44.11</v>
      </c>
      <c r="G45" s="332" t="n">
        <f aca="false">E45*F45</f>
        <v>441.1</v>
      </c>
      <c r="H45" s="344"/>
      <c r="I45" s="75"/>
      <c r="J45" s="329" t="n">
        <v>10</v>
      </c>
      <c r="K45" s="329" t="s">
        <v>504</v>
      </c>
      <c r="L45" s="334" t="n">
        <f aca="false">IF(K45="Semestral",6,IF(K45="Mensal",1,IF(K45="Anual",12,IF(K45="Bienal",24,IF(K45="Trimestral",3,IF(K45="Bimestral",2,IF(K45="Quadrimestral",4)))))))</f>
        <v>1</v>
      </c>
    </row>
    <row r="46" s="76" customFormat="true" ht="15" hidden="false" customHeight="false" outlineLevel="0" collapsed="false">
      <c r="A46" s="107" t="n">
        <v>38</v>
      </c>
      <c r="B46" s="338" t="s">
        <v>136</v>
      </c>
      <c r="C46" s="329" t="s">
        <v>86</v>
      </c>
      <c r="D46" s="329"/>
      <c r="E46" s="330" t="n">
        <f aca="false">'Ocorrências Mensais - FAT'!G70</f>
        <v>4</v>
      </c>
      <c r="F46" s="343" t="n">
        <v>5.85</v>
      </c>
      <c r="G46" s="332" t="n">
        <f aca="false">E46*F46</f>
        <v>23.4</v>
      </c>
      <c r="H46" s="344"/>
      <c r="I46" s="75"/>
      <c r="J46" s="329" t="n">
        <v>8</v>
      </c>
      <c r="K46" s="329" t="s">
        <v>508</v>
      </c>
      <c r="L46" s="334" t="n">
        <f aca="false">IF(K46="Semestral",6,IF(K46="Mensal",1,IF(K46="Anual",12,IF(K46="Bienal",24,IF(K46="Trimestral",3,IF(K46="Bimestral",2,IF(K46="Quadrimestral",4)))))))</f>
        <v>2</v>
      </c>
    </row>
    <row r="47" s="76" customFormat="true" ht="15" hidden="false" customHeight="false" outlineLevel="0" collapsed="false">
      <c r="A47" s="107" t="n">
        <v>39</v>
      </c>
      <c r="B47" s="338" t="s">
        <v>137</v>
      </c>
      <c r="C47" s="329" t="s">
        <v>86</v>
      </c>
      <c r="D47" s="329"/>
      <c r="E47" s="330" t="n">
        <f aca="false">'Ocorrências Mensais - FAT'!G71</f>
        <v>4</v>
      </c>
      <c r="F47" s="343" t="n">
        <v>17.8</v>
      </c>
      <c r="G47" s="332" t="n">
        <f aca="false">E47*F47</f>
        <v>71.2</v>
      </c>
      <c r="H47" s="344"/>
      <c r="I47" s="75"/>
      <c r="J47" s="329" t="n">
        <v>8</v>
      </c>
      <c r="K47" s="329" t="s">
        <v>508</v>
      </c>
      <c r="L47" s="334" t="n">
        <f aca="false">IF(K47="Semestral",6,IF(K47="Mensal",1,IF(K47="Anual",12,IF(K47="Bienal",24,IF(K47="Trimestral",3,IF(K47="Bimestral",2,IF(K47="Quadrimestral",4)))))))</f>
        <v>2</v>
      </c>
    </row>
    <row r="48" s="76" customFormat="true" ht="15" hidden="false" customHeight="false" outlineLevel="0" collapsed="false">
      <c r="A48" s="107" t="n">
        <v>40</v>
      </c>
      <c r="B48" s="338" t="s">
        <v>138</v>
      </c>
      <c r="C48" s="329" t="s">
        <v>86</v>
      </c>
      <c r="D48" s="329" t="s">
        <v>139</v>
      </c>
      <c r="E48" s="330" t="n">
        <f aca="false">'Ocorrências Mensais - FAT'!G72</f>
        <v>15</v>
      </c>
      <c r="F48" s="343" t="n">
        <v>2.36</v>
      </c>
      <c r="G48" s="332" t="n">
        <f aca="false">E48*F48</f>
        <v>35.4</v>
      </c>
      <c r="H48" s="344"/>
      <c r="I48" s="75"/>
      <c r="J48" s="329" t="n">
        <v>15</v>
      </c>
      <c r="K48" s="329" t="s">
        <v>504</v>
      </c>
      <c r="L48" s="334" t="n">
        <f aca="false">IF(K48="Semestral",6,IF(K48="Mensal",1,IF(K48="Anual",12,IF(K48="Bienal",24,IF(K48="Trimestral",3,IF(K48="Bimestral",2,IF(K48="Quadrimestral",4)))))))</f>
        <v>1</v>
      </c>
    </row>
    <row r="49" s="76" customFormat="true" ht="15" hidden="false" customHeight="false" outlineLevel="0" collapsed="false">
      <c r="A49" s="107" t="n">
        <v>41</v>
      </c>
      <c r="B49" s="338" t="s">
        <v>140</v>
      </c>
      <c r="C49" s="329" t="s">
        <v>86</v>
      </c>
      <c r="D49" s="329" t="s">
        <v>141</v>
      </c>
      <c r="E49" s="330" t="n">
        <f aca="false">'Ocorrências Mensais - FAT'!G73</f>
        <v>8</v>
      </c>
      <c r="F49" s="343" t="n">
        <v>31.66</v>
      </c>
      <c r="G49" s="332" t="n">
        <f aca="false">E49*F49</f>
        <v>253.28</v>
      </c>
      <c r="H49" s="344"/>
      <c r="I49" s="75"/>
      <c r="J49" s="329" t="n">
        <v>8</v>
      </c>
      <c r="K49" s="329" t="s">
        <v>504</v>
      </c>
      <c r="L49" s="334" t="n">
        <f aca="false">IF(K49="Semestral",6,IF(K49="Mensal",1,IF(K49="Anual",12,IF(K49="Bienal",24,IF(K49="Trimestral",3,IF(K49="Bimestral",2,IF(K49="Quadrimestral",4)))))))</f>
        <v>1</v>
      </c>
    </row>
    <row r="50" s="76" customFormat="true" ht="15" hidden="false" customHeight="false" outlineLevel="0" collapsed="false">
      <c r="A50" s="107" t="n">
        <v>42</v>
      </c>
      <c r="B50" s="338" t="s">
        <v>142</v>
      </c>
      <c r="C50" s="329" t="s">
        <v>86</v>
      </c>
      <c r="D50" s="329"/>
      <c r="E50" s="330" t="n">
        <f aca="false">'Ocorrências Mensais - FAT'!G74</f>
        <v>3</v>
      </c>
      <c r="F50" s="343" t="n">
        <v>21.68</v>
      </c>
      <c r="G50" s="332" t="n">
        <f aca="false">E50*F50</f>
        <v>65.04</v>
      </c>
      <c r="H50" s="344"/>
      <c r="I50" s="75"/>
      <c r="J50" s="329" t="n">
        <v>3</v>
      </c>
      <c r="K50" s="329" t="s">
        <v>504</v>
      </c>
      <c r="L50" s="334" t="n">
        <f aca="false">IF(K50="Semestral",6,IF(K50="Mensal",1,IF(K50="Anual",12,IF(K50="Bienal",24,IF(K50="Trimestral",3,IF(K50="Bimestral",2,IF(K50="Quadrimestral",4)))))))</f>
        <v>1</v>
      </c>
    </row>
    <row r="51" s="76" customFormat="true" ht="15" hidden="false" customHeight="false" outlineLevel="0" collapsed="false">
      <c r="A51" s="107" t="n">
        <v>43</v>
      </c>
      <c r="B51" s="338" t="s">
        <v>143</v>
      </c>
      <c r="C51" s="329" t="s">
        <v>86</v>
      </c>
      <c r="D51" s="329"/>
      <c r="E51" s="330" t="n">
        <f aca="false">'Ocorrências Mensais - FAT'!G75</f>
        <v>50</v>
      </c>
      <c r="F51" s="343" t="n">
        <v>8.69</v>
      </c>
      <c r="G51" s="332" t="n">
        <f aca="false">E51*F51</f>
        <v>434.5</v>
      </c>
      <c r="H51" s="344"/>
      <c r="I51" s="75"/>
      <c r="J51" s="329" t="n">
        <v>50</v>
      </c>
      <c r="K51" s="329" t="s">
        <v>504</v>
      </c>
      <c r="L51" s="334" t="n">
        <f aca="false">IF(K51="Semestral",6,IF(K51="Mensal",1,IF(K51="Anual",12,IF(K51="Bienal",24,IF(K51="Trimestral",3,IF(K51="Bimestral",2,IF(K51="Quadrimestral",4)))))))</f>
        <v>1</v>
      </c>
    </row>
    <row r="52" s="76" customFormat="true" ht="15" hidden="false" customHeight="false" outlineLevel="0" collapsed="false">
      <c r="A52" s="107" t="n">
        <v>44</v>
      </c>
      <c r="B52" s="338" t="s">
        <v>144</v>
      </c>
      <c r="C52" s="329" t="s">
        <v>86</v>
      </c>
      <c r="D52" s="329"/>
      <c r="E52" s="330" t="n">
        <f aca="false">'Ocorrências Mensais - FAT'!G76</f>
        <v>20</v>
      </c>
      <c r="F52" s="343" t="n">
        <v>6.36</v>
      </c>
      <c r="G52" s="332" t="n">
        <f aca="false">E52*F52</f>
        <v>127.2</v>
      </c>
      <c r="H52" s="344"/>
      <c r="I52" s="75"/>
      <c r="J52" s="329" t="n">
        <v>40</v>
      </c>
      <c r="K52" s="329" t="s">
        <v>508</v>
      </c>
      <c r="L52" s="334" t="n">
        <f aca="false">IF(K52="Semestral",6,IF(K52="Mensal",1,IF(K52="Anual",12,IF(K52="Bienal",24,IF(K52="Trimestral",3,IF(K52="Bimestral",2,IF(K52="Quadrimestral",4)))))))</f>
        <v>2</v>
      </c>
    </row>
    <row r="53" s="76" customFormat="true" ht="30" hidden="false" customHeight="false" outlineLevel="0" collapsed="false">
      <c r="A53" s="107" t="n">
        <v>45</v>
      </c>
      <c r="B53" s="342" t="s">
        <v>145</v>
      </c>
      <c r="C53" s="329" t="s">
        <v>146</v>
      </c>
      <c r="D53" s="329"/>
      <c r="E53" s="330" t="n">
        <f aca="false">'Ocorrências Mensais - FAT'!G77</f>
        <v>10</v>
      </c>
      <c r="F53" s="343" t="n">
        <v>37</v>
      </c>
      <c r="G53" s="332" t="n">
        <f aca="false">E53*F53</f>
        <v>370</v>
      </c>
      <c r="H53" s="344"/>
      <c r="I53" s="75"/>
      <c r="J53" s="329" t="n">
        <v>10</v>
      </c>
      <c r="K53" s="329" t="s">
        <v>504</v>
      </c>
      <c r="L53" s="334" t="n">
        <f aca="false">IF(K53="Semestral",6,IF(K53="Mensal",1,IF(K53="Anual",12,IF(K53="Bienal",24,IF(K53="Trimestral",3,IF(K53="Bimestral",2,IF(K53="Quadrimestral",4)))))))</f>
        <v>1</v>
      </c>
    </row>
    <row r="54" s="76" customFormat="true" ht="15" hidden="false" customHeight="false" outlineLevel="0" collapsed="false">
      <c r="A54" s="107" t="n">
        <v>46</v>
      </c>
      <c r="B54" s="338" t="s">
        <v>147</v>
      </c>
      <c r="C54" s="329" t="s">
        <v>146</v>
      </c>
      <c r="D54" s="329"/>
      <c r="E54" s="330" t="n">
        <f aca="false">'Ocorrências Mensais - FAT'!G78</f>
        <v>8</v>
      </c>
      <c r="F54" s="343" t="n">
        <v>13.99</v>
      </c>
      <c r="G54" s="332" t="n">
        <f aca="false">E54*F54</f>
        <v>111.92</v>
      </c>
      <c r="H54" s="344"/>
      <c r="I54" s="75"/>
      <c r="J54" s="329" t="n">
        <v>8</v>
      </c>
      <c r="K54" s="329" t="s">
        <v>504</v>
      </c>
      <c r="L54" s="334" t="n">
        <f aca="false">IF(K54="Semestral",6,IF(K54="Mensal",1,IF(K54="Anual",12,IF(K54="Bienal",24,IF(K54="Trimestral",3,IF(K54="Bimestral",2,IF(K54="Quadrimestral",4)))))))</f>
        <v>1</v>
      </c>
    </row>
    <row r="55" s="76" customFormat="true" ht="15" hidden="false" customHeight="false" outlineLevel="0" collapsed="false">
      <c r="A55" s="107" t="n">
        <v>47</v>
      </c>
      <c r="B55" s="338" t="s">
        <v>148</v>
      </c>
      <c r="C55" s="329" t="s">
        <v>146</v>
      </c>
      <c r="D55" s="329"/>
      <c r="E55" s="330" t="n">
        <f aca="false">'Ocorrências Mensais - FAT'!G79</f>
        <v>6</v>
      </c>
      <c r="F55" s="343" t="n">
        <v>18.4</v>
      </c>
      <c r="G55" s="332" t="n">
        <f aca="false">E55*F55</f>
        <v>110.4</v>
      </c>
      <c r="H55" s="344"/>
      <c r="I55" s="75"/>
      <c r="J55" s="329" t="n">
        <v>6</v>
      </c>
      <c r="K55" s="329" t="s">
        <v>504</v>
      </c>
      <c r="L55" s="334" t="n">
        <f aca="false">IF(K55="Semestral",6,IF(K55="Mensal",1,IF(K55="Anual",12,IF(K55="Bienal",24,IF(K55="Trimestral",3,IF(K55="Bimestral",2,IF(K55="Quadrimestral",4)))))))</f>
        <v>1</v>
      </c>
    </row>
    <row r="56" s="76" customFormat="true" ht="30" hidden="false" customHeight="false" outlineLevel="0" collapsed="false">
      <c r="A56" s="107" t="n">
        <v>48</v>
      </c>
      <c r="B56" s="342" t="s">
        <v>149</v>
      </c>
      <c r="C56" s="329" t="s">
        <v>146</v>
      </c>
      <c r="D56" s="329"/>
      <c r="E56" s="330" t="n">
        <f aca="false">'Ocorrências Mensais - FAT'!G80</f>
        <v>7</v>
      </c>
      <c r="F56" s="343" t="n">
        <v>27.11</v>
      </c>
      <c r="G56" s="332" t="n">
        <f aca="false">E56*F56</f>
        <v>189.77</v>
      </c>
      <c r="H56" s="344"/>
      <c r="I56" s="75"/>
      <c r="J56" s="329" t="n">
        <v>7</v>
      </c>
      <c r="K56" s="329" t="s">
        <v>504</v>
      </c>
      <c r="L56" s="334" t="n">
        <f aca="false">IF(K56="Semestral",6,IF(K56="Mensal",1,IF(K56="Anual",12,IF(K56="Bienal",24,IF(K56="Trimestral",3,IF(K56="Bimestral",2,IF(K56="Quadrimestral",4)))))))</f>
        <v>1</v>
      </c>
    </row>
    <row r="57" s="76" customFormat="true" ht="15" hidden="false" customHeight="false" outlineLevel="0" collapsed="false">
      <c r="A57" s="107" t="n">
        <v>49</v>
      </c>
      <c r="B57" s="345" t="s">
        <v>150</v>
      </c>
      <c r="C57" s="329" t="s">
        <v>86</v>
      </c>
      <c r="D57" s="346"/>
      <c r="E57" s="330" t="n">
        <f aca="false">'Ocorrências Mensais - FAT'!G81</f>
        <v>0.333333333333333</v>
      </c>
      <c r="F57" s="343" t="n">
        <v>29.2</v>
      </c>
      <c r="G57" s="332" t="n">
        <f aca="false">E57*F57</f>
        <v>9.73333333333333</v>
      </c>
      <c r="H57" s="344"/>
      <c r="I57" s="75"/>
      <c r="J57" s="347" t="n">
        <v>1</v>
      </c>
      <c r="K57" s="347" t="s">
        <v>506</v>
      </c>
      <c r="L57" s="334" t="n">
        <f aca="false">IF(K57="Semestral",6,IF(K57="Mensal",1,IF(K57="Anual",12,IF(K57="Bienal",24,IF(K57="Trimestral",3,IF(K57="Bimestral",2,IF(K57="Quadrimestral",4)))))))</f>
        <v>3</v>
      </c>
    </row>
    <row r="58" s="76" customFormat="true" ht="25.5" hidden="false" customHeight="false" outlineLevel="0" collapsed="false">
      <c r="A58" s="107" t="n">
        <v>50</v>
      </c>
      <c r="B58" s="338" t="s">
        <v>151</v>
      </c>
      <c r="C58" s="329" t="s">
        <v>86</v>
      </c>
      <c r="D58" s="329"/>
      <c r="E58" s="330" t="n">
        <f aca="false">'Ocorrências Mensais - FAT'!G82</f>
        <v>1.5</v>
      </c>
      <c r="F58" s="343" t="n">
        <v>17.06</v>
      </c>
      <c r="G58" s="332" t="n">
        <f aca="false">E58*F58</f>
        <v>25.59</v>
      </c>
      <c r="H58" s="344"/>
      <c r="I58" s="75"/>
      <c r="J58" s="329" t="n">
        <v>6</v>
      </c>
      <c r="K58" s="329" t="s">
        <v>507</v>
      </c>
      <c r="L58" s="334" t="n">
        <f aca="false">IF(K58="Semestral",6,IF(K58="Mensal",1,IF(K58="Anual",12,IF(K58="Bienal",24,IF(K58="Trimestral",3,IF(K58="Bimestral",2,IF(K58="Quadrimestral",4)))))))</f>
        <v>4</v>
      </c>
    </row>
    <row r="59" s="76" customFormat="true" ht="15" hidden="false" customHeight="false" outlineLevel="0" collapsed="false">
      <c r="A59" s="107" t="n">
        <v>51</v>
      </c>
      <c r="B59" s="338" t="s">
        <v>152</v>
      </c>
      <c r="C59" s="329" t="s">
        <v>86</v>
      </c>
      <c r="D59" s="329"/>
      <c r="E59" s="330" t="n">
        <f aca="false">'Ocorrências Mensais - FAT'!G83</f>
        <v>1</v>
      </c>
      <c r="F59" s="343" t="n">
        <v>24.27</v>
      </c>
      <c r="G59" s="332" t="n">
        <f aca="false">E59*F59</f>
        <v>24.27</v>
      </c>
      <c r="H59" s="344"/>
      <c r="I59" s="75"/>
      <c r="J59" s="329" t="n">
        <v>2</v>
      </c>
      <c r="K59" s="329" t="s">
        <v>508</v>
      </c>
      <c r="L59" s="334" t="n">
        <f aca="false">IF(K59="Semestral",6,IF(K59="Mensal",1,IF(K59="Anual",12,IF(K59="Bienal",24,IF(K59="Trimestral",3,IF(K59="Bimestral",2,IF(K59="Quadrimestral",4)))))))</f>
        <v>2</v>
      </c>
    </row>
    <row r="60" s="76" customFormat="true" ht="15" hidden="false" customHeight="false" outlineLevel="0" collapsed="false">
      <c r="A60" s="107" t="n">
        <v>52</v>
      </c>
      <c r="B60" s="338" t="s">
        <v>153</v>
      </c>
      <c r="C60" s="329" t="s">
        <v>86</v>
      </c>
      <c r="D60" s="329"/>
      <c r="E60" s="330" t="n">
        <f aca="false">'Ocorrências Mensais - FAT'!G84</f>
        <v>0.166666666666667</v>
      </c>
      <c r="F60" s="343" t="n">
        <v>20.57</v>
      </c>
      <c r="G60" s="332" t="n">
        <f aca="false">E60*F60</f>
        <v>3.42833333333333</v>
      </c>
      <c r="H60" s="344"/>
      <c r="I60" s="75"/>
      <c r="J60" s="329" t="n">
        <v>2</v>
      </c>
      <c r="K60" s="329" t="s">
        <v>509</v>
      </c>
      <c r="L60" s="334" t="n">
        <f aca="false">IF(K60="Semestral",6,IF(K60="Mensal",1,IF(K60="Anual",12,IF(K60="Bienal",24,IF(K60="Trimestral",3,IF(K60="Bimestral",2,IF(K60="Quadrimestral",4)))))))</f>
        <v>12</v>
      </c>
    </row>
    <row r="61" s="76" customFormat="true" ht="15" hidden="false" customHeight="false" outlineLevel="0" collapsed="false">
      <c r="A61" s="107" t="n">
        <v>53</v>
      </c>
      <c r="B61" s="338" t="s">
        <v>154</v>
      </c>
      <c r="C61" s="329" t="s">
        <v>86</v>
      </c>
      <c r="D61" s="329"/>
      <c r="E61" s="330" t="n">
        <f aca="false">'Ocorrências Mensais - FAT'!G85</f>
        <v>15</v>
      </c>
      <c r="F61" s="343" t="n">
        <v>11.01</v>
      </c>
      <c r="G61" s="332" t="n">
        <f aca="false">E61*F61</f>
        <v>165.15</v>
      </c>
      <c r="H61" s="344"/>
      <c r="I61" s="75"/>
      <c r="J61" s="329" t="n">
        <v>15</v>
      </c>
      <c r="K61" s="329" t="s">
        <v>504</v>
      </c>
      <c r="L61" s="334" t="n">
        <f aca="false">IF(K61="Semestral",6,IF(K61="Mensal",1,IF(K61="Anual",12,IF(K61="Bienal",24,IF(K61="Trimestral",3,IF(K61="Bimestral",2,IF(K61="Quadrimestral",4)))))))</f>
        <v>1</v>
      </c>
    </row>
    <row r="62" s="76" customFormat="true" ht="15" hidden="false" customHeight="false" outlineLevel="0" collapsed="false">
      <c r="A62" s="107" t="n">
        <v>54</v>
      </c>
      <c r="B62" s="338" t="s">
        <v>155</v>
      </c>
      <c r="C62" s="329" t="s">
        <v>86</v>
      </c>
      <c r="D62" s="329"/>
      <c r="E62" s="330" t="n">
        <f aca="false">'Ocorrências Mensais - FAT'!G86</f>
        <v>3.33333333333333</v>
      </c>
      <c r="F62" s="343" t="n">
        <v>8.65</v>
      </c>
      <c r="G62" s="332" t="n">
        <f aca="false">E62*F62</f>
        <v>28.8333333333333</v>
      </c>
      <c r="H62" s="344"/>
      <c r="I62" s="75"/>
      <c r="J62" s="329" t="n">
        <v>10</v>
      </c>
      <c r="K62" s="329" t="s">
        <v>506</v>
      </c>
      <c r="L62" s="334" t="n">
        <f aca="false">IF(K62="Semestral",6,IF(K62="Mensal",1,IF(K62="Anual",12,IF(K62="Bienal",24,IF(K62="Trimestral",3,IF(K62="Bimestral",2,IF(K62="Quadrimestral",4)))))))</f>
        <v>3</v>
      </c>
    </row>
    <row r="63" s="76" customFormat="true" ht="15" hidden="false" customHeight="false" outlineLevel="0" collapsed="false">
      <c r="A63" s="107" t="n">
        <v>55</v>
      </c>
      <c r="B63" s="338" t="s">
        <v>155</v>
      </c>
      <c r="C63" s="329" t="s">
        <v>86</v>
      </c>
      <c r="D63" s="329"/>
      <c r="E63" s="330" t="n">
        <f aca="false">'Ocorrências Mensais - FAT'!G87</f>
        <v>3.33333333333333</v>
      </c>
      <c r="F63" s="343" t="n">
        <v>3.22</v>
      </c>
      <c r="G63" s="332" t="n">
        <f aca="false">E63*F63</f>
        <v>10.7333333333333</v>
      </c>
      <c r="H63" s="344"/>
      <c r="I63" s="75"/>
      <c r="J63" s="329" t="n">
        <v>10</v>
      </c>
      <c r="K63" s="329" t="s">
        <v>506</v>
      </c>
      <c r="L63" s="334" t="n">
        <f aca="false">IF(K63="Semestral",6,IF(K63="Mensal",1,IF(K63="Anual",12,IF(K63="Bienal",24,IF(K63="Trimestral",3,IF(K63="Bimestral",2,IF(K63="Quadrimestral",4)))))))</f>
        <v>3</v>
      </c>
    </row>
    <row r="64" customFormat="false" ht="15.75" hidden="false" customHeight="false" outlineLevel="0" collapsed="false">
      <c r="A64" s="348" t="s">
        <v>156</v>
      </c>
      <c r="B64" s="348"/>
      <c r="C64" s="348"/>
      <c r="D64" s="348"/>
      <c r="E64" s="348"/>
      <c r="F64" s="348"/>
      <c r="G64" s="349" t="n">
        <f aca="false">SUM(G9:G63)</f>
        <v>7905.35833333333</v>
      </c>
      <c r="H64" s="350"/>
      <c r="I64" s="111"/>
      <c r="J64" s="111"/>
      <c r="K64" s="351"/>
    </row>
    <row r="65" customFormat="false" ht="15" hidden="false" customHeight="false" outlineLevel="0" collapsed="false">
      <c r="A65" s="352"/>
      <c r="H65" s="353"/>
    </row>
    <row r="66" customFormat="false" ht="18.75" hidden="false" customHeight="false" outlineLevel="0" collapsed="false">
      <c r="A66" s="315" t="s">
        <v>510</v>
      </c>
      <c r="B66" s="315"/>
      <c r="C66" s="315"/>
      <c r="D66" s="315"/>
      <c r="E66" s="315"/>
      <c r="F66" s="315"/>
      <c r="G66" s="315"/>
      <c r="H66" s="315"/>
      <c r="I66" s="76"/>
      <c r="J66" s="76"/>
      <c r="L66" s="76"/>
    </row>
    <row r="67" customFormat="false" ht="15" hidden="false" customHeight="false" outlineLevel="0" collapsed="false">
      <c r="A67" s="354"/>
      <c r="B67" s="355"/>
      <c r="C67" s="355"/>
      <c r="D67" s="355"/>
      <c r="E67" s="355"/>
      <c r="F67" s="355"/>
      <c r="G67" s="355"/>
      <c r="H67" s="356"/>
      <c r="I67" s="76"/>
      <c r="J67" s="76"/>
      <c r="L67" s="76"/>
    </row>
    <row r="68" customFormat="false" ht="15" hidden="false" customHeight="true" outlineLevel="0" collapsed="false">
      <c r="A68" s="320" t="s">
        <v>61</v>
      </c>
      <c r="B68" s="321" t="s">
        <v>498</v>
      </c>
      <c r="C68" s="321"/>
      <c r="D68" s="321"/>
      <c r="E68" s="321" t="s">
        <v>63</v>
      </c>
      <c r="F68" s="321"/>
      <c r="G68" s="321"/>
      <c r="H68" s="323" t="s">
        <v>499</v>
      </c>
      <c r="I68" s="76"/>
      <c r="J68" s="324" t="s">
        <v>500</v>
      </c>
      <c r="K68" s="324"/>
      <c r="L68" s="324"/>
    </row>
    <row r="69" customFormat="false" ht="36" hidden="false" customHeight="false" outlineLevel="0" collapsed="false">
      <c r="A69" s="320"/>
      <c r="B69" s="321" t="s">
        <v>67</v>
      </c>
      <c r="C69" s="325" t="s">
        <v>68</v>
      </c>
      <c r="D69" s="325" t="s">
        <v>511</v>
      </c>
      <c r="E69" s="325" t="s">
        <v>72</v>
      </c>
      <c r="F69" s="325" t="s">
        <v>512</v>
      </c>
      <c r="G69" s="325" t="s">
        <v>513</v>
      </c>
      <c r="H69" s="323"/>
      <c r="I69" s="76"/>
      <c r="J69" s="357" t="s">
        <v>502</v>
      </c>
      <c r="K69" s="358" t="s">
        <v>74</v>
      </c>
      <c r="L69" s="326" t="s">
        <v>503</v>
      </c>
    </row>
    <row r="70" customFormat="false" ht="15" hidden="false" customHeight="false" outlineLevel="0" collapsed="false">
      <c r="A70" s="123" t="n">
        <v>1</v>
      </c>
      <c r="B70" s="345" t="s">
        <v>162</v>
      </c>
      <c r="C70" s="340" t="s">
        <v>86</v>
      </c>
      <c r="D70" s="345"/>
      <c r="E70" s="330" t="n">
        <f aca="false">'Ocorrências Mensais - FAT'!G96</f>
        <v>1.33333333333333</v>
      </c>
      <c r="F70" s="331" t="n">
        <v>35.04</v>
      </c>
      <c r="G70" s="332" t="n">
        <f aca="false">E70*F70</f>
        <v>46.72</v>
      </c>
      <c r="H70" s="359"/>
      <c r="I70" s="76"/>
      <c r="J70" s="127" t="n">
        <v>8</v>
      </c>
      <c r="K70" s="125" t="s">
        <v>505</v>
      </c>
      <c r="L70" s="334" t="n">
        <f aca="false">IF(K70="Semestral",6,IF(K70="Mensal",1,IF(K70="Anual",12,IF(K70="Bienal",24,IF(K70="Trimestral",3,IF(K70="Bimestral",2,IF(K70="Quadrimestral",4)))))))</f>
        <v>6</v>
      </c>
    </row>
    <row r="71" customFormat="false" ht="15" hidden="false" customHeight="false" outlineLevel="0" collapsed="false">
      <c r="A71" s="123" t="n">
        <v>2</v>
      </c>
      <c r="B71" s="345" t="s">
        <v>164</v>
      </c>
      <c r="C71" s="340" t="s">
        <v>86</v>
      </c>
      <c r="D71" s="345" t="s">
        <v>165</v>
      </c>
      <c r="E71" s="330" t="n">
        <f aca="false">'Ocorrências Mensais - FAT'!G97</f>
        <v>0.333333333333333</v>
      </c>
      <c r="F71" s="331" t="n">
        <v>131.37</v>
      </c>
      <c r="G71" s="332" t="n">
        <f aca="false">E71*F71</f>
        <v>43.79</v>
      </c>
      <c r="H71" s="359"/>
      <c r="I71" s="76"/>
      <c r="J71" s="127" t="n">
        <v>2</v>
      </c>
      <c r="K71" s="125" t="s">
        <v>505</v>
      </c>
      <c r="L71" s="334" t="n">
        <f aca="false">IF(K71="Semestral",6,IF(K71="Mensal",1,IF(K71="Anual",12,IF(K71="Bienal",24,IF(K71="Trimestral",3,IF(K71="Bimestral",2,IF(K71="Quadrimestral",4)))))))</f>
        <v>6</v>
      </c>
    </row>
    <row r="72" customFormat="false" ht="15" hidden="false" customHeight="false" outlineLevel="0" collapsed="false">
      <c r="A72" s="123" t="n">
        <v>3</v>
      </c>
      <c r="B72" s="345" t="s">
        <v>166</v>
      </c>
      <c r="C72" s="340" t="s">
        <v>86</v>
      </c>
      <c r="D72" s="360" t="s">
        <v>167</v>
      </c>
      <c r="E72" s="330" t="n">
        <f aca="false">'Ocorrências Mensais - FAT'!G98</f>
        <v>1</v>
      </c>
      <c r="F72" s="331" t="n">
        <v>19.87</v>
      </c>
      <c r="G72" s="332" t="n">
        <f aca="false">E72*F72</f>
        <v>19.87</v>
      </c>
      <c r="H72" s="359"/>
      <c r="I72" s="76"/>
      <c r="J72" s="127" t="n">
        <v>1</v>
      </c>
      <c r="K72" s="125" t="s">
        <v>504</v>
      </c>
      <c r="L72" s="334" t="n">
        <f aca="false">IF(K72="Semestral",6,IF(K72="Mensal",1,IF(K72="Anual",12,IF(K72="Bienal",24,IF(K72="Trimestral",3,IF(K72="Bimestral",2,IF(K72="Quadrimestral",4)))))))</f>
        <v>1</v>
      </c>
    </row>
    <row r="73" customFormat="false" ht="15.75" hidden="false" customHeight="false" outlineLevel="0" collapsed="false">
      <c r="A73" s="348" t="s">
        <v>156</v>
      </c>
      <c r="B73" s="348"/>
      <c r="C73" s="348"/>
      <c r="D73" s="348"/>
      <c r="E73" s="348"/>
      <c r="F73" s="348"/>
      <c r="G73" s="349" t="n">
        <f aca="false">SUM(G70:G72)</f>
        <v>110.38</v>
      </c>
      <c r="H73" s="350"/>
      <c r="I73" s="76"/>
      <c r="J73" s="76"/>
      <c r="L73" s="76"/>
    </row>
    <row r="74" customFormat="false" ht="15" hidden="false" customHeight="false" outlineLevel="0" collapsed="false">
      <c r="A74" s="352"/>
    </row>
    <row r="75" customFormat="false" ht="18.75" hidden="false" customHeight="false" outlineLevel="0" collapsed="false">
      <c r="A75" s="315" t="s">
        <v>514</v>
      </c>
      <c r="B75" s="315"/>
      <c r="C75" s="315"/>
      <c r="D75" s="315"/>
      <c r="E75" s="315"/>
      <c r="F75" s="315"/>
      <c r="G75" s="315"/>
      <c r="H75" s="315"/>
      <c r="I75" s="76"/>
      <c r="J75" s="76"/>
      <c r="L75" s="76"/>
    </row>
    <row r="76" customFormat="false" ht="15" hidden="false" customHeight="false" outlineLevel="0" collapsed="false">
      <c r="A76" s="354"/>
      <c r="B76" s="355"/>
      <c r="C76" s="355"/>
      <c r="D76" s="355"/>
      <c r="E76" s="355"/>
      <c r="F76" s="355"/>
      <c r="G76" s="355"/>
      <c r="H76" s="356"/>
      <c r="I76" s="76"/>
      <c r="J76" s="76"/>
      <c r="L76" s="76"/>
    </row>
    <row r="77" customFormat="false" ht="15" hidden="false" customHeight="true" outlineLevel="0" collapsed="false">
      <c r="A77" s="320" t="s">
        <v>61</v>
      </c>
      <c r="B77" s="321" t="s">
        <v>498</v>
      </c>
      <c r="C77" s="321"/>
      <c r="D77" s="321"/>
      <c r="E77" s="321" t="s">
        <v>63</v>
      </c>
      <c r="F77" s="321"/>
      <c r="G77" s="321"/>
      <c r="H77" s="323" t="s">
        <v>499</v>
      </c>
      <c r="I77" s="76"/>
      <c r="J77" s="324" t="s">
        <v>500</v>
      </c>
      <c r="K77" s="324"/>
      <c r="L77" s="324"/>
    </row>
    <row r="78" customFormat="false" ht="36" hidden="false" customHeight="false" outlineLevel="0" collapsed="false">
      <c r="A78" s="320"/>
      <c r="B78" s="321" t="s">
        <v>67</v>
      </c>
      <c r="C78" s="325" t="s">
        <v>68</v>
      </c>
      <c r="D78" s="325" t="s">
        <v>511</v>
      </c>
      <c r="E78" s="325" t="s">
        <v>72</v>
      </c>
      <c r="F78" s="325" t="s">
        <v>512</v>
      </c>
      <c r="G78" s="325" t="s">
        <v>513</v>
      </c>
      <c r="H78" s="323"/>
      <c r="I78" s="76"/>
      <c r="J78" s="357" t="s">
        <v>502</v>
      </c>
      <c r="K78" s="358" t="s">
        <v>74</v>
      </c>
      <c r="L78" s="326" t="s">
        <v>503</v>
      </c>
    </row>
    <row r="79" customFormat="false" ht="15" hidden="false" customHeight="false" outlineLevel="0" collapsed="false">
      <c r="A79" s="123" t="n">
        <v>1</v>
      </c>
      <c r="B79" s="345" t="s">
        <v>170</v>
      </c>
      <c r="C79" s="340" t="s">
        <v>86</v>
      </c>
      <c r="D79" s="361"/>
      <c r="E79" s="330" t="n">
        <f aca="false">'Ocorrências Mensais - FAT'!G107</f>
        <v>3</v>
      </c>
      <c r="F79" s="331" t="n">
        <v>3.38</v>
      </c>
      <c r="G79" s="332" t="n">
        <f aca="false">E79*F79</f>
        <v>10.14</v>
      </c>
      <c r="H79" s="359"/>
      <c r="I79" s="76"/>
      <c r="J79" s="127" t="n">
        <v>3</v>
      </c>
      <c r="K79" s="125" t="s">
        <v>504</v>
      </c>
      <c r="L79" s="334" t="n">
        <f aca="false">IF(K79="Semestral",6,IF(K79="Mensal",1,IF(K79="Anual",12,IF(K79="Bienal",24,IF(K79="Trimestral",3,IF(K79="Bimestral",2,IF(K79="Quadrimestral",4)))))))</f>
        <v>1</v>
      </c>
    </row>
    <row r="80" customFormat="false" ht="30" hidden="false" customHeight="false" outlineLevel="0" collapsed="false">
      <c r="A80" s="123" t="n">
        <v>2</v>
      </c>
      <c r="B80" s="360" t="s">
        <v>171</v>
      </c>
      <c r="C80" s="340" t="s">
        <v>86</v>
      </c>
      <c r="D80" s="361"/>
      <c r="E80" s="330" t="n">
        <f aca="false">'Ocorrências Mensais - FAT'!G108</f>
        <v>1</v>
      </c>
      <c r="F80" s="331" t="n">
        <v>8.49</v>
      </c>
      <c r="G80" s="332" t="n">
        <f aca="false">E80*F80</f>
        <v>8.49</v>
      </c>
      <c r="H80" s="359"/>
      <c r="I80" s="76"/>
      <c r="J80" s="127" t="n">
        <v>1</v>
      </c>
      <c r="K80" s="125" t="s">
        <v>504</v>
      </c>
      <c r="L80" s="334" t="n">
        <f aca="false">IF(K80="Semestral",6,IF(K80="Mensal",1,IF(K80="Anual",12,IF(K80="Bienal",24,IF(K80="Trimestral",3,IF(K80="Bimestral",2,IF(K80="Quadrimestral",4)))))))</f>
        <v>1</v>
      </c>
    </row>
    <row r="81" customFormat="false" ht="15" hidden="false" customHeight="false" outlineLevel="0" collapsed="false">
      <c r="A81" s="123" t="n">
        <v>3</v>
      </c>
      <c r="B81" s="345" t="s">
        <v>172</v>
      </c>
      <c r="C81" s="340" t="s">
        <v>108</v>
      </c>
      <c r="D81" s="361"/>
      <c r="E81" s="330" t="n">
        <f aca="false">'Ocorrências Mensais - FAT'!G109</f>
        <v>20</v>
      </c>
      <c r="F81" s="331" t="n">
        <v>3.6</v>
      </c>
      <c r="G81" s="332" t="n">
        <f aca="false">E81*F81</f>
        <v>72</v>
      </c>
      <c r="H81" s="359"/>
      <c r="I81" s="76"/>
      <c r="J81" s="127" t="n">
        <v>20</v>
      </c>
      <c r="K81" s="125" t="s">
        <v>504</v>
      </c>
      <c r="L81" s="334" t="n">
        <f aca="false">IF(K81="Semestral",6,IF(K81="Mensal",1,IF(K81="Anual",12,IF(K81="Bienal",24,IF(K81="Trimestral",3,IF(K81="Bimestral",2,IF(K81="Quadrimestral",4)))))))</f>
        <v>1</v>
      </c>
    </row>
    <row r="82" customFormat="false" ht="15" hidden="false" customHeight="false" outlineLevel="0" collapsed="false">
      <c r="A82" s="123" t="n">
        <v>4</v>
      </c>
      <c r="B82" s="345" t="s">
        <v>173</v>
      </c>
      <c r="C82" s="340" t="s">
        <v>86</v>
      </c>
      <c r="D82" s="361"/>
      <c r="E82" s="330" t="n">
        <f aca="false">'Ocorrências Mensais - FAT'!G110</f>
        <v>1</v>
      </c>
      <c r="F82" s="331" t="n">
        <v>8.35</v>
      </c>
      <c r="G82" s="332" t="n">
        <f aca="false">E82*F82</f>
        <v>8.35</v>
      </c>
      <c r="H82" s="359"/>
      <c r="I82" s="76"/>
      <c r="J82" s="127" t="n">
        <v>1</v>
      </c>
      <c r="K82" s="125" t="s">
        <v>504</v>
      </c>
      <c r="L82" s="334" t="n">
        <f aca="false">IF(K82="Semestral",6,IF(K82="Mensal",1,IF(K82="Anual",12,IF(K82="Bienal",24,IF(K82="Trimestral",3,IF(K82="Bimestral",2,IF(K82="Quadrimestral",4)))))))</f>
        <v>1</v>
      </c>
    </row>
    <row r="83" customFormat="false" ht="15" hidden="false" customHeight="false" outlineLevel="0" collapsed="false">
      <c r="A83" s="123" t="n">
        <v>5</v>
      </c>
      <c r="B83" s="345" t="s">
        <v>174</v>
      </c>
      <c r="C83" s="340" t="s">
        <v>86</v>
      </c>
      <c r="D83" s="361"/>
      <c r="E83" s="330" t="n">
        <f aca="false">'Ocorrências Mensais - FAT'!G111</f>
        <v>6.66666666666667</v>
      </c>
      <c r="F83" s="331" t="n">
        <v>4.66</v>
      </c>
      <c r="G83" s="332" t="n">
        <f aca="false">E83*F83</f>
        <v>31.0666666666667</v>
      </c>
      <c r="H83" s="359"/>
      <c r="I83" s="76"/>
      <c r="J83" s="127" t="n">
        <v>20</v>
      </c>
      <c r="K83" s="125" t="s">
        <v>506</v>
      </c>
      <c r="L83" s="334" t="n">
        <f aca="false">IF(K83="Semestral",6,IF(K83="Mensal",1,IF(K83="Anual",12,IF(K83="Bienal",24,IF(K83="Trimestral",3,IF(K83="Bimestral",2,IF(K83="Quadrimestral",4)))))))</f>
        <v>3</v>
      </c>
    </row>
    <row r="84" customFormat="false" ht="15" hidden="false" customHeight="false" outlineLevel="0" collapsed="false">
      <c r="A84" s="123" t="n">
        <v>6</v>
      </c>
      <c r="B84" s="345" t="s">
        <v>175</v>
      </c>
      <c r="C84" s="340" t="s">
        <v>108</v>
      </c>
      <c r="D84" s="361"/>
      <c r="E84" s="330" t="n">
        <f aca="false">'Ocorrências Mensais - FAT'!G112</f>
        <v>0.333333333333333</v>
      </c>
      <c r="F84" s="331" t="n">
        <v>13.27</v>
      </c>
      <c r="G84" s="332" t="n">
        <f aca="false">E84*F84</f>
        <v>4.42333333333333</v>
      </c>
      <c r="H84" s="359"/>
      <c r="I84" s="76"/>
      <c r="J84" s="127" t="n">
        <v>1</v>
      </c>
      <c r="K84" s="125" t="s">
        <v>506</v>
      </c>
      <c r="L84" s="334" t="n">
        <f aca="false">IF(K84="Semestral",6,IF(K84="Mensal",1,IF(K84="Anual",12,IF(K84="Bienal",24,IF(K84="Trimestral",3,IF(K84="Bimestral",2,IF(K84="Quadrimestral",4)))))))</f>
        <v>3</v>
      </c>
    </row>
    <row r="85" customFormat="false" ht="15.75" hidden="false" customHeight="false" outlineLevel="0" collapsed="false">
      <c r="A85" s="348" t="s">
        <v>156</v>
      </c>
      <c r="B85" s="348"/>
      <c r="C85" s="348"/>
      <c r="D85" s="348"/>
      <c r="E85" s="348"/>
      <c r="F85" s="348"/>
      <c r="G85" s="349" t="n">
        <f aca="false">SUM(G79:G84)</f>
        <v>134.47</v>
      </c>
      <c r="H85" s="350"/>
      <c r="I85" s="76"/>
      <c r="J85" s="76"/>
      <c r="L85" s="76"/>
    </row>
    <row r="87" customFormat="false" ht="18.75" hidden="false" customHeight="false" outlineLevel="0" collapsed="false">
      <c r="A87" s="315" t="s">
        <v>515</v>
      </c>
      <c r="B87" s="315"/>
      <c r="C87" s="315"/>
      <c r="D87" s="315"/>
      <c r="E87" s="315"/>
      <c r="F87" s="315"/>
      <c r="G87" s="315"/>
      <c r="H87" s="315"/>
      <c r="I87" s="76"/>
      <c r="J87" s="76"/>
      <c r="L87" s="76"/>
    </row>
    <row r="88" customFormat="false" ht="15" hidden="false" customHeight="false" outlineLevel="0" collapsed="false">
      <c r="A88" s="354"/>
      <c r="B88" s="355"/>
      <c r="C88" s="355"/>
      <c r="D88" s="355"/>
      <c r="E88" s="355"/>
      <c r="F88" s="355"/>
      <c r="G88" s="355"/>
      <c r="H88" s="356"/>
      <c r="I88" s="76"/>
      <c r="J88" s="76"/>
      <c r="L88" s="76"/>
    </row>
    <row r="89" customFormat="false" ht="15" hidden="false" customHeight="true" outlineLevel="0" collapsed="false">
      <c r="A89" s="320" t="s">
        <v>61</v>
      </c>
      <c r="B89" s="321" t="s">
        <v>498</v>
      </c>
      <c r="C89" s="321"/>
      <c r="D89" s="321"/>
      <c r="E89" s="321" t="s">
        <v>63</v>
      </c>
      <c r="F89" s="321"/>
      <c r="G89" s="321"/>
      <c r="H89" s="323" t="s">
        <v>499</v>
      </c>
      <c r="I89" s="76"/>
      <c r="J89" s="324" t="s">
        <v>500</v>
      </c>
      <c r="K89" s="324"/>
      <c r="L89" s="324"/>
    </row>
    <row r="90" customFormat="false" ht="36" hidden="false" customHeight="false" outlineLevel="0" collapsed="false">
      <c r="A90" s="320"/>
      <c r="B90" s="321" t="s">
        <v>67</v>
      </c>
      <c r="C90" s="325" t="s">
        <v>68</v>
      </c>
      <c r="D90" s="325" t="s">
        <v>511</v>
      </c>
      <c r="E90" s="325" t="s">
        <v>72</v>
      </c>
      <c r="F90" s="325" t="s">
        <v>512</v>
      </c>
      <c r="G90" s="325" t="s">
        <v>513</v>
      </c>
      <c r="H90" s="323"/>
      <c r="I90" s="76"/>
      <c r="J90" s="357" t="s">
        <v>502</v>
      </c>
      <c r="K90" s="358" t="s">
        <v>74</v>
      </c>
      <c r="L90" s="326" t="s">
        <v>503</v>
      </c>
    </row>
    <row r="91" customFormat="false" ht="15" hidden="false" customHeight="false" outlineLevel="0" collapsed="false">
      <c r="A91" s="123" t="n">
        <v>1</v>
      </c>
      <c r="B91" s="345" t="s">
        <v>178</v>
      </c>
      <c r="C91" s="340" t="s">
        <v>86</v>
      </c>
      <c r="D91" s="345"/>
      <c r="E91" s="330" t="n">
        <f aca="false">'Ocorrências Mensais - FAT'!G121</f>
        <v>0.166666666666667</v>
      </c>
      <c r="F91" s="331" t="n">
        <v>214.3131</v>
      </c>
      <c r="G91" s="332" t="n">
        <f aca="false">E91*F91</f>
        <v>35.71885</v>
      </c>
      <c r="H91" s="359"/>
      <c r="I91" s="76"/>
      <c r="J91" s="347" t="n">
        <v>1</v>
      </c>
      <c r="K91" s="347" t="s">
        <v>505</v>
      </c>
      <c r="L91" s="334" t="n">
        <f aca="false">IF(K91="Semestral",6,IF(K91="Mensal",1,IF(K91="Anual",12,IF(K91="Bienal",24,IF(K91="Trimestral",3,IF(K91="Bimestral",2,IF(K91="Quadrimestral",4)))))))</f>
        <v>6</v>
      </c>
    </row>
    <row r="92" customFormat="false" ht="15" hidden="false" customHeight="false" outlineLevel="0" collapsed="false">
      <c r="A92" s="123" t="n">
        <v>2</v>
      </c>
      <c r="B92" s="345" t="s">
        <v>179</v>
      </c>
      <c r="C92" s="340" t="s">
        <v>86</v>
      </c>
      <c r="D92" s="345"/>
      <c r="E92" s="330" t="n">
        <f aca="false">'Ocorrências Mensais - FAT'!G122</f>
        <v>0.166666666666667</v>
      </c>
      <c r="F92" s="331" t="n">
        <v>36.11</v>
      </c>
      <c r="G92" s="332" t="n">
        <f aca="false">E92*F92</f>
        <v>6.01833333333333</v>
      </c>
      <c r="H92" s="359"/>
      <c r="I92" s="76"/>
      <c r="J92" s="347" t="n">
        <v>1</v>
      </c>
      <c r="K92" s="347" t="s">
        <v>505</v>
      </c>
      <c r="L92" s="334" t="n">
        <f aca="false">IF(K92="Semestral",6,IF(K92="Mensal",1,IF(K92="Anual",12,IF(K92="Bienal",24,IF(K92="Trimestral",3,IF(K92="Bimestral",2,IF(K92="Quadrimestral",4)))))))</f>
        <v>6</v>
      </c>
    </row>
    <row r="93" customFormat="false" ht="30" hidden="false" customHeight="false" outlineLevel="0" collapsed="false">
      <c r="A93" s="123" t="n">
        <v>3</v>
      </c>
      <c r="B93" s="360" t="s">
        <v>180</v>
      </c>
      <c r="C93" s="340" t="s">
        <v>86</v>
      </c>
      <c r="D93" s="345"/>
      <c r="E93" s="330" t="n">
        <f aca="false">'Ocorrências Mensais - FAT'!G123</f>
        <v>0.166666666666667</v>
      </c>
      <c r="F93" s="331" t="n">
        <v>23.98</v>
      </c>
      <c r="G93" s="332" t="n">
        <f aca="false">E93*F93</f>
        <v>3.99666666666667</v>
      </c>
      <c r="H93" s="359"/>
      <c r="I93" s="76"/>
      <c r="J93" s="347" t="n">
        <v>1</v>
      </c>
      <c r="K93" s="347" t="s">
        <v>505</v>
      </c>
      <c r="L93" s="334" t="n">
        <f aca="false">IF(K93="Semestral",6,IF(K93="Mensal",1,IF(K93="Anual",12,IF(K93="Bienal",24,IF(K93="Trimestral",3,IF(K93="Bimestral",2,IF(K93="Quadrimestral",4)))))))</f>
        <v>6</v>
      </c>
    </row>
    <row r="94" customFormat="false" ht="15" hidden="false" customHeight="false" outlineLevel="0" collapsed="false">
      <c r="A94" s="123" t="n">
        <v>4</v>
      </c>
      <c r="B94" s="345" t="s">
        <v>181</v>
      </c>
      <c r="C94" s="340" t="s">
        <v>134</v>
      </c>
      <c r="D94" s="345"/>
      <c r="E94" s="330" t="n">
        <f aca="false">'Ocorrências Mensais - FAT'!G124</f>
        <v>5</v>
      </c>
      <c r="F94" s="331" t="n">
        <v>5.42</v>
      </c>
      <c r="G94" s="332" t="n">
        <f aca="false">E94*F94</f>
        <v>27.1</v>
      </c>
      <c r="H94" s="359"/>
      <c r="I94" s="76"/>
      <c r="J94" s="347" t="n">
        <v>30</v>
      </c>
      <c r="K94" s="347" t="s">
        <v>505</v>
      </c>
      <c r="L94" s="334" t="n">
        <f aca="false">IF(K94="Semestral",6,IF(K94="Mensal",1,IF(K94="Anual",12,IF(K94="Bienal",24,IF(K94="Trimestral",3,IF(K94="Bimestral",2,IF(K94="Quadrimestral",4)))))))</f>
        <v>6</v>
      </c>
    </row>
    <row r="95" customFormat="false" ht="15" hidden="false" customHeight="false" outlineLevel="0" collapsed="false">
      <c r="A95" s="123" t="n">
        <v>5</v>
      </c>
      <c r="B95" s="345" t="s">
        <v>182</v>
      </c>
      <c r="C95" s="340" t="s">
        <v>86</v>
      </c>
      <c r="D95" s="345"/>
      <c r="E95" s="330" t="n">
        <f aca="false">'Ocorrências Mensais - FAT'!G125</f>
        <v>0.666666666666667</v>
      </c>
      <c r="F95" s="331" t="n">
        <v>9.79</v>
      </c>
      <c r="G95" s="332" t="n">
        <f aca="false">E95*F95</f>
        <v>6.52666666666667</v>
      </c>
      <c r="H95" s="359"/>
      <c r="I95" s="76"/>
      <c r="J95" s="347" t="n">
        <v>4</v>
      </c>
      <c r="K95" s="347" t="s">
        <v>505</v>
      </c>
      <c r="L95" s="334" t="n">
        <f aca="false">IF(K95="Semestral",6,IF(K95="Mensal",1,IF(K95="Anual",12,IF(K95="Bienal",24,IF(K95="Trimestral",3,IF(K95="Bimestral",2,IF(K95="Quadrimestral",4)))))))</f>
        <v>6</v>
      </c>
    </row>
    <row r="96" customFormat="false" ht="15" hidden="false" customHeight="false" outlineLevel="0" collapsed="false">
      <c r="A96" s="123" t="n">
        <v>6</v>
      </c>
      <c r="B96" s="345" t="s">
        <v>183</v>
      </c>
      <c r="C96" s="340" t="s">
        <v>184</v>
      </c>
      <c r="D96" s="345"/>
      <c r="E96" s="330" t="n">
        <f aca="false">'Ocorrências Mensais - FAT'!G126</f>
        <v>0.5</v>
      </c>
      <c r="F96" s="331" t="n">
        <v>17.79</v>
      </c>
      <c r="G96" s="332" t="n">
        <f aca="false">E96*F96</f>
        <v>8.895</v>
      </c>
      <c r="H96" s="359"/>
      <c r="I96" s="76"/>
      <c r="J96" s="347" t="n">
        <v>3</v>
      </c>
      <c r="K96" s="347" t="s">
        <v>505</v>
      </c>
      <c r="L96" s="334" t="n">
        <f aca="false">IF(K96="Semestral",6,IF(K96="Mensal",1,IF(K96="Anual",12,IF(K96="Bienal",24,IF(K96="Trimestral",3,IF(K96="Bimestral",2,IF(K96="Quadrimestral",4)))))))</f>
        <v>6</v>
      </c>
    </row>
    <row r="97" customFormat="false" ht="15" hidden="false" customHeight="false" outlineLevel="0" collapsed="false">
      <c r="A97" s="123" t="n">
        <v>7</v>
      </c>
      <c r="B97" s="345" t="s">
        <v>185</v>
      </c>
      <c r="C97" s="340" t="s">
        <v>134</v>
      </c>
      <c r="D97" s="345"/>
      <c r="E97" s="330" t="n">
        <f aca="false">'Ocorrências Mensais - FAT'!G127</f>
        <v>0.166666666666667</v>
      </c>
      <c r="F97" s="331" t="n">
        <v>26.48</v>
      </c>
      <c r="G97" s="332" t="n">
        <f aca="false">E97*F97</f>
        <v>4.41333333333333</v>
      </c>
      <c r="H97" s="359"/>
      <c r="I97" s="76"/>
      <c r="J97" s="347" t="n">
        <v>1</v>
      </c>
      <c r="K97" s="347" t="s">
        <v>505</v>
      </c>
      <c r="L97" s="334" t="n">
        <f aca="false">IF(K97="Semestral",6,IF(K97="Mensal",1,IF(K97="Anual",12,IF(K97="Bienal",24,IF(K97="Trimestral",3,IF(K97="Bimestral",2,IF(K97="Quadrimestral",4)))))))</f>
        <v>6</v>
      </c>
    </row>
    <row r="98" customFormat="false" ht="15" hidden="false" customHeight="false" outlineLevel="0" collapsed="false">
      <c r="A98" s="123" t="n">
        <v>8</v>
      </c>
      <c r="B98" s="345" t="s">
        <v>186</v>
      </c>
      <c r="C98" s="340" t="s">
        <v>86</v>
      </c>
      <c r="D98" s="345"/>
      <c r="E98" s="330" t="n">
        <f aca="false">'Ocorrências Mensais - FAT'!G128</f>
        <v>1</v>
      </c>
      <c r="F98" s="331" t="n">
        <v>8.35</v>
      </c>
      <c r="G98" s="332" t="n">
        <f aca="false">E98*F98</f>
        <v>8.35</v>
      </c>
      <c r="H98" s="359"/>
      <c r="I98" s="76"/>
      <c r="J98" s="347" t="n">
        <v>1</v>
      </c>
      <c r="K98" s="347" t="s">
        <v>504</v>
      </c>
      <c r="L98" s="334" t="n">
        <f aca="false">IF(K98="Semestral",6,IF(K98="Mensal",1,IF(K98="Anual",12,IF(K98="Bienal",24,IF(K98="Trimestral",3,IF(K98="Bimestral",2,IF(K98="Quadrimestral",4)))))))</f>
        <v>1</v>
      </c>
    </row>
    <row r="99" customFormat="false" ht="15" hidden="false" customHeight="false" outlineLevel="0" collapsed="false">
      <c r="A99" s="123" t="n">
        <v>9</v>
      </c>
      <c r="B99" s="345" t="s">
        <v>187</v>
      </c>
      <c r="C99" s="340" t="s">
        <v>86</v>
      </c>
      <c r="D99" s="345"/>
      <c r="E99" s="330" t="n">
        <f aca="false">'Ocorrências Mensais - FAT'!G129</f>
        <v>1</v>
      </c>
      <c r="F99" s="331" t="n">
        <v>21.59</v>
      </c>
      <c r="G99" s="332" t="n">
        <f aca="false">E99*F99</f>
        <v>21.59</v>
      </c>
      <c r="H99" s="359"/>
      <c r="I99" s="76"/>
      <c r="J99" s="347" t="n">
        <v>6</v>
      </c>
      <c r="K99" s="347" t="s">
        <v>505</v>
      </c>
      <c r="L99" s="334" t="n">
        <f aca="false">IF(K99="Semestral",6,IF(K99="Mensal",1,IF(K99="Anual",12,IF(K99="Bienal",24,IF(K99="Trimestral",3,IF(K99="Bimestral",2,IF(K99="Quadrimestral",4)))))))</f>
        <v>6</v>
      </c>
    </row>
    <row r="100" customFormat="false" ht="15" hidden="false" customHeight="false" outlineLevel="0" collapsed="false">
      <c r="A100" s="123" t="n">
        <v>10</v>
      </c>
      <c r="B100" s="345" t="s">
        <v>188</v>
      </c>
      <c r="C100" s="340" t="s">
        <v>134</v>
      </c>
      <c r="D100" s="345"/>
      <c r="E100" s="330" t="n">
        <f aca="false">'Ocorrências Mensais - FAT'!G130</f>
        <v>0.166666666666667</v>
      </c>
      <c r="F100" s="331" t="n">
        <v>43.52</v>
      </c>
      <c r="G100" s="332" t="n">
        <f aca="false">E100*F100</f>
        <v>7.25333333333333</v>
      </c>
      <c r="H100" s="359"/>
      <c r="I100" s="76"/>
      <c r="J100" s="347" t="n">
        <v>1</v>
      </c>
      <c r="K100" s="347" t="s">
        <v>505</v>
      </c>
      <c r="L100" s="334" t="n">
        <f aca="false">IF(K100="Semestral",6,IF(K100="Mensal",1,IF(K100="Anual",12,IF(K100="Bienal",24,IF(K100="Trimestral",3,IF(K100="Bimestral",2,IF(K100="Quadrimestral",4)))))))</f>
        <v>6</v>
      </c>
    </row>
    <row r="101" customFormat="false" ht="15" hidden="false" customHeight="false" outlineLevel="0" collapsed="false">
      <c r="A101" s="123" t="n">
        <v>11</v>
      </c>
      <c r="B101" s="345" t="s">
        <v>189</v>
      </c>
      <c r="C101" s="340" t="s">
        <v>86</v>
      </c>
      <c r="D101" s="345"/>
      <c r="E101" s="330" t="n">
        <f aca="false">'Ocorrências Mensais - FAT'!G131</f>
        <v>1.33333333333333</v>
      </c>
      <c r="F101" s="331" t="n">
        <v>20.43</v>
      </c>
      <c r="G101" s="332" t="n">
        <f aca="false">E101*F101</f>
        <v>27.24</v>
      </c>
      <c r="H101" s="359"/>
      <c r="I101" s="76"/>
      <c r="J101" s="347" t="n">
        <v>8</v>
      </c>
      <c r="K101" s="347" t="s">
        <v>505</v>
      </c>
      <c r="L101" s="334" t="n">
        <f aca="false">IF(K101="Semestral",6,IF(K101="Mensal",1,IF(K101="Anual",12,IF(K101="Bienal",24,IF(K101="Trimestral",3,IF(K101="Bimestral",2,IF(K101="Quadrimestral",4)))))))</f>
        <v>6</v>
      </c>
    </row>
    <row r="102" customFormat="false" ht="15.75" hidden="false" customHeight="false" outlineLevel="0" collapsed="false">
      <c r="A102" s="348" t="s">
        <v>156</v>
      </c>
      <c r="B102" s="348"/>
      <c r="C102" s="348"/>
      <c r="D102" s="348"/>
      <c r="E102" s="348"/>
      <c r="F102" s="348"/>
      <c r="G102" s="349" t="n">
        <f aca="false">SUM(G91:G101)</f>
        <v>157.102183333333</v>
      </c>
      <c r="H102" s="350"/>
      <c r="I102" s="76"/>
      <c r="J102" s="76"/>
      <c r="L102" s="76"/>
    </row>
    <row r="104" customFormat="false" ht="18.75" hidden="false" customHeight="false" outlineLevel="0" collapsed="false">
      <c r="A104" s="315" t="s">
        <v>516</v>
      </c>
      <c r="B104" s="315"/>
      <c r="C104" s="315"/>
      <c r="D104" s="315"/>
      <c r="E104" s="315"/>
      <c r="F104" s="315"/>
      <c r="G104" s="315"/>
      <c r="H104" s="315"/>
      <c r="I104" s="76"/>
      <c r="J104" s="76"/>
      <c r="L104" s="76"/>
    </row>
    <row r="105" customFormat="false" ht="15" hidden="false" customHeight="false" outlineLevel="0" collapsed="false">
      <c r="A105" s="354"/>
      <c r="B105" s="355"/>
      <c r="C105" s="355"/>
      <c r="D105" s="355"/>
      <c r="E105" s="355"/>
      <c r="F105" s="355"/>
      <c r="G105" s="355"/>
      <c r="H105" s="356"/>
      <c r="I105" s="76"/>
      <c r="J105" s="76"/>
      <c r="L105" s="76"/>
    </row>
    <row r="106" customFormat="false" ht="15" hidden="false" customHeight="true" outlineLevel="0" collapsed="false">
      <c r="A106" s="320" t="s">
        <v>61</v>
      </c>
      <c r="B106" s="321" t="s">
        <v>498</v>
      </c>
      <c r="C106" s="321"/>
      <c r="D106" s="321"/>
      <c r="E106" s="321" t="s">
        <v>63</v>
      </c>
      <c r="F106" s="321"/>
      <c r="G106" s="321"/>
      <c r="H106" s="323" t="s">
        <v>499</v>
      </c>
      <c r="I106" s="76"/>
      <c r="J106" s="324" t="s">
        <v>500</v>
      </c>
      <c r="K106" s="324"/>
      <c r="L106" s="324"/>
    </row>
    <row r="107" customFormat="false" ht="36" hidden="false" customHeight="false" outlineLevel="0" collapsed="false">
      <c r="A107" s="320"/>
      <c r="B107" s="321" t="s">
        <v>67</v>
      </c>
      <c r="C107" s="325" t="s">
        <v>68</v>
      </c>
      <c r="D107" s="325" t="s">
        <v>511</v>
      </c>
      <c r="E107" s="325" t="s">
        <v>72</v>
      </c>
      <c r="F107" s="325" t="s">
        <v>512</v>
      </c>
      <c r="G107" s="325" t="s">
        <v>513</v>
      </c>
      <c r="H107" s="323"/>
      <c r="I107" s="76"/>
      <c r="J107" s="357" t="s">
        <v>502</v>
      </c>
      <c r="K107" s="358" t="s">
        <v>74</v>
      </c>
      <c r="L107" s="326" t="s">
        <v>503</v>
      </c>
    </row>
    <row r="108" customFormat="false" ht="15" hidden="false" customHeight="false" outlineLevel="0" collapsed="false">
      <c r="A108" s="123" t="n">
        <v>1</v>
      </c>
      <c r="B108" s="345" t="s">
        <v>192</v>
      </c>
      <c r="C108" s="340" t="s">
        <v>86</v>
      </c>
      <c r="D108" s="345"/>
      <c r="E108" s="330" t="n">
        <f aca="false">'Ocorrências Mensais - FAT'!G140</f>
        <v>1</v>
      </c>
      <c r="F108" s="331" t="n">
        <v>16.78</v>
      </c>
      <c r="G108" s="332" t="n">
        <f aca="false">E108*F108</f>
        <v>16.78</v>
      </c>
      <c r="H108" s="359"/>
      <c r="I108" s="76"/>
      <c r="J108" s="347" t="n">
        <v>1</v>
      </c>
      <c r="K108" s="347" t="s">
        <v>504</v>
      </c>
      <c r="L108" s="334" t="n">
        <f aca="false">IF(K108="Semestral",6,IF(K108="Mensal",1,IF(K108="Anual",12,IF(K108="Bienal",24,IF(K108="Trimestral",3,IF(K108="Bimestral",2,IF(K108="Quadrimestral",4)))))))</f>
        <v>1</v>
      </c>
    </row>
    <row r="109" customFormat="false" ht="15" hidden="false" customHeight="false" outlineLevel="0" collapsed="false">
      <c r="A109" s="123" t="n">
        <v>2</v>
      </c>
      <c r="B109" s="345" t="s">
        <v>193</v>
      </c>
      <c r="C109" s="340" t="s">
        <v>86</v>
      </c>
      <c r="D109" s="345"/>
      <c r="E109" s="330" t="n">
        <f aca="false">'Ocorrências Mensais - FAT'!G141</f>
        <v>2</v>
      </c>
      <c r="F109" s="331" t="n">
        <v>12.72</v>
      </c>
      <c r="G109" s="332" t="n">
        <f aca="false">E109*F109</f>
        <v>25.44</v>
      </c>
      <c r="H109" s="359"/>
      <c r="I109" s="76"/>
      <c r="J109" s="347" t="n">
        <v>2</v>
      </c>
      <c r="K109" s="347" t="s">
        <v>504</v>
      </c>
      <c r="L109" s="334" t="n">
        <f aca="false">IF(K109="Semestral",6,IF(K109="Mensal",1,IF(K109="Anual",12,IF(K109="Bienal",24,IF(K109="Trimestral",3,IF(K109="Bimestral",2,IF(K109="Quadrimestral",4)))))))</f>
        <v>1</v>
      </c>
    </row>
    <row r="110" customFormat="false" ht="15" hidden="false" customHeight="false" outlineLevel="0" collapsed="false">
      <c r="A110" s="123" t="n">
        <v>3</v>
      </c>
      <c r="B110" s="345" t="s">
        <v>194</v>
      </c>
      <c r="C110" s="340" t="s">
        <v>134</v>
      </c>
      <c r="D110" s="345"/>
      <c r="E110" s="330" t="n">
        <f aca="false">'Ocorrências Mensais - FAT'!G142</f>
        <v>1</v>
      </c>
      <c r="F110" s="331" t="n">
        <v>24.15</v>
      </c>
      <c r="G110" s="332" t="n">
        <f aca="false">E110*F110</f>
        <v>24.15</v>
      </c>
      <c r="H110" s="359"/>
      <c r="I110" s="76"/>
      <c r="J110" s="347" t="n">
        <v>1</v>
      </c>
      <c r="K110" s="347" t="s">
        <v>504</v>
      </c>
      <c r="L110" s="334" t="n">
        <f aca="false">IF(K110="Semestral",6,IF(K110="Mensal",1,IF(K110="Anual",12,IF(K110="Bienal",24,IF(K110="Trimestral",3,IF(K110="Bimestral",2,IF(K110="Quadrimestral",4)))))))</f>
        <v>1</v>
      </c>
    </row>
    <row r="111" customFormat="false" ht="15" hidden="false" customHeight="false" outlineLevel="0" collapsed="false">
      <c r="A111" s="123" t="n">
        <v>4</v>
      </c>
      <c r="B111" s="345" t="s">
        <v>195</v>
      </c>
      <c r="C111" s="340" t="s">
        <v>86</v>
      </c>
      <c r="D111" s="345"/>
      <c r="E111" s="330" t="n">
        <f aca="false">'Ocorrências Mensais - FAT'!G143</f>
        <v>2</v>
      </c>
      <c r="F111" s="331" t="n">
        <v>8.44</v>
      </c>
      <c r="G111" s="332" t="n">
        <f aca="false">E111*F111</f>
        <v>16.88</v>
      </c>
      <c r="H111" s="359"/>
      <c r="I111" s="76"/>
      <c r="J111" s="347" t="n">
        <v>2</v>
      </c>
      <c r="K111" s="347" t="s">
        <v>504</v>
      </c>
      <c r="L111" s="334" t="n">
        <f aca="false">IF(K111="Semestral",6,IF(K111="Mensal",1,IF(K111="Anual",12,IF(K111="Bienal",24,IF(K111="Trimestral",3,IF(K111="Bimestral",2,IF(K111="Quadrimestral",4)))))))</f>
        <v>1</v>
      </c>
    </row>
    <row r="112" customFormat="false" ht="15.75" hidden="false" customHeight="false" outlineLevel="0" collapsed="false">
      <c r="A112" s="348" t="s">
        <v>156</v>
      </c>
      <c r="B112" s="348"/>
      <c r="C112" s="348"/>
      <c r="D112" s="348"/>
      <c r="E112" s="348"/>
      <c r="F112" s="348"/>
      <c r="G112" s="349" t="n">
        <f aca="false">SUM(G108:G111)</f>
        <v>83.25</v>
      </c>
      <c r="H112" s="350"/>
      <c r="I112" s="76"/>
      <c r="J112" s="76"/>
      <c r="L112" s="76"/>
    </row>
  </sheetData>
  <sheetProtection algorithmName="SHA-512" hashValue="SRYcXqPqc7LgsmI7CQYkb3HBIjEkBao0jhoLXvjroN+13xIvIu2ps6753AE3kxlg7CWOZj5l3jLGulqEGJY2Ag==" saltValue="aHOxoe9a14cSiVerK7dkjQ==" spinCount="100000" sheet="true" objects="true" scenarios="true"/>
  <mergeCells count="36">
    <mergeCell ref="A4:H4"/>
    <mergeCell ref="A5:H5"/>
    <mergeCell ref="A6:A8"/>
    <mergeCell ref="B6:D7"/>
    <mergeCell ref="E6:G7"/>
    <mergeCell ref="H6:H8"/>
    <mergeCell ref="J7:L7"/>
    <mergeCell ref="A64:F64"/>
    <mergeCell ref="A66:H66"/>
    <mergeCell ref="A68:A69"/>
    <mergeCell ref="B68:D68"/>
    <mergeCell ref="E68:G68"/>
    <mergeCell ref="H68:H69"/>
    <mergeCell ref="J68:L68"/>
    <mergeCell ref="A73:F73"/>
    <mergeCell ref="A75:H75"/>
    <mergeCell ref="A77:A78"/>
    <mergeCell ref="B77:D77"/>
    <mergeCell ref="E77:G77"/>
    <mergeCell ref="H77:H78"/>
    <mergeCell ref="J77:L77"/>
    <mergeCell ref="A85:F85"/>
    <mergeCell ref="A87:H87"/>
    <mergeCell ref="A89:A90"/>
    <mergeCell ref="B89:D89"/>
    <mergeCell ref="E89:G89"/>
    <mergeCell ref="H89:H90"/>
    <mergeCell ref="J89:L89"/>
    <mergeCell ref="A102:F102"/>
    <mergeCell ref="A104:H104"/>
    <mergeCell ref="A106:A107"/>
    <mergeCell ref="B106:D106"/>
    <mergeCell ref="E106:G106"/>
    <mergeCell ref="H106:H107"/>
    <mergeCell ref="J106:L106"/>
    <mergeCell ref="A112:F112"/>
  </mergeCells>
  <dataValidations count="1">
    <dataValidation allowBlank="true" errorStyle="stop" operator="between" showDropDown="false" showErrorMessage="true" showInputMessage="true" sqref="K9:K63 K70:K72 K79:K84 K91:K101 K108:K111" type="list">
      <formula1>"Mensal,Bimestral,Trimestral,Quadrimestral,Semestral,Anual,Bienal"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4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3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9" activeCellId="0" sqref="F9"/>
    </sheetView>
  </sheetViews>
  <sheetFormatPr defaultColWidth="9.00390625" defaultRowHeight="15" zeroHeight="false" outlineLevelRow="0" outlineLevelCol="0"/>
  <cols>
    <col collapsed="false" customWidth="true" hidden="false" outlineLevel="0" max="1" min="1" style="76" width="5.57"/>
    <col collapsed="false" customWidth="true" hidden="false" outlineLevel="0" max="2" min="2" style="76" width="45.14"/>
    <col collapsed="false" customWidth="true" hidden="false" outlineLevel="0" max="3" min="3" style="76" width="7.86"/>
    <col collapsed="false" customWidth="true" hidden="false" outlineLevel="0" max="7" min="4" style="76" width="13.71"/>
    <col collapsed="false" customWidth="true" hidden="false" outlineLevel="0" max="257" min="257" style="247" width="5.57"/>
    <col collapsed="false" customWidth="true" hidden="false" outlineLevel="0" max="258" min="258" style="247" width="45.14"/>
    <col collapsed="false" customWidth="true" hidden="false" outlineLevel="0" max="259" min="259" style="247" width="6.29"/>
    <col collapsed="false" customWidth="true" hidden="false" outlineLevel="0" max="263" min="260" style="247" width="13.71"/>
    <col collapsed="false" customWidth="true" hidden="false" outlineLevel="0" max="513" min="513" style="247" width="5.57"/>
    <col collapsed="false" customWidth="true" hidden="false" outlineLevel="0" max="514" min="514" style="247" width="45.14"/>
    <col collapsed="false" customWidth="true" hidden="false" outlineLevel="0" max="515" min="515" style="247" width="6.29"/>
    <col collapsed="false" customWidth="true" hidden="false" outlineLevel="0" max="519" min="516" style="247" width="13.71"/>
    <col collapsed="false" customWidth="true" hidden="false" outlineLevel="0" max="769" min="769" style="247" width="5.57"/>
    <col collapsed="false" customWidth="true" hidden="false" outlineLevel="0" max="770" min="770" style="247" width="45.14"/>
    <col collapsed="false" customWidth="true" hidden="false" outlineLevel="0" max="771" min="771" style="247" width="6.29"/>
    <col collapsed="false" customWidth="true" hidden="false" outlineLevel="0" max="775" min="772" style="247" width="13.71"/>
  </cols>
  <sheetData>
    <row r="1" s="76" customFormat="true" ht="11.25" hidden="false" customHeight="true" outlineLevel="0" collapsed="false">
      <c r="A1" s="248"/>
      <c r="B1" s="249" t="str">
        <f aca="false">INSTRUÇÕES!B1</f>
        <v>Tribunal Regional Federal da 6ª Região</v>
      </c>
      <c r="C1" s="362"/>
      <c r="D1" s="363"/>
      <c r="E1" s="363"/>
      <c r="F1" s="363"/>
      <c r="G1" s="364"/>
    </row>
    <row r="2" s="76" customFormat="true" ht="11.25" hidden="false" customHeight="true" outlineLevel="0" collapsed="false">
      <c r="A2" s="251"/>
      <c r="B2" s="167" t="str">
        <f aca="false">INSTRUÇÕES!B2</f>
        <v>Seção Judiciária de Minas Gerais</v>
      </c>
      <c r="C2" s="365"/>
      <c r="D2" s="366"/>
      <c r="E2" s="366"/>
      <c r="F2" s="366"/>
      <c r="G2" s="367"/>
    </row>
    <row r="3" s="76" customFormat="true" ht="10.5" hidden="false" customHeight="true" outlineLevel="0" collapsed="false">
      <c r="A3" s="253"/>
      <c r="B3" s="167" t="str">
        <f aca="false">INSTRUÇÕES!B3</f>
        <v>Subseção Judiciária de Juiz de Fora</v>
      </c>
      <c r="C3" s="365"/>
      <c r="D3" s="366"/>
      <c r="E3" s="366"/>
      <c r="F3" s="366"/>
      <c r="G3" s="367"/>
    </row>
    <row r="4" s="76" customFormat="true" ht="21.75" hidden="false" customHeight="true" outlineLevel="0" collapsed="false">
      <c r="A4" s="368" t="s">
        <v>517</v>
      </c>
      <c r="B4" s="368"/>
      <c r="C4" s="368"/>
      <c r="D4" s="368"/>
      <c r="E4" s="368"/>
      <c r="F4" s="368"/>
      <c r="G4" s="368"/>
    </row>
    <row r="5" s="76" customFormat="true" ht="26.25" hidden="false" customHeight="true" outlineLevel="0" collapsed="false">
      <c r="A5" s="369" t="s">
        <v>497</v>
      </c>
      <c r="B5" s="369"/>
      <c r="C5" s="369"/>
      <c r="D5" s="369"/>
      <c r="E5" s="369"/>
      <c r="F5" s="369"/>
      <c r="G5" s="369"/>
    </row>
    <row r="6" s="76" customFormat="true" ht="15.75" hidden="false" customHeight="false" outlineLevel="0" collapsed="false">
      <c r="A6" s="370"/>
      <c r="B6" s="371"/>
      <c r="C6" s="371"/>
      <c r="D6" s="371" t="s">
        <v>518</v>
      </c>
      <c r="E6" s="371"/>
      <c r="G6" s="372" t="n">
        <v>0.2</v>
      </c>
    </row>
    <row r="7" s="76" customFormat="true" ht="25.5" hidden="false" customHeight="false" outlineLevel="0" collapsed="false">
      <c r="A7" s="373" t="s">
        <v>519</v>
      </c>
      <c r="B7" s="374" t="s">
        <v>520</v>
      </c>
      <c r="C7" s="374" t="s">
        <v>521</v>
      </c>
      <c r="D7" s="375" t="s">
        <v>522</v>
      </c>
      <c r="E7" s="375" t="s">
        <v>523</v>
      </c>
      <c r="F7" s="375" t="s">
        <v>524</v>
      </c>
      <c r="G7" s="376" t="s">
        <v>525</v>
      </c>
    </row>
    <row r="8" s="76" customFormat="true" ht="12.75" hidden="false" customHeight="false" outlineLevel="0" collapsed="false">
      <c r="A8" s="377" t="s">
        <v>526</v>
      </c>
      <c r="B8" s="377"/>
      <c r="C8" s="377"/>
      <c r="D8" s="377"/>
      <c r="E8" s="377"/>
      <c r="F8" s="377"/>
      <c r="G8" s="377"/>
    </row>
    <row r="9" s="76" customFormat="true" ht="15" hidden="false" customHeight="false" outlineLevel="0" collapsed="false">
      <c r="A9" s="378" t="n">
        <v>1</v>
      </c>
      <c r="B9" s="379" t="s">
        <v>527</v>
      </c>
      <c r="C9" s="380" t="n">
        <v>1</v>
      </c>
      <c r="D9" s="381" t="n">
        <v>1816.12</v>
      </c>
      <c r="E9" s="382" t="n">
        <f aca="false">ROUND((D9*C9),2)</f>
        <v>1816.12</v>
      </c>
      <c r="F9" s="382" t="n">
        <f aca="false">ROUND(E9*$G$6,2)</f>
        <v>363.22</v>
      </c>
      <c r="G9" s="383" t="n">
        <f aca="false">ROUND(F9/12,2)</f>
        <v>30.27</v>
      </c>
    </row>
    <row r="10" s="76" customFormat="true" ht="15" hidden="false" customHeight="false" outlineLevel="0" collapsed="false">
      <c r="A10" s="378" t="n">
        <v>2</v>
      </c>
      <c r="B10" s="379" t="s">
        <v>528</v>
      </c>
      <c r="C10" s="380" t="n">
        <v>1</v>
      </c>
      <c r="D10" s="381" t="n">
        <v>2274.78</v>
      </c>
      <c r="E10" s="382" t="n">
        <f aca="false">ROUND((D10*C10),2)</f>
        <v>2274.78</v>
      </c>
      <c r="F10" s="382" t="n">
        <f aca="false">ROUND(E10*$G$6,2)</f>
        <v>454.96</v>
      </c>
      <c r="G10" s="383" t="n">
        <f aca="false">ROUND(F10/12,2)</f>
        <v>37.91</v>
      </c>
    </row>
    <row r="11" s="76" customFormat="true" ht="15" hidden="false" customHeight="false" outlineLevel="0" collapsed="false">
      <c r="A11" s="378" t="n">
        <v>3</v>
      </c>
      <c r="B11" s="379" t="s">
        <v>529</v>
      </c>
      <c r="C11" s="380" t="n">
        <v>1</v>
      </c>
      <c r="D11" s="381" t="n">
        <v>405.17</v>
      </c>
      <c r="E11" s="382" t="n">
        <f aca="false">ROUND((D11*C11),2)</f>
        <v>405.17</v>
      </c>
      <c r="F11" s="382" t="n">
        <f aca="false">ROUND(E11*$G$6,2)</f>
        <v>81.03</v>
      </c>
      <c r="G11" s="383" t="n">
        <f aca="false">ROUND(F11/12,2)</f>
        <v>6.75</v>
      </c>
    </row>
    <row r="12" s="76" customFormat="true" ht="15" hidden="false" customHeight="false" outlineLevel="0" collapsed="false">
      <c r="A12" s="378" t="n">
        <v>4</v>
      </c>
      <c r="B12" s="379" t="s">
        <v>530</v>
      </c>
      <c r="C12" s="380" t="n">
        <v>2</v>
      </c>
      <c r="D12" s="381" t="n">
        <v>171.83</v>
      </c>
      <c r="E12" s="382" t="n">
        <f aca="false">ROUND((D12*C12),2)</f>
        <v>343.66</v>
      </c>
      <c r="F12" s="382" t="n">
        <f aca="false">ROUND(E12*$G$6,2)</f>
        <v>68.73</v>
      </c>
      <c r="G12" s="383" t="n">
        <f aca="false">ROUND(F12/12,2)</f>
        <v>5.73</v>
      </c>
    </row>
    <row r="13" s="76" customFormat="true" ht="15" hidden="false" customHeight="false" outlineLevel="0" collapsed="false">
      <c r="A13" s="378" t="n">
        <v>5</v>
      </c>
      <c r="B13" s="379" t="s">
        <v>531</v>
      </c>
      <c r="C13" s="380" t="n">
        <v>3</v>
      </c>
      <c r="D13" s="381" t="n">
        <v>124.61</v>
      </c>
      <c r="E13" s="382" t="n">
        <f aca="false">ROUND((D13*C13),2)</f>
        <v>373.83</v>
      </c>
      <c r="F13" s="382" t="n">
        <f aca="false">ROUND(E13*$G$6,2)</f>
        <v>74.77</v>
      </c>
      <c r="G13" s="383" t="n">
        <f aca="false">ROUND(F13/12,2)</f>
        <v>6.23</v>
      </c>
    </row>
    <row r="14" s="76" customFormat="true" ht="15" hidden="false" customHeight="false" outlineLevel="0" collapsed="false">
      <c r="A14" s="378" t="n">
        <v>6</v>
      </c>
      <c r="B14" s="379" t="s">
        <v>532</v>
      </c>
      <c r="C14" s="380" t="n">
        <v>2</v>
      </c>
      <c r="D14" s="381" t="n">
        <v>335.48</v>
      </c>
      <c r="E14" s="382" t="n">
        <f aca="false">ROUND((D14*C14),2)</f>
        <v>670.96</v>
      </c>
      <c r="F14" s="382" t="n">
        <f aca="false">ROUND(E14*$G$6,2)</f>
        <v>134.19</v>
      </c>
      <c r="G14" s="383" t="n">
        <f aca="false">ROUND(F14/12,2)</f>
        <v>11.18</v>
      </c>
    </row>
    <row r="15" s="76" customFormat="true" ht="15" hidden="false" customHeight="false" outlineLevel="0" collapsed="false">
      <c r="A15" s="378" t="n">
        <v>7</v>
      </c>
      <c r="B15" s="379" t="s">
        <v>533</v>
      </c>
      <c r="C15" s="380" t="n">
        <v>1</v>
      </c>
      <c r="D15" s="381" t="n">
        <v>190.93</v>
      </c>
      <c r="E15" s="382" t="n">
        <f aca="false">ROUND((D15*C15),2)</f>
        <v>190.93</v>
      </c>
      <c r="F15" s="382" t="n">
        <f aca="false">ROUND(E15*$G$6,2)</f>
        <v>38.19</v>
      </c>
      <c r="G15" s="383" t="n">
        <f aca="false">ROUND(F15/12,2)</f>
        <v>3.18</v>
      </c>
    </row>
    <row r="16" s="76" customFormat="true" ht="30" hidden="false" customHeight="false" outlineLevel="0" collapsed="false">
      <c r="A16" s="378" t="n">
        <v>8</v>
      </c>
      <c r="B16" s="379" t="s">
        <v>534</v>
      </c>
      <c r="C16" s="380" t="n">
        <v>1</v>
      </c>
      <c r="D16" s="381" t="n">
        <v>621.99</v>
      </c>
      <c r="E16" s="382" t="n">
        <f aca="false">ROUND((D16*C16),2)</f>
        <v>621.99</v>
      </c>
      <c r="F16" s="382" t="n">
        <f aca="false">ROUND(E16*$G$6,2)</f>
        <v>124.4</v>
      </c>
      <c r="G16" s="383" t="n">
        <f aca="false">ROUND(F16/12,2)</f>
        <v>10.37</v>
      </c>
    </row>
    <row r="17" s="76" customFormat="true" ht="30" hidden="false" customHeight="false" outlineLevel="0" collapsed="false">
      <c r="A17" s="378" t="n">
        <v>9</v>
      </c>
      <c r="B17" s="379" t="s">
        <v>535</v>
      </c>
      <c r="C17" s="380" t="n">
        <v>1</v>
      </c>
      <c r="D17" s="381" t="n">
        <v>333.44</v>
      </c>
      <c r="E17" s="382" t="n">
        <f aca="false">ROUND((D17*C17),2)</f>
        <v>333.44</v>
      </c>
      <c r="F17" s="382" t="n">
        <f aca="false">ROUND(E17*$G$6,2)</f>
        <v>66.69</v>
      </c>
      <c r="G17" s="383" t="n">
        <f aca="false">ROUND(F17/12,2)</f>
        <v>5.56</v>
      </c>
    </row>
    <row r="18" s="76" customFormat="true" ht="30" hidden="false" customHeight="false" outlineLevel="0" collapsed="false">
      <c r="A18" s="378" t="n">
        <v>10</v>
      </c>
      <c r="B18" s="379" t="s">
        <v>536</v>
      </c>
      <c r="C18" s="380" t="n">
        <v>1</v>
      </c>
      <c r="D18" s="381" t="n">
        <v>214.27</v>
      </c>
      <c r="E18" s="382" t="n">
        <f aca="false">ROUND((D18*C18),2)</f>
        <v>214.27</v>
      </c>
      <c r="F18" s="382" t="n">
        <f aca="false">ROUND(E18*$G$6,2)</f>
        <v>42.85</v>
      </c>
      <c r="G18" s="383" t="n">
        <f aca="false">ROUND(F18/12,2)</f>
        <v>3.57</v>
      </c>
    </row>
    <row r="19" s="76" customFormat="true" ht="12.75" hidden="false" customHeight="false" outlineLevel="0" collapsed="false">
      <c r="A19" s="384" t="n">
        <v>11</v>
      </c>
      <c r="B19" s="385" t="s">
        <v>537</v>
      </c>
      <c r="C19" s="386" t="n">
        <v>9</v>
      </c>
      <c r="D19" s="387" t="n">
        <v>987.82</v>
      </c>
      <c r="E19" s="382" t="n">
        <f aca="false">ROUND((D19*C19),2)</f>
        <v>8890.38</v>
      </c>
      <c r="F19" s="382" t="n">
        <f aca="false">ROUND(E19*$G$6,2)</f>
        <v>1778.08</v>
      </c>
      <c r="G19" s="383" t="n">
        <f aca="false">ROUND(F19/12,2)</f>
        <v>148.17</v>
      </c>
    </row>
    <row r="20" s="76" customFormat="true" ht="15.75" hidden="false" customHeight="true" outlineLevel="0" collapsed="false">
      <c r="A20" s="388" t="s">
        <v>538</v>
      </c>
      <c r="B20" s="388"/>
      <c r="C20" s="388"/>
      <c r="D20" s="388"/>
      <c r="E20" s="388"/>
      <c r="F20" s="388"/>
      <c r="G20" s="389" t="n">
        <f aca="false">SUM(G9:G19)</f>
        <v>268.92</v>
      </c>
    </row>
    <row r="21" s="76" customFormat="true" ht="15.75" hidden="false" customHeight="true" outlineLevel="0" collapsed="false">
      <c r="A21" s="390" t="s">
        <v>539</v>
      </c>
      <c r="B21" s="390"/>
      <c r="C21" s="390"/>
      <c r="D21" s="390"/>
      <c r="E21" s="390"/>
      <c r="F21" s="390"/>
      <c r="G21" s="390"/>
    </row>
    <row r="22" s="76" customFormat="true" ht="15.75" hidden="false" customHeight="true" outlineLevel="0" collapsed="false">
      <c r="A22" s="391" t="s">
        <v>540</v>
      </c>
      <c r="B22" s="391"/>
      <c r="C22" s="391"/>
      <c r="D22" s="391"/>
      <c r="E22" s="391"/>
      <c r="F22" s="391"/>
      <c r="G22" s="391"/>
    </row>
    <row r="23" s="76" customFormat="true" ht="15.75" hidden="false" customHeight="true" outlineLevel="0" collapsed="false">
      <c r="A23" s="392" t="s">
        <v>541</v>
      </c>
      <c r="B23" s="392"/>
      <c r="C23" s="392"/>
      <c r="D23" s="392"/>
      <c r="E23" s="392"/>
      <c r="F23" s="392"/>
      <c r="G23" s="392"/>
    </row>
    <row r="24" s="76" customFormat="true" ht="15.75" hidden="false" customHeight="true" outlineLevel="0" collapsed="false">
      <c r="A24" s="392" t="s">
        <v>542</v>
      </c>
      <c r="B24" s="392"/>
      <c r="C24" s="392"/>
      <c r="D24" s="392"/>
      <c r="E24" s="392"/>
      <c r="F24" s="392"/>
      <c r="G24" s="392"/>
    </row>
    <row r="25" s="76" customFormat="true" ht="15.75" hidden="false" customHeight="true" outlineLevel="0" collapsed="false">
      <c r="A25" s="392" t="s">
        <v>543</v>
      </c>
      <c r="B25" s="392"/>
      <c r="C25" s="392"/>
      <c r="D25" s="392"/>
      <c r="E25" s="392"/>
      <c r="F25" s="392"/>
      <c r="G25" s="392"/>
    </row>
    <row r="26" s="76" customFormat="true" ht="15.75" hidden="false" customHeight="true" outlineLevel="0" collapsed="false">
      <c r="A26" s="392" t="s">
        <v>544</v>
      </c>
      <c r="B26" s="392"/>
      <c r="C26" s="392"/>
      <c r="D26" s="392"/>
      <c r="E26" s="392"/>
      <c r="F26" s="392"/>
      <c r="G26" s="392"/>
    </row>
    <row r="27" s="76" customFormat="true" ht="15.75" hidden="false" customHeight="true" outlineLevel="0" collapsed="false">
      <c r="A27" s="392" t="s">
        <v>545</v>
      </c>
      <c r="B27" s="392"/>
      <c r="C27" s="392"/>
      <c r="D27" s="392"/>
      <c r="E27" s="392"/>
      <c r="F27" s="392"/>
      <c r="G27" s="392"/>
    </row>
    <row r="28" s="76" customFormat="true" ht="15.75" hidden="false" customHeight="true" outlineLevel="0" collapsed="false">
      <c r="A28" s="393" t="s">
        <v>546</v>
      </c>
      <c r="B28" s="393"/>
      <c r="C28" s="393"/>
      <c r="D28" s="393"/>
      <c r="E28" s="393"/>
      <c r="F28" s="393"/>
      <c r="G28" s="393"/>
    </row>
    <row r="29" customFormat="false" ht="15" hidden="false" customHeight="false" outlineLevel="0" collapsed="false">
      <c r="A29" s="394" t="s">
        <v>547</v>
      </c>
      <c r="B29" s="394"/>
      <c r="C29" s="394"/>
      <c r="D29" s="394"/>
      <c r="E29" s="394"/>
      <c r="F29" s="394"/>
      <c r="G29" s="394"/>
    </row>
    <row r="30" customFormat="false" ht="30" hidden="false" customHeight="false" outlineLevel="0" collapsed="false">
      <c r="A30" s="395" t="n">
        <v>1</v>
      </c>
      <c r="B30" s="379" t="s">
        <v>548</v>
      </c>
      <c r="C30" s="347" t="n">
        <v>1</v>
      </c>
      <c r="D30" s="396" t="n">
        <v>648.34</v>
      </c>
      <c r="E30" s="397" t="n">
        <f aca="false">ROUND((D30*C30),2)</f>
        <v>648.34</v>
      </c>
      <c r="F30" s="397" t="n">
        <f aca="false">ROUND(E30*$G$6,2)</f>
        <v>129.67</v>
      </c>
      <c r="G30" s="398" t="n">
        <f aca="false">ROUND(F30/12,2)</f>
        <v>10.81</v>
      </c>
    </row>
    <row r="31" customFormat="false" ht="30" hidden="false" customHeight="false" outlineLevel="0" collapsed="false">
      <c r="A31" s="395" t="n">
        <v>2</v>
      </c>
      <c r="B31" s="379" t="s">
        <v>549</v>
      </c>
      <c r="C31" s="347" t="n">
        <v>1</v>
      </c>
      <c r="D31" s="381" t="n">
        <v>790.36</v>
      </c>
      <c r="E31" s="397" t="n">
        <f aca="false">ROUND((D31*C31),2)</f>
        <v>790.36</v>
      </c>
      <c r="F31" s="397" t="n">
        <f aca="false">ROUND(E31*$G$6,2)</f>
        <v>158.07</v>
      </c>
      <c r="G31" s="398" t="n">
        <f aca="false">ROUND(F31/12,2)</f>
        <v>13.17</v>
      </c>
    </row>
    <row r="32" customFormat="false" ht="15" hidden="false" customHeight="false" outlineLevel="0" collapsed="false">
      <c r="A32" s="395" t="n">
        <v>3</v>
      </c>
      <c r="B32" s="399" t="s">
        <v>550</v>
      </c>
      <c r="C32" s="347" t="n">
        <v>1</v>
      </c>
      <c r="D32" s="381" t="n">
        <v>150</v>
      </c>
      <c r="E32" s="397" t="n">
        <f aca="false">ROUND((D32*C32),2)</f>
        <v>150</v>
      </c>
      <c r="F32" s="397" t="n">
        <f aca="false">ROUND(E32*$G$6,2)</f>
        <v>30</v>
      </c>
      <c r="G32" s="398" t="n">
        <f aca="false">ROUND(F32/12,2)</f>
        <v>2.5</v>
      </c>
    </row>
    <row r="33" customFormat="false" ht="15" hidden="false" customHeight="false" outlineLevel="0" collapsed="false">
      <c r="A33" s="395" t="n">
        <v>4</v>
      </c>
      <c r="B33" s="399" t="s">
        <v>551</v>
      </c>
      <c r="C33" s="347" t="n">
        <v>1</v>
      </c>
      <c r="D33" s="381" t="n">
        <v>12.9</v>
      </c>
      <c r="E33" s="397" t="n">
        <f aca="false">ROUND((D33*C33),2)</f>
        <v>12.9</v>
      </c>
      <c r="F33" s="397" t="n">
        <f aca="false">ROUND(E33*$G$6,2)</f>
        <v>2.58</v>
      </c>
      <c r="G33" s="398" t="n">
        <f aca="false">ROUND(F33/12,2)</f>
        <v>0.22</v>
      </c>
    </row>
    <row r="34" customFormat="false" ht="15" hidden="false" customHeight="false" outlineLevel="0" collapsed="false">
      <c r="A34" s="395" t="n">
        <v>5</v>
      </c>
      <c r="B34" s="399" t="s">
        <v>552</v>
      </c>
      <c r="C34" s="347" t="n">
        <v>1</v>
      </c>
      <c r="D34" s="381" t="n">
        <v>17.63</v>
      </c>
      <c r="E34" s="397" t="n">
        <f aca="false">ROUND((D34*C34),2)</f>
        <v>17.63</v>
      </c>
      <c r="F34" s="397" t="n">
        <f aca="false">ROUND(E34*$G$6,2)</f>
        <v>3.53</v>
      </c>
      <c r="G34" s="398" t="n">
        <f aca="false">ROUND(F34/12,2)</f>
        <v>0.29</v>
      </c>
    </row>
    <row r="35" customFormat="false" ht="15" hidden="false" customHeight="false" outlineLevel="0" collapsed="false">
      <c r="A35" s="395" t="n">
        <v>6</v>
      </c>
      <c r="B35" s="399" t="s">
        <v>553</v>
      </c>
      <c r="C35" s="347" t="n">
        <v>1</v>
      </c>
      <c r="D35" s="381" t="n">
        <v>95.96</v>
      </c>
      <c r="E35" s="397" t="n">
        <f aca="false">ROUND((D35*C35),2)</f>
        <v>95.96</v>
      </c>
      <c r="F35" s="397" t="n">
        <f aca="false">ROUND(E35*$G$6,2)</f>
        <v>19.19</v>
      </c>
      <c r="G35" s="398" t="n">
        <f aca="false">ROUND(F35/12,2)</f>
        <v>1.6</v>
      </c>
    </row>
    <row r="36" customFormat="false" ht="15" hidden="false" customHeight="false" outlineLevel="0" collapsed="false">
      <c r="A36" s="395" t="n">
        <v>7</v>
      </c>
      <c r="B36" s="399" t="s">
        <v>554</v>
      </c>
      <c r="C36" s="347" t="n">
        <v>1</v>
      </c>
      <c r="D36" s="381" t="n">
        <v>29</v>
      </c>
      <c r="E36" s="397" t="n">
        <f aca="false">ROUND((D36*C36),2)</f>
        <v>29</v>
      </c>
      <c r="F36" s="397" t="n">
        <f aca="false">ROUND(E36*$G$6,2)</f>
        <v>5.8</v>
      </c>
      <c r="G36" s="398" t="n">
        <f aca="false">ROUND(F36/12,2)</f>
        <v>0.48</v>
      </c>
    </row>
    <row r="37" customFormat="false" ht="15" hidden="false" customHeight="false" outlineLevel="0" collapsed="false">
      <c r="A37" s="395" t="n">
        <v>8</v>
      </c>
      <c r="B37" s="399" t="s">
        <v>555</v>
      </c>
      <c r="C37" s="347" t="n">
        <v>1</v>
      </c>
      <c r="D37" s="400" t="n">
        <v>26.97</v>
      </c>
      <c r="E37" s="397" t="n">
        <f aca="false">ROUND((D37*C37),2)</f>
        <v>26.97</v>
      </c>
      <c r="F37" s="397" t="n">
        <f aca="false">ROUND(E37*$G$6,2)</f>
        <v>5.39</v>
      </c>
      <c r="G37" s="398" t="n">
        <f aca="false">ROUND(F37/12,2)</f>
        <v>0.45</v>
      </c>
    </row>
    <row r="38" customFormat="false" ht="15.75" hidden="false" customHeight="true" outlineLevel="0" collapsed="false">
      <c r="A38" s="401" t="s">
        <v>556</v>
      </c>
      <c r="B38" s="401"/>
      <c r="C38" s="401"/>
      <c r="D38" s="401"/>
      <c r="E38" s="401"/>
      <c r="F38" s="401"/>
      <c r="G38" s="402" t="n">
        <f aca="false">SUM(G30:G37)</f>
        <v>29.52</v>
      </c>
    </row>
  </sheetData>
  <sheetProtection sheet="true" password="c494" objects="true" scenarios="true"/>
  <mergeCells count="14">
    <mergeCell ref="A4:G4"/>
    <mergeCell ref="A5:G5"/>
    <mergeCell ref="A8:G8"/>
    <mergeCell ref="A20:F20"/>
    <mergeCell ref="A21:G21"/>
    <mergeCell ref="A22:G22"/>
    <mergeCell ref="A23:G23"/>
    <mergeCell ref="A24:G24"/>
    <mergeCell ref="A25:G25"/>
    <mergeCell ref="A26:G26"/>
    <mergeCell ref="A27:G27"/>
    <mergeCell ref="A28:G28"/>
    <mergeCell ref="A29:G29"/>
    <mergeCell ref="A38:F38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67"/>
  <sheetViews>
    <sheetView showFormulas="false" showGridLines="fals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T5" activeCellId="0" sqref="T5"/>
    </sheetView>
  </sheetViews>
  <sheetFormatPr defaultColWidth="9.00390625" defaultRowHeight="15" zeroHeight="false" outlineLevelRow="0" outlineLevelCol="0"/>
  <cols>
    <col collapsed="false" customWidth="true" hidden="false" outlineLevel="0" max="1" min="1" style="403" width="13.29"/>
    <col collapsed="false" customWidth="true" hidden="false" outlineLevel="0" max="2" min="2" style="404" width="7.71"/>
    <col collapsed="false" customWidth="true" hidden="false" outlineLevel="0" max="3" min="3" style="405" width="6.14"/>
    <col collapsed="false" customWidth="true" hidden="false" outlineLevel="0" max="4" min="4" style="406" width="56.15"/>
    <col collapsed="false" customWidth="true" hidden="false" outlineLevel="0" max="5" min="5" style="406" width="9.29"/>
    <col collapsed="false" customWidth="true" hidden="false" outlineLevel="0" max="6" min="6" style="405" width="12.42"/>
    <col collapsed="false" customWidth="true" hidden="false" outlineLevel="0" max="7" min="7" style="407" width="12.42"/>
    <col collapsed="false" customWidth="true" hidden="false" outlineLevel="0" max="8" min="8" style="408" width="10.85"/>
    <col collapsed="false" customWidth="true" hidden="true" outlineLevel="0" max="11" min="11" style="247" width="11.57"/>
    <col collapsed="false" customWidth="true" hidden="true" outlineLevel="0" max="12" min="12" style="409" width="16.43"/>
    <col collapsed="false" customWidth="true" hidden="true" outlineLevel="0" max="17" min="13" style="409" width="11.29"/>
    <col collapsed="false" customWidth="true" hidden="true" outlineLevel="0" max="18" min="18" style="247" width="11.57"/>
    <col collapsed="false" customWidth="true" hidden="false" outlineLevel="0" max="257" min="257" style="247" width="13.29"/>
    <col collapsed="false" customWidth="true" hidden="false" outlineLevel="0" max="258" min="258" style="247" width="7.71"/>
    <col collapsed="false" customWidth="true" hidden="false" outlineLevel="0" max="259" min="259" style="247" width="6.14"/>
    <col collapsed="false" customWidth="true" hidden="false" outlineLevel="0" max="260" min="260" style="247" width="56.15"/>
    <col collapsed="false" customWidth="true" hidden="false" outlineLevel="0" max="261" min="261" style="247" width="9.29"/>
    <col collapsed="false" customWidth="true" hidden="false" outlineLevel="0" max="263" min="262" style="247" width="12.42"/>
    <col collapsed="false" customWidth="true" hidden="false" outlineLevel="0" max="264" min="264" style="247" width="10.85"/>
    <col collapsed="false" customWidth="true" hidden="false" outlineLevel="0" max="268" min="268" style="247" width="11.43"/>
    <col collapsed="false" customWidth="true" hidden="false" outlineLevel="0" max="273" min="269" style="247" width="11.29"/>
    <col collapsed="false" customWidth="true" hidden="false" outlineLevel="0" max="513" min="513" style="247" width="13.29"/>
    <col collapsed="false" customWidth="true" hidden="false" outlineLevel="0" max="514" min="514" style="247" width="7.71"/>
    <col collapsed="false" customWidth="true" hidden="false" outlineLevel="0" max="515" min="515" style="247" width="6.14"/>
    <col collapsed="false" customWidth="true" hidden="false" outlineLevel="0" max="516" min="516" style="247" width="56.15"/>
    <col collapsed="false" customWidth="true" hidden="false" outlineLevel="0" max="517" min="517" style="247" width="9.29"/>
    <col collapsed="false" customWidth="true" hidden="false" outlineLevel="0" max="519" min="518" style="247" width="12.42"/>
    <col collapsed="false" customWidth="true" hidden="false" outlineLevel="0" max="520" min="520" style="247" width="10.85"/>
    <col collapsed="false" customWidth="true" hidden="false" outlineLevel="0" max="524" min="524" style="247" width="11.43"/>
    <col collapsed="false" customWidth="true" hidden="false" outlineLevel="0" max="529" min="525" style="247" width="11.29"/>
    <col collapsed="false" customWidth="true" hidden="false" outlineLevel="0" max="769" min="769" style="247" width="13.29"/>
    <col collapsed="false" customWidth="true" hidden="false" outlineLevel="0" max="770" min="770" style="247" width="7.71"/>
    <col collapsed="false" customWidth="true" hidden="false" outlineLevel="0" max="771" min="771" style="247" width="6.14"/>
    <col collapsed="false" customWidth="true" hidden="false" outlineLevel="0" max="772" min="772" style="247" width="56.15"/>
    <col collapsed="false" customWidth="true" hidden="false" outlineLevel="0" max="773" min="773" style="247" width="9.29"/>
    <col collapsed="false" customWidth="true" hidden="false" outlineLevel="0" max="775" min="774" style="247" width="12.42"/>
    <col collapsed="false" customWidth="true" hidden="false" outlineLevel="0" max="776" min="776" style="247" width="10.85"/>
    <col collapsed="false" customWidth="true" hidden="false" outlineLevel="0" max="780" min="780" style="247" width="11.43"/>
    <col collapsed="false" customWidth="true" hidden="false" outlineLevel="0" max="785" min="781" style="247" width="11.29"/>
  </cols>
  <sheetData>
    <row r="1" s="406" customFormat="true" ht="12.75" hidden="false" customHeight="true" outlineLevel="0" collapsed="false">
      <c r="A1" s="410"/>
      <c r="B1" s="411" t="str">
        <f aca="false">INSTRUÇÕES!B1</f>
        <v>Tribunal Regional Federal da 6ª Região</v>
      </c>
      <c r="C1" s="412"/>
      <c r="D1" s="413"/>
      <c r="E1" s="414"/>
      <c r="F1" s="415"/>
      <c r="G1" s="416"/>
      <c r="H1" s="417"/>
      <c r="L1" s="418" t="s">
        <v>66</v>
      </c>
      <c r="M1" s="418"/>
      <c r="N1" s="418"/>
      <c r="O1" s="418"/>
      <c r="P1" s="418"/>
      <c r="Q1" s="418"/>
    </row>
    <row r="2" s="406" customFormat="true" ht="12.75" hidden="false" customHeight="true" outlineLevel="0" collapsed="false">
      <c r="A2" s="419"/>
      <c r="B2" s="420" t="str">
        <f aca="false">INSTRUÇÕES!B2</f>
        <v>Seção Judiciária de Minas Gerais</v>
      </c>
      <c r="C2" s="421"/>
      <c r="D2" s="422"/>
      <c r="F2" s="405"/>
      <c r="G2" s="407"/>
      <c r="H2" s="423"/>
      <c r="L2" s="418"/>
      <c r="M2" s="418"/>
      <c r="N2" s="418"/>
      <c r="O2" s="418"/>
      <c r="P2" s="418"/>
      <c r="Q2" s="418"/>
    </row>
    <row r="3" s="427" customFormat="true" ht="15" hidden="false" customHeight="false" outlineLevel="0" collapsed="false">
      <c r="A3" s="419"/>
      <c r="B3" s="424" t="str">
        <f aca="false">INSTRUÇÕES!B3</f>
        <v>Subseção Judiciária de Juiz de Fora</v>
      </c>
      <c r="C3" s="425"/>
      <c r="D3" s="426"/>
      <c r="F3" s="428"/>
      <c r="G3" s="429"/>
      <c r="H3" s="430"/>
      <c r="L3" s="418"/>
      <c r="M3" s="418"/>
      <c r="N3" s="418"/>
      <c r="O3" s="418"/>
      <c r="P3" s="418"/>
      <c r="Q3" s="418"/>
    </row>
    <row r="4" s="366" customFormat="true" ht="15.75" hidden="false" customHeight="false" outlineLevel="0" collapsed="false">
      <c r="A4" s="431" t="s">
        <v>557</v>
      </c>
      <c r="B4" s="431"/>
      <c r="C4" s="431"/>
      <c r="D4" s="431"/>
      <c r="E4" s="431"/>
      <c r="F4" s="431"/>
      <c r="G4" s="431"/>
      <c r="H4" s="431"/>
      <c r="L4" s="418"/>
      <c r="M4" s="418"/>
      <c r="N4" s="418"/>
      <c r="O4" s="418"/>
      <c r="P4" s="418"/>
      <c r="Q4" s="418"/>
    </row>
    <row r="5" s="406" customFormat="true" ht="27" hidden="false" customHeight="true" outlineLevel="0" collapsed="false">
      <c r="A5" s="432" t="s">
        <v>497</v>
      </c>
      <c r="B5" s="432"/>
      <c r="C5" s="432"/>
      <c r="D5" s="432"/>
      <c r="E5" s="432"/>
      <c r="F5" s="432"/>
      <c r="G5" s="432"/>
      <c r="H5" s="432"/>
      <c r="L5" s="433" t="s">
        <v>76</v>
      </c>
      <c r="M5" s="70" t="s">
        <v>77</v>
      </c>
      <c r="N5" s="70" t="s">
        <v>78</v>
      </c>
      <c r="O5" s="70" t="s">
        <v>79</v>
      </c>
      <c r="P5" s="70" t="s">
        <v>80</v>
      </c>
      <c r="Q5" s="70" t="s">
        <v>81</v>
      </c>
    </row>
    <row r="6" s="406" customFormat="true" ht="15.75" hidden="false" customHeight="true" outlineLevel="0" collapsed="false">
      <c r="A6" s="434" t="s">
        <v>558</v>
      </c>
      <c r="B6" s="434"/>
      <c r="C6" s="434"/>
      <c r="D6" s="434"/>
      <c r="E6" s="434"/>
      <c r="F6" s="434"/>
      <c r="G6" s="434"/>
      <c r="H6" s="434"/>
      <c r="J6" s="427"/>
      <c r="L6" s="433"/>
      <c r="M6" s="70"/>
      <c r="N6" s="70"/>
      <c r="O6" s="70"/>
      <c r="P6" s="70"/>
      <c r="Q6" s="70"/>
    </row>
    <row r="7" s="406" customFormat="true" ht="15.75" hidden="false" customHeight="true" outlineLevel="0" collapsed="false">
      <c r="A7" s="435"/>
      <c r="B7" s="436"/>
      <c r="C7" s="437"/>
      <c r="D7" s="436"/>
      <c r="E7" s="436"/>
      <c r="F7" s="437"/>
      <c r="G7" s="438"/>
      <c r="H7" s="439"/>
      <c r="J7" s="427"/>
      <c r="L7" s="433"/>
      <c r="M7" s="70"/>
      <c r="N7" s="70"/>
      <c r="O7" s="70"/>
      <c r="P7" s="70"/>
      <c r="Q7" s="70"/>
    </row>
    <row r="8" s="406" customFormat="true" ht="25.5" hidden="false" customHeight="false" outlineLevel="0" collapsed="false">
      <c r="A8" s="440" t="s">
        <v>559</v>
      </c>
      <c r="B8" s="441" t="s">
        <v>388</v>
      </c>
      <c r="C8" s="442" t="s">
        <v>560</v>
      </c>
      <c r="D8" s="443" t="s">
        <v>561</v>
      </c>
      <c r="E8" s="443" t="s">
        <v>562</v>
      </c>
      <c r="F8" s="444" t="s">
        <v>563</v>
      </c>
      <c r="G8" s="445" t="s">
        <v>512</v>
      </c>
      <c r="H8" s="446" t="s">
        <v>323</v>
      </c>
      <c r="J8" s="427"/>
      <c r="K8" s="427"/>
      <c r="L8" s="433"/>
      <c r="M8" s="70"/>
      <c r="N8" s="70"/>
      <c r="O8" s="70"/>
      <c r="P8" s="70"/>
      <c r="Q8" s="70"/>
      <c r="R8" s="232" t="s">
        <v>82</v>
      </c>
    </row>
    <row r="9" s="427" customFormat="true" ht="25.5" hidden="false" customHeight="true" outlineLevel="0" collapsed="false">
      <c r="A9" s="447" t="s">
        <v>564</v>
      </c>
      <c r="B9" s="448" t="s">
        <v>565</v>
      </c>
      <c r="C9" s="449" t="n">
        <v>2</v>
      </c>
      <c r="D9" s="450" t="s">
        <v>566</v>
      </c>
      <c r="E9" s="448" t="s">
        <v>567</v>
      </c>
      <c r="F9" s="451" t="n">
        <f aca="false">C9*$A$14</f>
        <v>16</v>
      </c>
      <c r="G9" s="452" t="n">
        <v>52.87</v>
      </c>
      <c r="H9" s="383" t="n">
        <f aca="false">ROUND(F9*G9,2)</f>
        <v>845.92</v>
      </c>
      <c r="L9" s="453" t="n">
        <v>61.59</v>
      </c>
      <c r="M9" s="48" t="n">
        <f aca="false">ROUND(IF(Dados!$I$69="SIM",L9*Dados!$N$69,L9),2)</f>
        <v>61.59</v>
      </c>
      <c r="N9" s="48" t="n">
        <f aca="false">ROUND(IF(Dados!$I$70="SIM",M9*Dados!$N$70,M9),2)</f>
        <v>61.59</v>
      </c>
      <c r="O9" s="48" t="n">
        <f aca="false">ROUND(IF(Dados!$I$71="SIM",N9*Dados!$N$71,N9),2)</f>
        <v>61.59</v>
      </c>
      <c r="P9" s="48" t="n">
        <f aca="false">ROUND(IF(Dados!$I$72="SIM",O9*Dados!$N$72,O9),2)</f>
        <v>61.59</v>
      </c>
      <c r="Q9" s="48" t="n">
        <f aca="false">ROUND(IF(Dados!$I$73="SIM",P9*Dados!$N$73,P9),2)</f>
        <v>61.59</v>
      </c>
      <c r="R9" s="3" t="n">
        <f aca="false">IF(Dados!$D$76="INICIAL",L9,IF(Dados!$D$76="1º IPCA",M9,IF(Dados!$D$76="2º IPCA",N9,IF(Dados!$D$76="3º IPCA",O9,IF(Dados!$D$76="4º IPCA",P9,IF(Dados!$D$76="5º IPCA",Q9,))))))</f>
        <v>61.59</v>
      </c>
    </row>
    <row r="10" s="427" customFormat="true" ht="15" hidden="false" customHeight="false" outlineLevel="0" collapsed="false">
      <c r="A10" s="447"/>
      <c r="B10" s="448" t="s">
        <v>568</v>
      </c>
      <c r="C10" s="449" t="n">
        <v>3</v>
      </c>
      <c r="D10" s="454" t="s">
        <v>569</v>
      </c>
      <c r="E10" s="448" t="s">
        <v>570</v>
      </c>
      <c r="F10" s="451" t="n">
        <f aca="false">C10*$A$14</f>
        <v>24</v>
      </c>
      <c r="G10" s="452" t="n">
        <v>26.04</v>
      </c>
      <c r="H10" s="383" t="n">
        <f aca="false">ROUND(F10*G10,2)</f>
        <v>624.96</v>
      </c>
      <c r="L10" s="453" t="n">
        <v>95.82</v>
      </c>
      <c r="M10" s="48" t="n">
        <f aca="false">ROUND(IF(Dados!$I$69="SIM",L10*Dados!$N$69,L10),2)</f>
        <v>95.82</v>
      </c>
      <c r="N10" s="48" t="n">
        <f aca="false">ROUND(IF(Dados!$I$70="SIM",M10*Dados!$N$70,M10),2)</f>
        <v>95.82</v>
      </c>
      <c r="O10" s="48" t="n">
        <f aca="false">ROUND(IF(Dados!$I$71="SIM",N10*Dados!$N$71,N10),2)</f>
        <v>95.82</v>
      </c>
      <c r="P10" s="48" t="n">
        <f aca="false">ROUND(IF(Dados!$I$72="SIM",O10*Dados!$N$72,O10),2)</f>
        <v>95.82</v>
      </c>
      <c r="Q10" s="48" t="n">
        <f aca="false">ROUND(IF(Dados!$I$73="SIM",P10*Dados!$N$73,P10),2)</f>
        <v>95.82</v>
      </c>
      <c r="R10" s="3" t="n">
        <f aca="false">IF(Dados!$D$76="INICIAL",L10,IF(Dados!$D$76="1º IPCA",M10,IF(Dados!$D$76="2º IPCA",N10,IF(Dados!$D$76="3º IPCA",O10,IF(Dados!$D$76="4º IPCA",P10,IF(Dados!$D$76="5º IPCA",Q10,))))))</f>
        <v>95.82</v>
      </c>
    </row>
    <row r="11" s="427" customFormat="true" ht="25.5" hidden="false" customHeight="false" outlineLevel="0" collapsed="false">
      <c r="A11" s="447"/>
      <c r="B11" s="448" t="s">
        <v>571</v>
      </c>
      <c r="C11" s="449" t="n">
        <v>1</v>
      </c>
      <c r="D11" s="454" t="s">
        <v>572</v>
      </c>
      <c r="E11" s="448" t="s">
        <v>573</v>
      </c>
      <c r="F11" s="451" t="n">
        <f aca="false">C11*$A$14</f>
        <v>8</v>
      </c>
      <c r="G11" s="452" t="n">
        <v>61.45</v>
      </c>
      <c r="H11" s="383" t="n">
        <f aca="false">ROUND(F11*G11,2)</f>
        <v>491.6</v>
      </c>
      <c r="L11" s="453"/>
      <c r="M11" s="48"/>
      <c r="N11" s="48"/>
      <c r="O11" s="48"/>
      <c r="P11" s="48"/>
      <c r="Q11" s="48"/>
      <c r="R11" s="3"/>
    </row>
    <row r="12" s="427" customFormat="true" ht="25.5" hidden="false" customHeight="false" outlineLevel="0" collapsed="false">
      <c r="A12" s="447"/>
      <c r="B12" s="455" t="s">
        <v>574</v>
      </c>
      <c r="C12" s="449" t="n">
        <v>1</v>
      </c>
      <c r="D12" s="454" t="s">
        <v>575</v>
      </c>
      <c r="E12" s="448" t="s">
        <v>576</v>
      </c>
      <c r="F12" s="451" t="n">
        <f aca="false">C12*$A$14</f>
        <v>8</v>
      </c>
      <c r="G12" s="452" t="n">
        <v>81.44</v>
      </c>
      <c r="H12" s="383" t="n">
        <f aca="false">ROUND(F12*G12,2)</f>
        <v>651.52</v>
      </c>
      <c r="L12" s="453"/>
      <c r="M12" s="48"/>
      <c r="N12" s="48"/>
      <c r="O12" s="48"/>
      <c r="P12" s="48"/>
      <c r="Q12" s="48"/>
      <c r="R12" s="3"/>
    </row>
    <row r="13" s="427" customFormat="true" ht="25.5" hidden="false" customHeight="false" outlineLevel="0" collapsed="false">
      <c r="A13" s="447" t="s">
        <v>577</v>
      </c>
      <c r="B13" s="448" t="s">
        <v>578</v>
      </c>
      <c r="C13" s="449" t="n">
        <v>1</v>
      </c>
      <c r="D13" s="454" t="s">
        <v>579</v>
      </c>
      <c r="E13" s="448"/>
      <c r="F13" s="451" t="n">
        <f aca="false">C13*$A$14</f>
        <v>8</v>
      </c>
      <c r="G13" s="452" t="n">
        <v>6.34</v>
      </c>
      <c r="H13" s="383" t="n">
        <f aca="false">ROUND(F13*G13,2)</f>
        <v>50.72</v>
      </c>
      <c r="L13" s="453" t="n">
        <v>50.53</v>
      </c>
      <c r="M13" s="48" t="n">
        <f aca="false">ROUND(IF(Dados!$I$69="SIM",L13*Dados!$N$69,L13),2)</f>
        <v>50.53</v>
      </c>
      <c r="N13" s="48" t="n">
        <f aca="false">ROUND(IF(Dados!$I$70="SIM",M13*Dados!$N$70,M13),2)</f>
        <v>50.53</v>
      </c>
      <c r="O13" s="48" t="n">
        <f aca="false">ROUND(IF(Dados!$I$71="SIM",N13*Dados!$N$71,N13),2)</f>
        <v>50.53</v>
      </c>
      <c r="P13" s="48" t="n">
        <f aca="false">ROUND(IF(Dados!$I$72="SIM",O13*Dados!$N$72,O13),2)</f>
        <v>50.53</v>
      </c>
      <c r="Q13" s="48" t="n">
        <f aca="false">ROUND(IF(Dados!$I$73="SIM",P13*Dados!$N$73,P13),2)</f>
        <v>50.53</v>
      </c>
      <c r="R13" s="3" t="n">
        <f aca="false">IF(Dados!$D$76="INICIAL",L13,IF(Dados!$D$76="1º IPCA",M13,IF(Dados!$D$76="2º IPCA",N13,IF(Dados!$D$76="3º IPCA",O13,IF(Dados!$D$76="4º IPCA",P13,IF(Dados!$D$76="5º IPCA",Q13,))))))</f>
        <v>50.53</v>
      </c>
    </row>
    <row r="14" s="427" customFormat="true" ht="25.5" hidden="false" customHeight="false" outlineLevel="0" collapsed="false">
      <c r="A14" s="456" t="n">
        <f aca="false">Dados!B13+Dados!B14+Dados!B12</f>
        <v>8</v>
      </c>
      <c r="B14" s="448" t="s">
        <v>580</v>
      </c>
      <c r="C14" s="457" t="n">
        <v>1</v>
      </c>
      <c r="D14" s="454" t="s">
        <v>581</v>
      </c>
      <c r="E14" s="448" t="s">
        <v>573</v>
      </c>
      <c r="F14" s="451" t="n">
        <f aca="false">C14*$A$14</f>
        <v>8</v>
      </c>
      <c r="G14" s="452" t="n">
        <v>44.4</v>
      </c>
      <c r="H14" s="383" t="n">
        <f aca="false">ROUND(F14*G14,2)</f>
        <v>355.2</v>
      </c>
      <c r="L14" s="453" t="n">
        <v>50.85</v>
      </c>
      <c r="M14" s="48" t="n">
        <f aca="false">ROUND(IF(Dados!$I$69="SIM",L14*Dados!$N$69,L14),2)</f>
        <v>50.85</v>
      </c>
      <c r="N14" s="48" t="n">
        <f aca="false">ROUND(IF(Dados!$I$70="SIM",M14*Dados!$N$70,M14),2)</f>
        <v>50.85</v>
      </c>
      <c r="O14" s="48" t="n">
        <f aca="false">ROUND(IF(Dados!$I$71="SIM",N14*Dados!$N$71,N14),2)</f>
        <v>50.85</v>
      </c>
      <c r="P14" s="48" t="n">
        <f aca="false">ROUND(IF(Dados!$I$72="SIM",O14*Dados!$N$72,O14),2)</f>
        <v>50.85</v>
      </c>
      <c r="Q14" s="48" t="n">
        <f aca="false">ROUND(IF(Dados!$I$73="SIM",P14*Dados!$N$73,P14),2)</f>
        <v>50.85</v>
      </c>
      <c r="R14" s="3" t="n">
        <f aca="false">IF(Dados!$D$76="INICIAL",L14,IF(Dados!$D$76="1º IPCA",M14,IF(Dados!$D$76="2º IPCA",N14,IF(Dados!$D$76="3º IPCA",O14,IF(Dados!$D$76="4º IPCA",P14,IF(Dados!$D$76="5º IPCA",Q14,))))))</f>
        <v>50.85</v>
      </c>
    </row>
    <row r="15" s="427" customFormat="true" ht="15" hidden="false" customHeight="false" outlineLevel="0" collapsed="false">
      <c r="A15" s="458" t="s">
        <v>582</v>
      </c>
      <c r="B15" s="458"/>
      <c r="C15" s="458"/>
      <c r="D15" s="458"/>
      <c r="E15" s="458"/>
      <c r="F15" s="458"/>
      <c r="G15" s="458"/>
      <c r="H15" s="459" t="n">
        <f aca="false">SUM(H9:H14)</f>
        <v>3019.92</v>
      </c>
      <c r="L15" s="403"/>
      <c r="M15" s="403"/>
      <c r="N15" s="403"/>
      <c r="O15" s="403"/>
      <c r="P15" s="403"/>
      <c r="Q15" s="403"/>
    </row>
    <row r="16" s="427" customFormat="true" ht="15.75" hidden="false" customHeight="false" outlineLevel="0" collapsed="false">
      <c r="A16" s="460" t="s">
        <v>583</v>
      </c>
      <c r="B16" s="460"/>
      <c r="C16" s="460"/>
      <c r="D16" s="460"/>
      <c r="E16" s="460"/>
      <c r="F16" s="460"/>
      <c r="G16" s="461"/>
      <c r="H16" s="462" t="n">
        <f aca="false">ROUND(H15/$A$14/12,2)</f>
        <v>31.46</v>
      </c>
      <c r="L16" s="403"/>
      <c r="M16" s="403"/>
      <c r="N16" s="403"/>
      <c r="O16" s="403"/>
      <c r="P16" s="403"/>
      <c r="Q16" s="403"/>
    </row>
    <row r="17" s="427" customFormat="true" ht="15" hidden="false" customHeight="false" outlineLevel="0" collapsed="false">
      <c r="A17" s="463"/>
      <c r="B17" s="464"/>
      <c r="C17" s="465"/>
      <c r="D17" s="466"/>
      <c r="E17" s="466"/>
      <c r="F17" s="465"/>
      <c r="G17" s="467"/>
      <c r="H17" s="468"/>
      <c r="L17" s="403"/>
      <c r="M17" s="403"/>
      <c r="N17" s="403"/>
      <c r="O17" s="403"/>
      <c r="P17" s="403"/>
      <c r="Q17" s="403"/>
    </row>
    <row r="18" s="427" customFormat="true" ht="63.75" hidden="false" customHeight="false" outlineLevel="0" collapsed="false">
      <c r="A18" s="440" t="s">
        <v>559</v>
      </c>
      <c r="B18" s="441" t="s">
        <v>388</v>
      </c>
      <c r="C18" s="442" t="s">
        <v>560</v>
      </c>
      <c r="D18" s="443" t="s">
        <v>561</v>
      </c>
      <c r="E18" s="443" t="s">
        <v>562</v>
      </c>
      <c r="F18" s="444" t="s">
        <v>563</v>
      </c>
      <c r="G18" s="445" t="s">
        <v>512</v>
      </c>
      <c r="H18" s="446" t="s">
        <v>323</v>
      </c>
      <c r="L18" s="469" t="s">
        <v>76</v>
      </c>
      <c r="M18" s="470" t="s">
        <v>77</v>
      </c>
      <c r="N18" s="470" t="s">
        <v>78</v>
      </c>
      <c r="O18" s="470" t="s">
        <v>79</v>
      </c>
      <c r="P18" s="470" t="s">
        <v>80</v>
      </c>
      <c r="Q18" s="470" t="s">
        <v>81</v>
      </c>
    </row>
    <row r="19" s="427" customFormat="true" ht="23.25" hidden="false" customHeight="true" outlineLevel="0" collapsed="false">
      <c r="A19" s="447" t="s">
        <v>584</v>
      </c>
      <c r="B19" s="448" t="s">
        <v>565</v>
      </c>
      <c r="C19" s="449" t="n">
        <v>2</v>
      </c>
      <c r="D19" s="471" t="s">
        <v>585</v>
      </c>
      <c r="E19" s="448" t="s">
        <v>567</v>
      </c>
      <c r="F19" s="472" t="n">
        <f aca="false">C19*$A$22</f>
        <v>26</v>
      </c>
      <c r="G19" s="473" t="n">
        <v>71.86</v>
      </c>
      <c r="H19" s="383" t="n">
        <f aca="false">ROUND(F19*G19,2)</f>
        <v>1868.36</v>
      </c>
      <c r="L19" s="469"/>
      <c r="M19" s="470"/>
      <c r="N19" s="470"/>
      <c r="O19" s="470"/>
      <c r="P19" s="470"/>
      <c r="Q19" s="470"/>
    </row>
    <row r="20" s="427" customFormat="true" ht="27" hidden="false" customHeight="true" outlineLevel="0" collapsed="false">
      <c r="A20" s="447"/>
      <c r="B20" s="448" t="s">
        <v>568</v>
      </c>
      <c r="C20" s="449" t="n">
        <v>3</v>
      </c>
      <c r="D20" s="471" t="s">
        <v>586</v>
      </c>
      <c r="E20" s="455" t="s">
        <v>570</v>
      </c>
      <c r="F20" s="472" t="n">
        <f aca="false">C20*$A$22</f>
        <v>39</v>
      </c>
      <c r="G20" s="473" t="n">
        <v>54.41</v>
      </c>
      <c r="H20" s="383" t="n">
        <f aca="false">ROUND(F20*G20,2)</f>
        <v>2121.99</v>
      </c>
      <c r="L20" s="469"/>
      <c r="M20" s="470"/>
      <c r="N20" s="470"/>
      <c r="O20" s="470"/>
      <c r="P20" s="470"/>
      <c r="Q20" s="470"/>
    </row>
    <row r="21" s="427" customFormat="true" ht="25.5" hidden="false" customHeight="false" outlineLevel="0" collapsed="false">
      <c r="A21" s="474" t="s">
        <v>577</v>
      </c>
      <c r="B21" s="455" t="s">
        <v>574</v>
      </c>
      <c r="C21" s="449" t="n">
        <v>1</v>
      </c>
      <c r="D21" s="471" t="s">
        <v>575</v>
      </c>
      <c r="E21" s="448" t="s">
        <v>570</v>
      </c>
      <c r="F21" s="472" t="n">
        <f aca="false">C21*$A$22</f>
        <v>13</v>
      </c>
      <c r="G21" s="473" t="n">
        <v>81.44</v>
      </c>
      <c r="H21" s="383" t="n">
        <f aca="false">ROUND(F21*G21,2)</f>
        <v>1058.72</v>
      </c>
      <c r="L21" s="453" t="n">
        <v>22.76</v>
      </c>
      <c r="M21" s="48" t="n">
        <f aca="false">ROUND(IF(Dados!$I$69="SIM",L21*Dados!$N$69,L21),2)</f>
        <v>22.76</v>
      </c>
      <c r="N21" s="48" t="n">
        <f aca="false">ROUND(IF(Dados!$I$70="SIM",M21*Dados!$N$70,M21),2)</f>
        <v>22.76</v>
      </c>
      <c r="O21" s="48" t="n">
        <f aca="false">ROUND(IF(Dados!$I$71="SIM",N21*Dados!$N$71,N21),2)</f>
        <v>22.76</v>
      </c>
      <c r="P21" s="48" t="n">
        <f aca="false">ROUND(IF(Dados!$I$72="SIM",O21*Dados!$N$72,O21),2)</f>
        <v>22.76</v>
      </c>
      <c r="Q21" s="48" t="n">
        <f aca="false">ROUND(IF(Dados!$I$73="SIM",P21*Dados!$N$73,P21),2)</f>
        <v>22.76</v>
      </c>
      <c r="R21" s="3" t="n">
        <f aca="false">IF(Dados!$D$76="INICIAL",L21,IF(Dados!$D$76="1º IPCA",M21,IF(Dados!$D$76="2º IPCA",N21,IF(Dados!$D$76="3º IPCA",O21,IF(Dados!$D$76="4º IPCA",P21,IF(Dados!$D$76="5º IPCA",Q21,))))))</f>
        <v>22.76</v>
      </c>
    </row>
    <row r="22" s="427" customFormat="true" ht="23.25" hidden="false" customHeight="false" outlineLevel="0" collapsed="false">
      <c r="A22" s="475" t="n">
        <f aca="false">Dados!B7</f>
        <v>13</v>
      </c>
      <c r="B22" s="448" t="s">
        <v>571</v>
      </c>
      <c r="C22" s="449" t="n">
        <v>1</v>
      </c>
      <c r="D22" s="471" t="s">
        <v>587</v>
      </c>
      <c r="E22" s="448" t="s">
        <v>588</v>
      </c>
      <c r="F22" s="472" t="n">
        <f aca="false">C22*$A$22</f>
        <v>13</v>
      </c>
      <c r="G22" s="476" t="n">
        <v>121.56</v>
      </c>
      <c r="H22" s="383" t="n">
        <f aca="false">ROUND(F22*G22,2)</f>
        <v>1580.28</v>
      </c>
      <c r="L22" s="453" t="n">
        <v>16.41</v>
      </c>
      <c r="M22" s="48" t="n">
        <f aca="false">ROUND(IF(Dados!$I$69="SIM",L22*Dados!$N$69,L22),2)</f>
        <v>16.41</v>
      </c>
      <c r="N22" s="48" t="n">
        <f aca="false">ROUND(IF(Dados!$I$70="SIM",M22*Dados!$N$70,M22),2)</f>
        <v>16.41</v>
      </c>
      <c r="O22" s="48" t="n">
        <f aca="false">ROUND(IF(Dados!$I$71="SIM",N22*Dados!$N$71,N22),2)</f>
        <v>16.41</v>
      </c>
      <c r="P22" s="48" t="n">
        <f aca="false">ROUND(IF(Dados!$I$72="SIM",O22*Dados!$N$72,O22),2)</f>
        <v>16.41</v>
      </c>
      <c r="Q22" s="48" t="n">
        <f aca="false">ROUND(IF(Dados!$I$73="SIM",P22*Dados!$N$73,P22),2)</f>
        <v>16.41</v>
      </c>
      <c r="R22" s="3" t="n">
        <f aca="false">IF(Dados!$D$76="INICIAL",L22,IF(Dados!$D$76="1º IPCA",M22,IF(Dados!$D$76="2º IPCA",N22,IF(Dados!$D$76="3º IPCA",O22,IF(Dados!$D$76="4º IPCA",P22,IF(Dados!$D$76="5º IPCA",Q22,))))))</f>
        <v>16.41</v>
      </c>
    </row>
    <row r="23" s="427" customFormat="true" ht="36" hidden="false" customHeight="true" outlineLevel="0" collapsed="false">
      <c r="A23" s="477" t="s">
        <v>582</v>
      </c>
      <c r="B23" s="477"/>
      <c r="C23" s="477"/>
      <c r="D23" s="477"/>
      <c r="E23" s="477"/>
      <c r="F23" s="477"/>
      <c r="G23" s="477"/>
      <c r="H23" s="478" t="n">
        <f aca="false">SUM(H18:H22)</f>
        <v>6629.35</v>
      </c>
      <c r="L23" s="403"/>
      <c r="M23" s="403"/>
      <c r="N23" s="403"/>
      <c r="O23" s="403"/>
      <c r="P23" s="403"/>
      <c r="Q23" s="403"/>
    </row>
    <row r="24" s="427" customFormat="true" ht="15.75" hidden="false" customHeight="false" outlineLevel="0" collapsed="false">
      <c r="A24" s="460" t="s">
        <v>589</v>
      </c>
      <c r="B24" s="460"/>
      <c r="C24" s="460"/>
      <c r="D24" s="460"/>
      <c r="E24" s="460"/>
      <c r="F24" s="460"/>
      <c r="G24" s="461"/>
      <c r="H24" s="462" t="n">
        <f aca="false">ROUND(H23/$A$22/12,2)</f>
        <v>42.5</v>
      </c>
      <c r="L24" s="403"/>
      <c r="M24" s="403"/>
      <c r="N24" s="403"/>
      <c r="O24" s="403"/>
      <c r="P24" s="403"/>
      <c r="Q24" s="403"/>
    </row>
    <row r="25" s="427" customFormat="true" ht="15.75" hidden="false" customHeight="false" outlineLevel="0" collapsed="false">
      <c r="A25" s="370"/>
      <c r="B25" s="479"/>
      <c r="C25" s="480"/>
      <c r="D25" s="479"/>
      <c r="E25" s="479"/>
      <c r="F25" s="480"/>
      <c r="G25" s="481"/>
      <c r="H25" s="482"/>
      <c r="L25" s="403"/>
      <c r="M25" s="403"/>
      <c r="N25" s="403"/>
      <c r="O25" s="403"/>
      <c r="P25" s="403"/>
      <c r="Q25" s="403"/>
    </row>
    <row r="26" s="427" customFormat="true" ht="63.75" hidden="false" customHeight="false" outlineLevel="0" collapsed="false">
      <c r="A26" s="440" t="s">
        <v>559</v>
      </c>
      <c r="B26" s="441" t="s">
        <v>388</v>
      </c>
      <c r="C26" s="442" t="s">
        <v>560</v>
      </c>
      <c r="D26" s="443" t="s">
        <v>561</v>
      </c>
      <c r="E26" s="443" t="s">
        <v>562</v>
      </c>
      <c r="F26" s="444" t="s">
        <v>563</v>
      </c>
      <c r="G26" s="445" t="s">
        <v>512</v>
      </c>
      <c r="H26" s="446" t="s">
        <v>323</v>
      </c>
      <c r="L26" s="469" t="s">
        <v>76</v>
      </c>
      <c r="M26" s="470" t="s">
        <v>77</v>
      </c>
      <c r="N26" s="470" t="s">
        <v>78</v>
      </c>
      <c r="O26" s="470" t="s">
        <v>79</v>
      </c>
      <c r="P26" s="470" t="s">
        <v>80</v>
      </c>
      <c r="Q26" s="470" t="s">
        <v>81</v>
      </c>
    </row>
    <row r="27" s="427" customFormat="true" ht="38.25" hidden="false" customHeight="true" outlineLevel="0" collapsed="false">
      <c r="A27" s="447" t="s">
        <v>590</v>
      </c>
      <c r="B27" s="448" t="s">
        <v>565</v>
      </c>
      <c r="C27" s="449" t="n">
        <v>2</v>
      </c>
      <c r="D27" s="483" t="s">
        <v>591</v>
      </c>
      <c r="E27" s="448" t="s">
        <v>567</v>
      </c>
      <c r="F27" s="451" t="n">
        <f aca="false">C27*$A$31</f>
        <v>4</v>
      </c>
      <c r="G27" s="473" t="n">
        <v>71.86</v>
      </c>
      <c r="H27" s="383" t="n">
        <f aca="false">ROUND(F27*G27,2)</f>
        <v>287.44</v>
      </c>
      <c r="L27" s="453" t="n">
        <v>77.72</v>
      </c>
      <c r="M27" s="48" t="n">
        <f aca="false">ROUND(IF(Dados!$I$69="SIM",L27*Dados!$N$69,L27),2)</f>
        <v>77.72</v>
      </c>
      <c r="N27" s="48" t="n">
        <f aca="false">ROUND(IF(Dados!$I$70="SIM",M27*Dados!$N$70,M27),2)</f>
        <v>77.72</v>
      </c>
      <c r="O27" s="48" t="n">
        <f aca="false">ROUND(IF(Dados!$I$71="SIM",N27*Dados!$N$71,N27),2)</f>
        <v>77.72</v>
      </c>
      <c r="P27" s="48" t="n">
        <f aca="false">ROUND(IF(Dados!$I$72="SIM",O27*Dados!$N$72,O27),2)</f>
        <v>77.72</v>
      </c>
      <c r="Q27" s="48" t="n">
        <f aca="false">ROUND(IF(Dados!$I$73="SIM",P27*Dados!$N$73,P27),2)</f>
        <v>77.72</v>
      </c>
      <c r="R27" s="3" t="n">
        <f aca="false">IF(Dados!$D$76="INICIAL",L27,IF(Dados!$D$76="1º IPCA",M27,IF(Dados!$D$76="2º IPCA",N27,IF(Dados!$D$76="3º IPCA",O27,IF(Dados!$D$76="4º IPCA",P27,IF(Dados!$D$76="5º IPCA",Q27,))))))</f>
        <v>77.72</v>
      </c>
    </row>
    <row r="28" s="427" customFormat="true" ht="15" hidden="false" customHeight="false" outlineLevel="0" collapsed="false">
      <c r="A28" s="447"/>
      <c r="B28" s="448" t="s">
        <v>568</v>
      </c>
      <c r="C28" s="449" t="n">
        <v>3</v>
      </c>
      <c r="D28" s="454" t="s">
        <v>592</v>
      </c>
      <c r="E28" s="455" t="s">
        <v>570</v>
      </c>
      <c r="F28" s="451" t="n">
        <f aca="false">C28*$A$31</f>
        <v>6</v>
      </c>
      <c r="G28" s="473" t="n">
        <v>54.41</v>
      </c>
      <c r="H28" s="383" t="n">
        <f aca="false">ROUND(F28*G28,2)</f>
        <v>326.46</v>
      </c>
      <c r="L28" s="453" t="n">
        <v>95.82</v>
      </c>
      <c r="M28" s="48" t="n">
        <f aca="false">ROUND(IF(Dados!$I$69="SIM",L28*Dados!$N$69,L28),2)</f>
        <v>95.82</v>
      </c>
      <c r="N28" s="48" t="n">
        <f aca="false">ROUND(IF(Dados!$I$70="SIM",M28*Dados!$N$70,M28),2)</f>
        <v>95.82</v>
      </c>
      <c r="O28" s="48" t="n">
        <f aca="false">ROUND(IF(Dados!$I$71="SIM",N28*Dados!$N$71,N28),2)</f>
        <v>95.82</v>
      </c>
      <c r="P28" s="48" t="n">
        <f aca="false">ROUND(IF(Dados!$I$72="SIM",O28*Dados!$N$72,O28),2)</f>
        <v>95.82</v>
      </c>
      <c r="Q28" s="48" t="n">
        <f aca="false">ROUND(IF(Dados!$I$73="SIM",P28*Dados!$N$73,P28),2)</f>
        <v>95.82</v>
      </c>
      <c r="R28" s="3" t="n">
        <f aca="false">IF(Dados!$D$76="INICIAL",L28,IF(Dados!$D$76="1º IPCA",M28,IF(Dados!$D$76="2º IPCA",N28,IF(Dados!$D$76="3º IPCA",O28,IF(Dados!$D$76="4º IPCA",P28,IF(Dados!$D$76="5º IPCA",Q28,))))))</f>
        <v>95.82</v>
      </c>
    </row>
    <row r="29" s="427" customFormat="true" ht="15" hidden="false" customHeight="false" outlineLevel="0" collapsed="false">
      <c r="A29" s="447"/>
      <c r="B29" s="448" t="s">
        <v>593</v>
      </c>
      <c r="C29" s="449" t="n">
        <v>1</v>
      </c>
      <c r="D29" s="454" t="s">
        <v>594</v>
      </c>
      <c r="E29" s="455" t="s">
        <v>570</v>
      </c>
      <c r="F29" s="451" t="n">
        <f aca="false">C29*$A$31</f>
        <v>2</v>
      </c>
      <c r="G29" s="473" t="n">
        <v>47.55</v>
      </c>
      <c r="H29" s="383" t="n">
        <f aca="false">ROUND(F29*G29,2)</f>
        <v>95.1</v>
      </c>
      <c r="L29" s="453"/>
      <c r="M29" s="48"/>
      <c r="N29" s="48"/>
      <c r="O29" s="48"/>
      <c r="P29" s="48"/>
      <c r="Q29" s="48"/>
      <c r="R29" s="3"/>
    </row>
    <row r="30" s="427" customFormat="true" ht="25.5" hidden="false" customHeight="false" outlineLevel="0" collapsed="false">
      <c r="A30" s="447" t="s">
        <v>577</v>
      </c>
      <c r="B30" s="455" t="s">
        <v>574</v>
      </c>
      <c r="C30" s="449" t="n">
        <v>1</v>
      </c>
      <c r="D30" s="454" t="s">
        <v>575</v>
      </c>
      <c r="E30" s="448" t="s">
        <v>570</v>
      </c>
      <c r="F30" s="451" t="n">
        <f aca="false">C30*$A$31</f>
        <v>2</v>
      </c>
      <c r="G30" s="473" t="n">
        <v>81.44</v>
      </c>
      <c r="H30" s="383" t="n">
        <f aca="false">ROUND(F30*G30,2)</f>
        <v>162.88</v>
      </c>
      <c r="L30" s="453"/>
      <c r="M30" s="48"/>
      <c r="N30" s="48"/>
      <c r="O30" s="48"/>
      <c r="P30" s="48"/>
      <c r="Q30" s="48"/>
      <c r="R30" s="3"/>
    </row>
    <row r="31" s="427" customFormat="true" ht="36" hidden="false" customHeight="false" outlineLevel="0" collapsed="false">
      <c r="A31" s="484" t="n">
        <f aca="false">Dados!B10+Dados!B15</f>
        <v>2</v>
      </c>
      <c r="B31" s="448" t="s">
        <v>571</v>
      </c>
      <c r="C31" s="457" t="n">
        <v>1</v>
      </c>
      <c r="D31" s="454" t="s">
        <v>595</v>
      </c>
      <c r="E31" s="448" t="s">
        <v>588</v>
      </c>
      <c r="F31" s="451" t="n">
        <f aca="false">C31*$A$31</f>
        <v>2</v>
      </c>
      <c r="G31" s="473" t="n">
        <v>107.73</v>
      </c>
      <c r="H31" s="383" t="n">
        <f aca="false">ROUND(F31*G31,2)</f>
        <v>215.46</v>
      </c>
      <c r="L31" s="453" t="n">
        <v>50.53</v>
      </c>
      <c r="M31" s="48" t="n">
        <f aca="false">ROUND(IF(Dados!$I$69="SIM",L31*Dados!$N$69,L31),2)</f>
        <v>50.53</v>
      </c>
      <c r="N31" s="48" t="n">
        <f aca="false">ROUND(IF(Dados!$I$70="SIM",M31*Dados!$N$70,M31),2)</f>
        <v>50.53</v>
      </c>
      <c r="O31" s="48" t="n">
        <f aca="false">ROUND(IF(Dados!$I$71="SIM",N31*Dados!$N$71,N31),2)</f>
        <v>50.53</v>
      </c>
      <c r="P31" s="48" t="n">
        <f aca="false">ROUND(IF(Dados!$I$72="SIM",O31*Dados!$N$72,O31),2)</f>
        <v>50.53</v>
      </c>
      <c r="Q31" s="48" t="n">
        <f aca="false">ROUND(IF(Dados!$I$73="SIM",P31*Dados!$N$73,P31),2)</f>
        <v>50.53</v>
      </c>
      <c r="R31" s="3" t="n">
        <f aca="false">IF(Dados!$D$76="INICIAL",L31,IF(Dados!$D$76="1º IPCA",M31,IF(Dados!$D$76="2º IPCA",N31,IF(Dados!$D$76="3º IPCA",O31,IF(Dados!$D$76="4º IPCA",P31,IF(Dados!$D$76="5º IPCA",Q31,))))))</f>
        <v>50.53</v>
      </c>
    </row>
    <row r="32" s="427" customFormat="true" ht="36" hidden="false" customHeight="true" outlineLevel="0" collapsed="false">
      <c r="A32" s="485" t="s">
        <v>582</v>
      </c>
      <c r="B32" s="485"/>
      <c r="C32" s="485"/>
      <c r="D32" s="485"/>
      <c r="E32" s="485"/>
      <c r="F32" s="485"/>
      <c r="G32" s="485"/>
      <c r="H32" s="486" t="n">
        <f aca="false">SUM(H27:H31)</f>
        <v>1087.34</v>
      </c>
      <c r="L32" s="403"/>
      <c r="M32" s="403"/>
      <c r="N32" s="403"/>
      <c r="O32" s="403"/>
      <c r="P32" s="403"/>
      <c r="Q32" s="403"/>
    </row>
    <row r="33" s="427" customFormat="true" ht="15.75" hidden="false" customHeight="false" outlineLevel="0" collapsed="false">
      <c r="A33" s="460" t="s">
        <v>596</v>
      </c>
      <c r="B33" s="460"/>
      <c r="C33" s="460"/>
      <c r="D33" s="460"/>
      <c r="E33" s="460"/>
      <c r="F33" s="460"/>
      <c r="G33" s="461"/>
      <c r="H33" s="462" t="n">
        <f aca="false">ROUND(H32/A31/12,2)</f>
        <v>45.31</v>
      </c>
      <c r="L33" s="403"/>
      <c r="M33" s="403"/>
      <c r="N33" s="403"/>
      <c r="O33" s="403"/>
      <c r="P33" s="403"/>
      <c r="Q33" s="403"/>
    </row>
    <row r="34" customFormat="false" ht="15.75" hidden="false" customHeight="false" outlineLevel="0" collapsed="false">
      <c r="A34" s="370"/>
      <c r="B34" s="479"/>
      <c r="C34" s="480"/>
      <c r="D34" s="479"/>
      <c r="E34" s="479"/>
      <c r="F34" s="480"/>
      <c r="G34" s="481"/>
      <c r="H34" s="482"/>
    </row>
    <row r="35" customFormat="false" ht="25.5" hidden="false" customHeight="false" outlineLevel="0" collapsed="false">
      <c r="A35" s="440" t="s">
        <v>559</v>
      </c>
      <c r="B35" s="441" t="s">
        <v>388</v>
      </c>
      <c r="C35" s="442" t="s">
        <v>560</v>
      </c>
      <c r="D35" s="443" t="s">
        <v>561</v>
      </c>
      <c r="E35" s="443" t="s">
        <v>562</v>
      </c>
      <c r="F35" s="444" t="s">
        <v>563</v>
      </c>
      <c r="G35" s="445" t="s">
        <v>512</v>
      </c>
      <c r="H35" s="446" t="s">
        <v>323</v>
      </c>
    </row>
    <row r="36" customFormat="false" ht="15" hidden="false" customHeight="true" outlineLevel="0" collapsed="false">
      <c r="A36" s="447" t="s">
        <v>320</v>
      </c>
      <c r="B36" s="487" t="s">
        <v>565</v>
      </c>
      <c r="C36" s="449" t="n">
        <v>2</v>
      </c>
      <c r="D36" s="488" t="s">
        <v>597</v>
      </c>
      <c r="E36" s="487" t="s">
        <v>588</v>
      </c>
      <c r="F36" s="451" t="n">
        <f aca="false">C36*$A$40</f>
        <v>2</v>
      </c>
      <c r="G36" s="473" t="n">
        <v>71.55</v>
      </c>
      <c r="H36" s="383" t="n">
        <f aca="false">ROUND(F36*G36,2)</f>
        <v>143.1</v>
      </c>
    </row>
    <row r="37" customFormat="false" ht="15" hidden="false" customHeight="false" outlineLevel="0" collapsed="false">
      <c r="A37" s="447"/>
      <c r="B37" s="487" t="s">
        <v>568</v>
      </c>
      <c r="C37" s="449" t="n">
        <v>3</v>
      </c>
      <c r="D37" s="488" t="s">
        <v>598</v>
      </c>
      <c r="E37" s="487" t="s">
        <v>599</v>
      </c>
      <c r="F37" s="451" t="n">
        <f aca="false">C37*$A$40</f>
        <v>3</v>
      </c>
      <c r="G37" s="473" t="n">
        <v>61.05</v>
      </c>
      <c r="H37" s="383" t="n">
        <f aca="false">ROUND(F37*G37,2)</f>
        <v>183.15</v>
      </c>
    </row>
    <row r="38" customFormat="false" ht="15" hidden="false" customHeight="false" outlineLevel="0" collapsed="false">
      <c r="A38" s="447"/>
      <c r="B38" s="487" t="s">
        <v>600</v>
      </c>
      <c r="C38" s="449" t="n">
        <v>1</v>
      </c>
      <c r="D38" s="488" t="s">
        <v>601</v>
      </c>
      <c r="E38" s="487" t="s">
        <v>599</v>
      </c>
      <c r="F38" s="451" t="n">
        <f aca="false">C38*$A$40</f>
        <v>1</v>
      </c>
      <c r="G38" s="473" t="n">
        <v>161.05</v>
      </c>
      <c r="H38" s="383" t="n">
        <f aca="false">ROUND(F38*G38,2)</f>
        <v>161.05</v>
      </c>
    </row>
    <row r="39" customFormat="false" ht="25.5" hidden="false" customHeight="false" outlineLevel="0" collapsed="false">
      <c r="A39" s="447" t="s">
        <v>577</v>
      </c>
      <c r="B39" s="487" t="s">
        <v>571</v>
      </c>
      <c r="C39" s="449" t="n">
        <v>1</v>
      </c>
      <c r="D39" s="488" t="s">
        <v>602</v>
      </c>
      <c r="E39" s="487" t="s">
        <v>588</v>
      </c>
      <c r="F39" s="451" t="n">
        <f aca="false">C39*$A$40</f>
        <v>1</v>
      </c>
      <c r="G39" s="473" t="n">
        <v>85.62</v>
      </c>
      <c r="H39" s="383" t="n">
        <f aca="false">ROUND(F39*G39,2)</f>
        <v>85.62</v>
      </c>
    </row>
    <row r="40" customFormat="false" ht="36" hidden="false" customHeight="false" outlineLevel="0" collapsed="false">
      <c r="A40" s="484" t="n">
        <f aca="false">Dados!B17</f>
        <v>1</v>
      </c>
      <c r="B40" s="487" t="s">
        <v>603</v>
      </c>
      <c r="C40" s="449" t="n">
        <v>1</v>
      </c>
      <c r="D40" s="489" t="s">
        <v>604</v>
      </c>
      <c r="E40" s="487" t="s">
        <v>588</v>
      </c>
      <c r="F40" s="451" t="n">
        <f aca="false">C40*$A$40</f>
        <v>1</v>
      </c>
      <c r="G40" s="473" t="n">
        <v>14.09</v>
      </c>
      <c r="H40" s="383" t="n">
        <f aca="false">ROUND(F40*G40,2)</f>
        <v>14.09</v>
      </c>
    </row>
    <row r="41" customFormat="false" ht="15" hidden="false" customHeight="false" outlineLevel="0" collapsed="false">
      <c r="A41" s="485" t="s">
        <v>582</v>
      </c>
      <c r="B41" s="485"/>
      <c r="C41" s="485"/>
      <c r="D41" s="485"/>
      <c r="E41" s="485"/>
      <c r="F41" s="485"/>
      <c r="G41" s="485"/>
      <c r="H41" s="486" t="n">
        <f aca="false">SUM(H36:H40)</f>
        <v>587.01</v>
      </c>
    </row>
    <row r="42" customFormat="false" ht="15.75" hidden="false" customHeight="false" outlineLevel="0" collapsed="false">
      <c r="A42" s="460" t="s">
        <v>605</v>
      </c>
      <c r="B42" s="460"/>
      <c r="C42" s="460"/>
      <c r="D42" s="460"/>
      <c r="E42" s="460"/>
      <c r="F42" s="460"/>
      <c r="G42" s="461"/>
      <c r="H42" s="462" t="n">
        <f aca="false">ROUND(H41/A40/12,2)</f>
        <v>48.92</v>
      </c>
    </row>
    <row r="43" customFormat="false" ht="15.75" hidden="false" customHeight="false" outlineLevel="0" collapsed="false">
      <c r="A43" s="370"/>
      <c r="B43" s="479"/>
      <c r="C43" s="480"/>
      <c r="D43" s="479"/>
      <c r="E43" s="479"/>
      <c r="F43" s="480"/>
      <c r="G43" s="481"/>
      <c r="H43" s="482"/>
    </row>
    <row r="44" customFormat="false" ht="25.5" hidden="false" customHeight="false" outlineLevel="0" collapsed="false">
      <c r="A44" s="440" t="s">
        <v>559</v>
      </c>
      <c r="B44" s="441" t="s">
        <v>388</v>
      </c>
      <c r="C44" s="442" t="s">
        <v>560</v>
      </c>
      <c r="D44" s="443" t="s">
        <v>561</v>
      </c>
      <c r="E44" s="443" t="s">
        <v>562</v>
      </c>
      <c r="F44" s="444" t="s">
        <v>563</v>
      </c>
      <c r="G44" s="445" t="s">
        <v>512</v>
      </c>
      <c r="H44" s="446" t="s">
        <v>323</v>
      </c>
    </row>
    <row r="45" customFormat="false" ht="15" hidden="false" customHeight="true" outlineLevel="0" collapsed="false">
      <c r="A45" s="447" t="s">
        <v>314</v>
      </c>
      <c r="B45" s="448" t="s">
        <v>565</v>
      </c>
      <c r="C45" s="449" t="n">
        <v>2</v>
      </c>
      <c r="D45" s="483" t="s">
        <v>606</v>
      </c>
      <c r="E45" s="448" t="s">
        <v>567</v>
      </c>
      <c r="F45" s="451" t="n">
        <f aca="false">C45*$A$49</f>
        <v>2</v>
      </c>
      <c r="G45" s="473" t="n">
        <v>52.87</v>
      </c>
      <c r="H45" s="383" t="n">
        <f aca="false">ROUND(F45*G45,2)</f>
        <v>105.74</v>
      </c>
    </row>
    <row r="46" customFormat="false" ht="15" hidden="false" customHeight="false" outlineLevel="0" collapsed="false">
      <c r="A46" s="447"/>
      <c r="B46" s="448" t="s">
        <v>568</v>
      </c>
      <c r="C46" s="449" t="n">
        <v>3</v>
      </c>
      <c r="D46" s="454" t="s">
        <v>607</v>
      </c>
      <c r="E46" s="448" t="s">
        <v>570</v>
      </c>
      <c r="F46" s="451" t="n">
        <f aca="false">C46*$A$49</f>
        <v>3</v>
      </c>
      <c r="G46" s="473" t="n">
        <v>26.04</v>
      </c>
      <c r="H46" s="383" t="n">
        <f aca="false">ROUND(F46*G46,2)</f>
        <v>78.12</v>
      </c>
    </row>
    <row r="47" customFormat="false" ht="25.5" hidden="false" customHeight="false" outlineLevel="0" collapsed="false">
      <c r="A47" s="447"/>
      <c r="B47" s="455" t="s">
        <v>574</v>
      </c>
      <c r="C47" s="449" t="n">
        <v>1</v>
      </c>
      <c r="D47" s="454" t="s">
        <v>575</v>
      </c>
      <c r="E47" s="448" t="s">
        <v>570</v>
      </c>
      <c r="F47" s="451" t="n">
        <f aca="false">C47*$A$49</f>
        <v>1</v>
      </c>
      <c r="G47" s="473" t="n">
        <v>81.44</v>
      </c>
      <c r="H47" s="383" t="n">
        <f aca="false">ROUND(F47*G47,2)</f>
        <v>81.44</v>
      </c>
    </row>
    <row r="48" customFormat="false" ht="25.5" hidden="false" customHeight="false" outlineLevel="0" collapsed="false">
      <c r="A48" s="447" t="s">
        <v>577</v>
      </c>
      <c r="B48" s="455" t="s">
        <v>571</v>
      </c>
      <c r="C48" s="449" t="n">
        <v>1</v>
      </c>
      <c r="D48" s="454" t="s">
        <v>572</v>
      </c>
      <c r="E48" s="448" t="s">
        <v>588</v>
      </c>
      <c r="F48" s="451" t="n">
        <f aca="false">C48*$A$49</f>
        <v>1</v>
      </c>
      <c r="G48" s="473" t="n">
        <v>61.45</v>
      </c>
      <c r="H48" s="383" t="n">
        <f aca="false">ROUND(F48*G48,2)</f>
        <v>61.45</v>
      </c>
    </row>
    <row r="49" customFormat="false" ht="36" hidden="false" customHeight="false" outlineLevel="0" collapsed="false">
      <c r="A49" s="484" t="n">
        <f aca="false">Dados!B11</f>
        <v>1</v>
      </c>
      <c r="B49" s="448" t="s">
        <v>580</v>
      </c>
      <c r="C49" s="457" t="n">
        <v>1</v>
      </c>
      <c r="D49" s="454" t="s">
        <v>608</v>
      </c>
      <c r="E49" s="448" t="s">
        <v>588</v>
      </c>
      <c r="F49" s="451" t="n">
        <f aca="false">C49*$A$49</f>
        <v>1</v>
      </c>
      <c r="G49" s="473" t="n">
        <v>44.4</v>
      </c>
      <c r="H49" s="383" t="n">
        <f aca="false">ROUND(F49*G49,2)</f>
        <v>44.4</v>
      </c>
    </row>
    <row r="50" customFormat="false" ht="15" hidden="false" customHeight="false" outlineLevel="0" collapsed="false">
      <c r="A50" s="485" t="s">
        <v>582</v>
      </c>
      <c r="B50" s="485"/>
      <c r="C50" s="485"/>
      <c r="D50" s="485"/>
      <c r="E50" s="485"/>
      <c r="F50" s="485"/>
      <c r="G50" s="485"/>
      <c r="H50" s="486" t="n">
        <f aca="false">SUM(H45:H49)</f>
        <v>371.15</v>
      </c>
    </row>
    <row r="51" customFormat="false" ht="15.75" hidden="false" customHeight="false" outlineLevel="0" collapsed="false">
      <c r="A51" s="460" t="s">
        <v>609</v>
      </c>
      <c r="B51" s="460"/>
      <c r="C51" s="460"/>
      <c r="D51" s="460"/>
      <c r="E51" s="460"/>
      <c r="F51" s="460"/>
      <c r="G51" s="461"/>
      <c r="H51" s="462" t="n">
        <f aca="false">ROUND(H50/A49/12,2)</f>
        <v>30.93</v>
      </c>
    </row>
    <row r="52" customFormat="false" ht="15.75" hidden="false" customHeight="false" outlineLevel="0" collapsed="false">
      <c r="A52" s="370"/>
      <c r="B52" s="479"/>
      <c r="C52" s="480"/>
      <c r="D52" s="479"/>
      <c r="E52" s="479"/>
      <c r="F52" s="480"/>
      <c r="G52" s="481"/>
      <c r="H52" s="482"/>
    </row>
    <row r="53" customFormat="false" ht="25.5" hidden="false" customHeight="false" outlineLevel="0" collapsed="false">
      <c r="A53" s="440" t="s">
        <v>559</v>
      </c>
      <c r="B53" s="441" t="s">
        <v>388</v>
      </c>
      <c r="C53" s="442" t="s">
        <v>560</v>
      </c>
      <c r="D53" s="443" t="s">
        <v>561</v>
      </c>
      <c r="E53" s="443" t="s">
        <v>562</v>
      </c>
      <c r="F53" s="444" t="s">
        <v>563</v>
      </c>
      <c r="G53" s="445" t="s">
        <v>512</v>
      </c>
      <c r="H53" s="446" t="s">
        <v>323</v>
      </c>
    </row>
    <row r="54" customFormat="false" ht="25.5" hidden="false" customHeight="true" outlineLevel="0" collapsed="false">
      <c r="A54" s="447" t="s">
        <v>610</v>
      </c>
      <c r="B54" s="448" t="s">
        <v>565</v>
      </c>
      <c r="C54" s="449" t="n">
        <v>2</v>
      </c>
      <c r="D54" s="471" t="s">
        <v>611</v>
      </c>
      <c r="E54" s="455" t="s">
        <v>567</v>
      </c>
      <c r="F54" s="451" t="n">
        <f aca="false">C54*$A$57</f>
        <v>4</v>
      </c>
      <c r="G54" s="473" t="n">
        <v>42.34</v>
      </c>
      <c r="H54" s="383" t="n">
        <f aca="false">ROUND(F54*G54,2)</f>
        <v>169.36</v>
      </c>
    </row>
    <row r="55" customFormat="false" ht="25.5" hidden="false" customHeight="false" outlineLevel="0" collapsed="false">
      <c r="A55" s="447"/>
      <c r="B55" s="448" t="s">
        <v>600</v>
      </c>
      <c r="C55" s="449" t="n">
        <v>1</v>
      </c>
      <c r="D55" s="471" t="s">
        <v>612</v>
      </c>
      <c r="E55" s="455" t="s">
        <v>567</v>
      </c>
      <c r="F55" s="451" t="n">
        <f aca="false">C55*$A$57</f>
        <v>2</v>
      </c>
      <c r="G55" s="473" t="n">
        <v>108.88</v>
      </c>
      <c r="H55" s="383" t="n">
        <f aca="false">ROUND(F55*G55,2)</f>
        <v>217.76</v>
      </c>
    </row>
    <row r="56" customFormat="false" ht="25.5" hidden="false" customHeight="false" outlineLevel="0" collapsed="false">
      <c r="A56" s="447" t="s">
        <v>577</v>
      </c>
      <c r="B56" s="455" t="s">
        <v>613</v>
      </c>
      <c r="C56" s="449" t="n">
        <v>3</v>
      </c>
      <c r="D56" s="471" t="s">
        <v>614</v>
      </c>
      <c r="E56" s="448" t="s">
        <v>615</v>
      </c>
      <c r="F56" s="451" t="n">
        <f aca="false">C56*$A$57</f>
        <v>6</v>
      </c>
      <c r="G56" s="473" t="n">
        <v>64</v>
      </c>
      <c r="H56" s="383" t="n">
        <f aca="false">ROUND(F56*G56,2)</f>
        <v>384</v>
      </c>
    </row>
    <row r="57" customFormat="false" ht="36" hidden="false" customHeight="false" outlineLevel="0" collapsed="false">
      <c r="A57" s="484" t="n">
        <f aca="false">Dados!B8+Dados!B9</f>
        <v>2</v>
      </c>
      <c r="B57" s="448" t="s">
        <v>571</v>
      </c>
      <c r="C57" s="449" t="n">
        <v>1</v>
      </c>
      <c r="D57" s="471" t="s">
        <v>616</v>
      </c>
      <c r="E57" s="455" t="s">
        <v>588</v>
      </c>
      <c r="F57" s="451" t="n">
        <f aca="false">C57*$A$57</f>
        <v>2</v>
      </c>
      <c r="G57" s="473" t="n">
        <v>82.18</v>
      </c>
      <c r="H57" s="383" t="n">
        <f aca="false">ROUND(F57*G57,2)</f>
        <v>164.36</v>
      </c>
    </row>
    <row r="58" customFormat="false" ht="15" hidden="false" customHeight="false" outlineLevel="0" collapsed="false">
      <c r="A58" s="485" t="s">
        <v>582</v>
      </c>
      <c r="B58" s="485"/>
      <c r="C58" s="485"/>
      <c r="D58" s="485"/>
      <c r="E58" s="485"/>
      <c r="F58" s="485"/>
      <c r="G58" s="485"/>
      <c r="H58" s="486" t="n">
        <f aca="false">SUM(H54:H57)</f>
        <v>935.48</v>
      </c>
    </row>
    <row r="59" customFormat="false" ht="15.75" hidden="false" customHeight="false" outlineLevel="0" collapsed="false">
      <c r="A59" s="460" t="s">
        <v>617</v>
      </c>
      <c r="B59" s="460"/>
      <c r="C59" s="460"/>
      <c r="D59" s="460"/>
      <c r="E59" s="460"/>
      <c r="F59" s="460"/>
      <c r="G59" s="461"/>
      <c r="H59" s="462" t="n">
        <f aca="false">ROUND(H58/A57/12,2)</f>
        <v>38.98</v>
      </c>
    </row>
    <row r="60" customFormat="false" ht="15.75" hidden="false" customHeight="false" outlineLevel="0" collapsed="false">
      <c r="A60" s="370"/>
      <c r="B60" s="479"/>
      <c r="C60" s="480"/>
      <c r="D60" s="479"/>
      <c r="E60" s="479"/>
      <c r="F60" s="480"/>
      <c r="G60" s="481"/>
      <c r="H60" s="482"/>
    </row>
    <row r="61" customFormat="false" ht="25.5" hidden="false" customHeight="false" outlineLevel="0" collapsed="false">
      <c r="A61" s="440" t="s">
        <v>559</v>
      </c>
      <c r="B61" s="441" t="s">
        <v>388</v>
      </c>
      <c r="C61" s="442" t="s">
        <v>560</v>
      </c>
      <c r="D61" s="443" t="s">
        <v>561</v>
      </c>
      <c r="E61" s="443" t="s">
        <v>562</v>
      </c>
      <c r="F61" s="444" t="s">
        <v>563</v>
      </c>
      <c r="G61" s="445" t="s">
        <v>512</v>
      </c>
      <c r="H61" s="446" t="s">
        <v>323</v>
      </c>
    </row>
    <row r="62" customFormat="false" ht="25.5" hidden="false" customHeight="true" outlineLevel="0" collapsed="false">
      <c r="A62" s="447" t="s">
        <v>319</v>
      </c>
      <c r="B62" s="448" t="s">
        <v>565</v>
      </c>
      <c r="C62" s="449" t="n">
        <v>2</v>
      </c>
      <c r="D62" s="471" t="s">
        <v>611</v>
      </c>
      <c r="E62" s="455" t="s">
        <v>567</v>
      </c>
      <c r="F62" s="451" t="n">
        <f aca="false">C62*$A$65</f>
        <v>2</v>
      </c>
      <c r="G62" s="473" t="n">
        <v>62.73</v>
      </c>
      <c r="H62" s="383" t="n">
        <f aca="false">ROUND(F62*G62,2)</f>
        <v>125.46</v>
      </c>
    </row>
    <row r="63" customFormat="false" ht="25.5" hidden="false" customHeight="false" outlineLevel="0" collapsed="false">
      <c r="A63" s="447"/>
      <c r="B63" s="448" t="s">
        <v>600</v>
      </c>
      <c r="C63" s="449" t="n">
        <v>1</v>
      </c>
      <c r="D63" s="471" t="s">
        <v>612</v>
      </c>
      <c r="E63" s="455" t="s">
        <v>567</v>
      </c>
      <c r="F63" s="451" t="n">
        <f aca="false">C63*$A$65</f>
        <v>1</v>
      </c>
      <c r="G63" s="473" t="n">
        <v>161.05</v>
      </c>
      <c r="H63" s="383" t="n">
        <f aca="false">ROUND(F63*G63,2)</f>
        <v>161.05</v>
      </c>
    </row>
    <row r="64" customFormat="false" ht="25.5" hidden="false" customHeight="false" outlineLevel="0" collapsed="false">
      <c r="A64" s="447" t="s">
        <v>577</v>
      </c>
      <c r="B64" s="455" t="s">
        <v>613</v>
      </c>
      <c r="C64" s="449" t="n">
        <v>3</v>
      </c>
      <c r="D64" s="471" t="s">
        <v>614</v>
      </c>
      <c r="E64" s="448" t="s">
        <v>599</v>
      </c>
      <c r="F64" s="451" t="n">
        <f aca="false">C64*$A$65</f>
        <v>3</v>
      </c>
      <c r="G64" s="473" t="n">
        <v>67.38</v>
      </c>
      <c r="H64" s="383" t="n">
        <f aca="false">ROUND(F64*G64,2)</f>
        <v>202.14</v>
      </c>
    </row>
    <row r="65" customFormat="false" ht="36" hidden="false" customHeight="false" outlineLevel="0" collapsed="false">
      <c r="A65" s="484" t="n">
        <f aca="false">Dados!B16</f>
        <v>1</v>
      </c>
      <c r="B65" s="448" t="s">
        <v>571</v>
      </c>
      <c r="C65" s="449" t="n">
        <v>1</v>
      </c>
      <c r="D65" s="471" t="s">
        <v>618</v>
      </c>
      <c r="E65" s="455" t="s">
        <v>588</v>
      </c>
      <c r="F65" s="451" t="n">
        <f aca="false">C65*$A$65</f>
        <v>1</v>
      </c>
      <c r="G65" s="473" t="n">
        <v>110.97</v>
      </c>
      <c r="H65" s="383" t="n">
        <f aca="false">ROUND(F65*G65,2)</f>
        <v>110.97</v>
      </c>
    </row>
    <row r="66" customFormat="false" ht="15" hidden="false" customHeight="false" outlineLevel="0" collapsed="false">
      <c r="A66" s="485" t="s">
        <v>582</v>
      </c>
      <c r="B66" s="485"/>
      <c r="C66" s="485"/>
      <c r="D66" s="485"/>
      <c r="E66" s="485"/>
      <c r="F66" s="485"/>
      <c r="G66" s="485"/>
      <c r="H66" s="486" t="n">
        <f aca="false">SUM(H62:H65)</f>
        <v>599.62</v>
      </c>
    </row>
    <row r="67" customFormat="false" ht="15.75" hidden="false" customHeight="false" outlineLevel="0" collapsed="false">
      <c r="A67" s="460" t="s">
        <v>619</v>
      </c>
      <c r="B67" s="460"/>
      <c r="C67" s="460"/>
      <c r="D67" s="460"/>
      <c r="E67" s="460"/>
      <c r="F67" s="460"/>
      <c r="G67" s="461"/>
      <c r="H67" s="462" t="n">
        <f aca="false">ROUND(H66/A65/12,2)</f>
        <v>49.97</v>
      </c>
    </row>
  </sheetData>
  <sheetProtection algorithmName="SHA-512" hashValue="8ZwCFKTktbLpg5gMfBehcKwDQG215usBFtfNeePjZWZklFE7304RKRoh1xGyK30P4qm4QUHS0glXy1Y0vV+lxg==" saltValue="MSVZ6SlE5SjvGhhcqhGiTw==" spinCount="100000" sheet="true" objects="true" scenarios="true"/>
  <mergeCells count="31">
    <mergeCell ref="L1:Q4"/>
    <mergeCell ref="A4:H4"/>
    <mergeCell ref="A5:H5"/>
    <mergeCell ref="L5:L8"/>
    <mergeCell ref="M5:M8"/>
    <mergeCell ref="N5:N8"/>
    <mergeCell ref="O5:O8"/>
    <mergeCell ref="P5:P8"/>
    <mergeCell ref="Q5:Q8"/>
    <mergeCell ref="A6:H6"/>
    <mergeCell ref="A9:A12"/>
    <mergeCell ref="A15:G15"/>
    <mergeCell ref="A16:F16"/>
    <mergeCell ref="A19:A20"/>
    <mergeCell ref="A23:G23"/>
    <mergeCell ref="A24:F24"/>
    <mergeCell ref="A27:A29"/>
    <mergeCell ref="A32:G32"/>
    <mergeCell ref="A33:F33"/>
    <mergeCell ref="A36:A38"/>
    <mergeCell ref="A41:G41"/>
    <mergeCell ref="A42:F42"/>
    <mergeCell ref="A45:A47"/>
    <mergeCell ref="A50:G50"/>
    <mergeCell ref="A51:F51"/>
    <mergeCell ref="A54:A55"/>
    <mergeCell ref="A58:G58"/>
    <mergeCell ref="A59:F59"/>
    <mergeCell ref="A62:A63"/>
    <mergeCell ref="A66:G66"/>
    <mergeCell ref="A67:F67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63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U3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3" activeCellId="0" sqref="G33"/>
    </sheetView>
  </sheetViews>
  <sheetFormatPr defaultColWidth="9.1484375" defaultRowHeight="15" zeroHeight="false" outlineLevelRow="0" outlineLevelCol="0"/>
  <cols>
    <col collapsed="false" customWidth="true" hidden="false" outlineLevel="0" max="1" min="1" style="490" width="7.29"/>
    <col collapsed="false" customWidth="false" hidden="false" outlineLevel="0" max="3" min="2" style="490" width="9.14"/>
    <col collapsed="false" customWidth="true" hidden="false" outlineLevel="0" max="4" min="4" style="490" width="33"/>
    <col collapsed="false" customWidth="true" hidden="false" outlineLevel="0" max="5" min="5" style="490" width="9.42"/>
    <col collapsed="false" customWidth="true" hidden="false" outlineLevel="0" max="6" min="6" style="490" width="12.42"/>
    <col collapsed="false" customWidth="true" hidden="false" outlineLevel="0" max="7" min="7" style="490" width="12.57"/>
    <col collapsed="false" customWidth="true" hidden="false" outlineLevel="0" max="8" min="8" style="490" width="10.71"/>
    <col collapsed="false" customWidth="false" hidden="false" outlineLevel="0" max="13" min="9" style="490" width="9.14"/>
    <col collapsed="false" customWidth="true" hidden="false" outlineLevel="0" max="14" min="14" style="490" width="29.86"/>
    <col collapsed="false" customWidth="false" hidden="false" outlineLevel="0" max="20" min="15" style="490" width="9.14"/>
    <col collapsed="false" customWidth="true" hidden="false" outlineLevel="0" max="21" min="21" style="490" width="10"/>
    <col collapsed="false" customWidth="false" hidden="false" outlineLevel="0" max="1028" min="22" style="490" width="9.14"/>
  </cols>
  <sheetData>
    <row r="1" customFormat="false" ht="15" hidden="false" customHeight="false" outlineLevel="0" collapsed="false">
      <c r="A1" s="144"/>
      <c r="B1" s="145" t="str">
        <f aca="false">INSTRUÇÕES!B1</f>
        <v>Tribunal Regional Federal da 6ª Região</v>
      </c>
      <c r="C1" s="145"/>
      <c r="D1" s="145"/>
      <c r="E1" s="145"/>
      <c r="F1" s="145"/>
      <c r="G1" s="145"/>
    </row>
    <row r="2" customFormat="false" ht="15" hidden="false" customHeight="false" outlineLevel="0" collapsed="false">
      <c r="A2" s="146"/>
      <c r="B2" s="147" t="str">
        <f aca="false">INSTRUÇÕES!B2</f>
        <v>Seção Judiciária de Minas Gerais</v>
      </c>
      <c r="C2" s="147"/>
      <c r="D2" s="147"/>
      <c r="E2" s="147"/>
      <c r="F2" s="147"/>
      <c r="G2" s="147"/>
    </row>
    <row r="3" customFormat="false" ht="15" hidden="false" customHeight="false" outlineLevel="0" collapsed="false">
      <c r="A3" s="146"/>
      <c r="B3" s="148" t="str">
        <f aca="false">INSTRUÇÕES!B3</f>
        <v>Subseção Judiciária de Juiz de Fora</v>
      </c>
      <c r="C3" s="491"/>
      <c r="D3" s="491"/>
      <c r="E3" s="491"/>
      <c r="F3" s="491"/>
      <c r="G3" s="491"/>
    </row>
    <row r="4" s="493" customFormat="true" ht="32.25" hidden="false" customHeight="true" outlineLevel="0" collapsed="false">
      <c r="A4" s="492" t="s">
        <v>620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2"/>
      <c r="S4" s="492"/>
      <c r="T4" s="492"/>
      <c r="U4" s="492"/>
    </row>
    <row r="5" s="499" customFormat="true" ht="41.25" hidden="false" customHeight="true" outlineLevel="0" collapsed="false">
      <c r="A5" s="494" t="s">
        <v>621</v>
      </c>
      <c r="B5" s="494"/>
      <c r="C5" s="494"/>
      <c r="D5" s="494"/>
      <c r="E5" s="495" t="s">
        <v>622</v>
      </c>
      <c r="F5" s="496" t="str">
        <f aca="false">Dados!C7</f>
        <v>Auxiliar Administrativo</v>
      </c>
      <c r="G5" s="497" t="str">
        <f aca="false">Dados!C8</f>
        <v>Recepcionista</v>
      </c>
      <c r="H5" s="498" t="str">
        <f aca="false">Dados!C9</f>
        <v>Recepcionista</v>
      </c>
      <c r="I5" s="498" t="str">
        <f aca="false">Dados!C10</f>
        <v>Auxiliar de Operador de Carga</v>
      </c>
      <c r="J5" s="498" t="str">
        <f aca="false">Dados!C17</f>
        <v>Garçom</v>
      </c>
      <c r="K5" s="494" t="s">
        <v>621</v>
      </c>
      <c r="L5" s="494"/>
      <c r="M5" s="494"/>
      <c r="N5" s="494"/>
      <c r="O5" s="495" t="s">
        <v>622</v>
      </c>
      <c r="P5" s="498" t="str">
        <f aca="false">Dados!C11</f>
        <v>Jardineiro</v>
      </c>
      <c r="Q5" s="498" t="str">
        <f aca="false">Dados!C12</f>
        <v>Limpador de Vidro</v>
      </c>
      <c r="R5" s="498" t="str">
        <f aca="false">Dados!C13</f>
        <v>Servente de Limpeza</v>
      </c>
      <c r="S5" s="498" t="str">
        <f aca="false">Dados!C14</f>
        <v>Servente de Limpeza (40%)</v>
      </c>
      <c r="T5" s="498" t="str">
        <f aca="false">Dados!C15</f>
        <v>Zelador ac. Lavador de Carro</v>
      </c>
      <c r="U5" s="498" t="str">
        <f aca="false">Dados!C16</f>
        <v>Encarregado Geral</v>
      </c>
    </row>
    <row r="6" s="503" customFormat="true" ht="22.5" hidden="false" customHeight="true" outlineLevel="0" collapsed="false">
      <c r="A6" s="500" t="s">
        <v>623</v>
      </c>
      <c r="B6" s="501" t="s">
        <v>460</v>
      </c>
      <c r="C6" s="501"/>
      <c r="D6" s="501"/>
      <c r="E6" s="495"/>
      <c r="F6" s="502" t="s">
        <v>624</v>
      </c>
      <c r="G6" s="502"/>
      <c r="H6" s="502"/>
      <c r="I6" s="502"/>
      <c r="J6" s="502"/>
      <c r="K6" s="500" t="s">
        <v>623</v>
      </c>
      <c r="L6" s="501" t="s">
        <v>460</v>
      </c>
      <c r="M6" s="501"/>
      <c r="N6" s="501"/>
      <c r="O6" s="495"/>
      <c r="P6" s="502" t="s">
        <v>624</v>
      </c>
      <c r="Q6" s="502"/>
      <c r="R6" s="502"/>
      <c r="S6" s="502"/>
      <c r="T6" s="502"/>
      <c r="U6" s="502"/>
    </row>
    <row r="7" customFormat="false" ht="14.25" hidden="false" customHeight="true" outlineLevel="0" collapsed="false">
      <c r="A7" s="504" t="n">
        <v>1</v>
      </c>
      <c r="B7" s="505" t="s">
        <v>625</v>
      </c>
      <c r="C7" s="505"/>
      <c r="D7" s="505"/>
      <c r="E7" s="505"/>
      <c r="F7" s="506" t="n">
        <f aca="false">Dados!M7</f>
        <v>1235.8</v>
      </c>
      <c r="G7" s="506" t="n">
        <f aca="false">Dados!M8</f>
        <v>1638.9</v>
      </c>
      <c r="H7" s="506" t="n">
        <f aca="false">Dados!M9</f>
        <v>2403.72</v>
      </c>
      <c r="I7" s="506" t="n">
        <f aca="false">Dados!M10</f>
        <v>1482.98</v>
      </c>
      <c r="J7" s="506" t="n">
        <f aca="false">Dados!M17</f>
        <v>1400.25</v>
      </c>
      <c r="K7" s="504" t="n">
        <v>1</v>
      </c>
      <c r="L7" s="505" t="s">
        <v>625</v>
      </c>
      <c r="M7" s="505"/>
      <c r="N7" s="505"/>
      <c r="O7" s="505"/>
      <c r="P7" s="506" t="n">
        <f aca="false">Dados!M11</f>
        <v>1367.82</v>
      </c>
      <c r="Q7" s="506" t="n">
        <f aca="false">Dados!M12</f>
        <v>2075.684</v>
      </c>
      <c r="R7" s="506" t="n">
        <f aca="false">Dados!M13</f>
        <v>1487.89</v>
      </c>
      <c r="S7" s="506" t="n">
        <f aca="false">Dados!M14</f>
        <v>1542.47</v>
      </c>
      <c r="T7" s="506" t="n">
        <f aca="false">Dados!M15</f>
        <v>1674.16</v>
      </c>
      <c r="U7" s="506" t="n">
        <f aca="false">Dados!M16</f>
        <v>2312.73</v>
      </c>
    </row>
    <row r="8" customFormat="false" ht="15" hidden="false" customHeight="false" outlineLevel="0" collapsed="false">
      <c r="A8" s="507" t="s">
        <v>626</v>
      </c>
      <c r="B8" s="508" t="s">
        <v>461</v>
      </c>
      <c r="C8" s="508"/>
      <c r="D8" s="508"/>
      <c r="E8" s="509" t="n">
        <f aca="false">Encargos!C39</f>
        <v>0.0909</v>
      </c>
      <c r="F8" s="510" t="n">
        <f aca="false">ROUND(F7*$E$8,2)</f>
        <v>112.33</v>
      </c>
      <c r="G8" s="510" t="n">
        <f aca="false">ROUND(G7*$E$8,2)</f>
        <v>148.98</v>
      </c>
      <c r="H8" s="510" t="n">
        <f aca="false">ROUND(H7*$E$8,2)</f>
        <v>218.5</v>
      </c>
      <c r="I8" s="510" t="n">
        <f aca="false">ROUND(I7*$E$8,2)</f>
        <v>134.8</v>
      </c>
      <c r="J8" s="510" t="n">
        <f aca="false">ROUND(J7*$E$8,2)</f>
        <v>127.28</v>
      </c>
      <c r="K8" s="507" t="s">
        <v>626</v>
      </c>
      <c r="L8" s="508" t="s">
        <v>461</v>
      </c>
      <c r="M8" s="508"/>
      <c r="N8" s="508"/>
      <c r="O8" s="509" t="n">
        <f aca="false">Encargos!C39</f>
        <v>0.0909</v>
      </c>
      <c r="P8" s="510" t="n">
        <f aca="false">ROUND(P7*$E$8,2)</f>
        <v>124.33</v>
      </c>
      <c r="Q8" s="510" t="n">
        <f aca="false">ROUND(Q7*$E$8,2)</f>
        <v>188.68</v>
      </c>
      <c r="R8" s="510" t="n">
        <f aca="false">ROUND(R7*$E$8,2)</f>
        <v>135.25</v>
      </c>
      <c r="S8" s="510" t="n">
        <f aca="false">ROUND(S7*$E$8,2)</f>
        <v>140.21</v>
      </c>
      <c r="T8" s="510" t="n">
        <f aca="false">ROUND(T7*$E$8,2)</f>
        <v>152.18</v>
      </c>
      <c r="U8" s="510" t="n">
        <f aca="false">ROUND(U7*$E$8,2)</f>
        <v>210.23</v>
      </c>
    </row>
    <row r="9" customFormat="false" ht="15" hidden="false" customHeight="false" outlineLevel="0" collapsed="false">
      <c r="A9" s="507" t="s">
        <v>627</v>
      </c>
      <c r="B9" s="508" t="s">
        <v>467</v>
      </c>
      <c r="C9" s="508"/>
      <c r="D9" s="508"/>
      <c r="E9" s="511" t="n">
        <f aca="false">E8*Encargos!C18</f>
        <v>0.0361782</v>
      </c>
      <c r="F9" s="510" t="n">
        <f aca="false">ROUND(F7*$E$9,2)</f>
        <v>44.71</v>
      </c>
      <c r="G9" s="510" t="n">
        <f aca="false">ROUND(G7*$E$9,2)</f>
        <v>59.29</v>
      </c>
      <c r="H9" s="510" t="n">
        <f aca="false">ROUND(H7*$E$9,2)</f>
        <v>86.96</v>
      </c>
      <c r="I9" s="510" t="n">
        <f aca="false">ROUND(I7*$E$9,2)</f>
        <v>53.65</v>
      </c>
      <c r="J9" s="510" t="n">
        <f aca="false">ROUND(J7*$E$9,2)</f>
        <v>50.66</v>
      </c>
      <c r="K9" s="507" t="s">
        <v>627</v>
      </c>
      <c r="L9" s="508" t="s">
        <v>467</v>
      </c>
      <c r="M9" s="508"/>
      <c r="N9" s="508"/>
      <c r="O9" s="511" t="n">
        <f aca="false">E8*Encargos!C18</f>
        <v>0.0361782</v>
      </c>
      <c r="P9" s="510" t="n">
        <f aca="false">ROUND(P7*$E$9,2)</f>
        <v>49.49</v>
      </c>
      <c r="Q9" s="510" t="n">
        <f aca="false">ROUND(Q7*$E$9,2)</f>
        <v>75.09</v>
      </c>
      <c r="R9" s="510" t="n">
        <f aca="false">ROUND(R7*$E$9,2)</f>
        <v>53.83</v>
      </c>
      <c r="S9" s="510" t="n">
        <f aca="false">ROUND(S7*$E$9,2)</f>
        <v>55.8</v>
      </c>
      <c r="T9" s="510" t="n">
        <f aca="false">ROUND(T7*$E$9,2)</f>
        <v>60.57</v>
      </c>
      <c r="U9" s="510" t="n">
        <f aca="false">ROUND(U7*$E$9,2)</f>
        <v>83.67</v>
      </c>
    </row>
    <row r="10" customFormat="false" ht="12.75" hidden="false" customHeight="true" outlineLevel="0" collapsed="false">
      <c r="A10" s="512" t="s">
        <v>628</v>
      </c>
      <c r="B10" s="512"/>
      <c r="C10" s="512"/>
      <c r="D10" s="512"/>
      <c r="E10" s="513" t="n">
        <f aca="false">SUM(E8:E9)</f>
        <v>0.1270782</v>
      </c>
      <c r="F10" s="514" t="n">
        <f aca="false">SUM(F8:F9)</f>
        <v>157.04</v>
      </c>
      <c r="G10" s="514" t="n">
        <f aca="false">SUM(G8:G9)</f>
        <v>208.27</v>
      </c>
      <c r="H10" s="514" t="n">
        <f aca="false">SUM(H8:H9)</f>
        <v>305.46</v>
      </c>
      <c r="I10" s="514" t="n">
        <f aca="false">SUM(I8:I9)</f>
        <v>188.45</v>
      </c>
      <c r="J10" s="514" t="n">
        <f aca="false">SUM(J8:J9)</f>
        <v>177.94</v>
      </c>
      <c r="K10" s="512" t="s">
        <v>628</v>
      </c>
      <c r="L10" s="512"/>
      <c r="M10" s="512"/>
      <c r="N10" s="512"/>
      <c r="O10" s="513" t="n">
        <f aca="false">SUM(O8:O9)</f>
        <v>0.1270782</v>
      </c>
      <c r="P10" s="514" t="n">
        <f aca="false">SUM(P8:P9)</f>
        <v>173.82</v>
      </c>
      <c r="Q10" s="514" t="n">
        <f aca="false">SUM(Q8:Q9)</f>
        <v>263.77</v>
      </c>
      <c r="R10" s="514" t="n">
        <f aca="false">SUM(R8:R9)</f>
        <v>189.08</v>
      </c>
      <c r="S10" s="514" t="n">
        <f aca="false">SUM(S8:S9)</f>
        <v>196.01</v>
      </c>
      <c r="T10" s="514" t="n">
        <f aca="false">SUM(T8:T9)</f>
        <v>212.75</v>
      </c>
      <c r="U10" s="514" t="n">
        <f aca="false">SUM(U8:U9)</f>
        <v>293.9</v>
      </c>
    </row>
    <row r="11" customFormat="false" ht="12.75" hidden="false" customHeight="true" outlineLevel="0" collapsed="false">
      <c r="A11" s="512" t="s">
        <v>629</v>
      </c>
      <c r="B11" s="512"/>
      <c r="C11" s="512"/>
      <c r="D11" s="512"/>
      <c r="E11" s="512"/>
      <c r="F11" s="514" t="n">
        <f aca="false">F10*12</f>
        <v>1884.48</v>
      </c>
      <c r="G11" s="514" t="n">
        <f aca="false">G10*12</f>
        <v>2499.24</v>
      </c>
      <c r="H11" s="514" t="n">
        <f aca="false">H10*12</f>
        <v>3665.52</v>
      </c>
      <c r="I11" s="514" t="n">
        <f aca="false">I10*12</f>
        <v>2261.4</v>
      </c>
      <c r="J11" s="514" t="n">
        <f aca="false">J10*12</f>
        <v>2135.28</v>
      </c>
      <c r="K11" s="512" t="s">
        <v>629</v>
      </c>
      <c r="L11" s="512"/>
      <c r="M11" s="512"/>
      <c r="N11" s="512"/>
      <c r="O11" s="512"/>
      <c r="P11" s="514" t="n">
        <f aca="false">P10*12</f>
        <v>2085.84</v>
      </c>
      <c r="Q11" s="514" t="n">
        <f aca="false">Q10*12</f>
        <v>3165.24</v>
      </c>
      <c r="R11" s="514" t="n">
        <f aca="false">R10*12</f>
        <v>2268.96</v>
      </c>
      <c r="S11" s="514" t="n">
        <f aca="false">S10*12</f>
        <v>2352.12</v>
      </c>
      <c r="T11" s="514" t="n">
        <f aca="false">T10*12</f>
        <v>2553</v>
      </c>
      <c r="U11" s="514" t="n">
        <f aca="false">U10*12</f>
        <v>3526.8</v>
      </c>
    </row>
    <row r="12" customFormat="false" ht="15" hidden="false" customHeight="false" outlineLevel="0" collapsed="false">
      <c r="A12" s="515" t="n">
        <v>2</v>
      </c>
      <c r="B12" s="516" t="s">
        <v>630</v>
      </c>
      <c r="C12" s="516"/>
      <c r="D12" s="516"/>
      <c r="E12" s="516"/>
      <c r="F12" s="515" t="s">
        <v>518</v>
      </c>
      <c r="G12" s="515"/>
      <c r="H12" s="515"/>
      <c r="I12" s="515"/>
      <c r="J12" s="515"/>
      <c r="K12" s="515" t="n">
        <v>2</v>
      </c>
      <c r="L12" s="516" t="s">
        <v>630</v>
      </c>
      <c r="M12" s="516"/>
      <c r="N12" s="516"/>
      <c r="O12" s="516"/>
      <c r="P12" s="515" t="s">
        <v>624</v>
      </c>
      <c r="Q12" s="515"/>
      <c r="R12" s="515"/>
      <c r="S12" s="515"/>
      <c r="T12" s="515"/>
      <c r="U12" s="515"/>
    </row>
    <row r="13" customFormat="false" ht="15" hidden="false" customHeight="false" outlineLevel="0" collapsed="false">
      <c r="A13" s="517" t="s">
        <v>626</v>
      </c>
      <c r="B13" s="518" t="s">
        <v>631</v>
      </c>
      <c r="C13" s="518"/>
      <c r="D13" s="518"/>
      <c r="E13" s="519"/>
      <c r="F13" s="520" t="n">
        <f aca="false">'Aux. Administrativo 150'!F23</f>
        <v>274.56</v>
      </c>
      <c r="G13" s="520" t="n">
        <f aca="false">'Recepcionista 150'!F23</f>
        <v>274.56</v>
      </c>
      <c r="H13" s="521" t="n">
        <f aca="false">'Recepcionista 220'!F23</f>
        <v>457.6</v>
      </c>
      <c r="I13" s="521" t="n">
        <f aca="false">'Aux. Op. Carga'!F23</f>
        <v>274.56</v>
      </c>
      <c r="J13" s="521" t="n">
        <f aca="false">'Garçom 220'!F23</f>
        <v>457.6</v>
      </c>
      <c r="K13" s="517" t="s">
        <v>626</v>
      </c>
      <c r="L13" s="518" t="s">
        <v>631</v>
      </c>
      <c r="M13" s="518"/>
      <c r="N13" s="518"/>
      <c r="O13" s="519"/>
      <c r="P13" s="521" t="n">
        <f aca="false">Jardineiro!F23</f>
        <v>274.56</v>
      </c>
      <c r="Q13" s="521" t="n">
        <f aca="false">'Limpador de Vidro'!F23</f>
        <v>457.6</v>
      </c>
      <c r="R13" s="521" t="n">
        <f aca="false">'Servente 220'!F23</f>
        <v>457.6</v>
      </c>
      <c r="S13" s="521" t="n">
        <f aca="false">'Serv Ins 150'!F23</f>
        <v>274.56</v>
      </c>
      <c r="T13" s="521" t="n">
        <f aca="false">'Zelador ac. lavador carro'!F23</f>
        <v>457.6</v>
      </c>
      <c r="U13" s="521" t="n">
        <f aca="false">'Encarregado Geral'!F23</f>
        <v>457.6</v>
      </c>
    </row>
    <row r="14" customFormat="false" ht="15" hidden="false" customHeight="false" outlineLevel="0" collapsed="false">
      <c r="A14" s="517" t="s">
        <v>632</v>
      </c>
      <c r="B14" s="518" t="s">
        <v>633</v>
      </c>
      <c r="C14" s="518"/>
      <c r="D14" s="518"/>
      <c r="E14" s="519"/>
      <c r="F14" s="520" t="n">
        <f aca="false">'Aux. Administrativo 150'!F22</f>
        <v>90.85</v>
      </c>
      <c r="G14" s="520" t="n">
        <f aca="false">'Recepcionista 150'!F22</f>
        <v>66.67</v>
      </c>
      <c r="H14" s="521" t="n">
        <f aca="false">'Recepcionista 220'!F22</f>
        <v>20.78</v>
      </c>
      <c r="I14" s="521" t="n">
        <f aca="false">'Aux. Op. Carga'!F22</f>
        <v>76.02</v>
      </c>
      <c r="J14" s="521" t="n">
        <f aca="false">'Garçom 220'!F22</f>
        <v>80.99</v>
      </c>
      <c r="K14" s="517" t="s">
        <v>632</v>
      </c>
      <c r="L14" s="518" t="s">
        <v>633</v>
      </c>
      <c r="M14" s="518"/>
      <c r="N14" s="518"/>
      <c r="O14" s="519"/>
      <c r="P14" s="521" t="n">
        <f aca="false">Jardineiro!F22</f>
        <v>82.93</v>
      </c>
      <c r="Q14" s="521" t="n">
        <f aca="false">'Limpador de Vidro'!F22</f>
        <v>69.2</v>
      </c>
      <c r="R14" s="521" t="n">
        <f aca="false">'Servente 220'!F22</f>
        <v>75.73</v>
      </c>
      <c r="S14" s="521" t="n">
        <f aca="false">'Serv Ins 150'!F22</f>
        <v>104.13</v>
      </c>
      <c r="T14" s="521" t="n">
        <f aca="false">'Zelador ac. lavador carro'!F22</f>
        <v>67.48</v>
      </c>
      <c r="U14" s="521" t="n">
        <f aca="false">'Encarregado Geral'!F22</f>
        <v>26.24</v>
      </c>
    </row>
    <row r="15" customFormat="false" ht="15" hidden="false" customHeight="false" outlineLevel="0" collapsed="false">
      <c r="A15" s="517" t="s">
        <v>634</v>
      </c>
      <c r="B15" s="519" t="s">
        <v>635</v>
      </c>
      <c r="C15" s="519"/>
      <c r="D15" s="519"/>
      <c r="E15" s="519"/>
      <c r="F15" s="520" t="n">
        <v>0</v>
      </c>
      <c r="G15" s="520" t="n">
        <v>0</v>
      </c>
      <c r="H15" s="520" t="n">
        <v>0</v>
      </c>
      <c r="I15" s="520" t="n">
        <v>0</v>
      </c>
      <c r="J15" s="520" t="n">
        <v>0</v>
      </c>
      <c r="K15" s="517" t="s">
        <v>634</v>
      </c>
      <c r="L15" s="519" t="s">
        <v>635</v>
      </c>
      <c r="M15" s="519"/>
      <c r="N15" s="519"/>
      <c r="O15" s="519"/>
      <c r="P15" s="520" t="n">
        <v>0</v>
      </c>
      <c r="Q15" s="520" t="n">
        <v>0</v>
      </c>
      <c r="R15" s="520" t="n">
        <v>0</v>
      </c>
      <c r="S15" s="520" t="n">
        <v>0</v>
      </c>
      <c r="T15" s="520" t="n">
        <v>0</v>
      </c>
      <c r="U15" s="520" t="n">
        <v>0</v>
      </c>
    </row>
    <row r="16" customFormat="false" ht="15" hidden="false" customHeight="false" outlineLevel="0" collapsed="false">
      <c r="A16" s="522" t="s">
        <v>636</v>
      </c>
      <c r="B16" s="522"/>
      <c r="C16" s="522"/>
      <c r="D16" s="522"/>
      <c r="E16" s="522"/>
      <c r="F16" s="523" t="n">
        <f aca="false">SUM(F13:F15)</f>
        <v>365.41</v>
      </c>
      <c r="G16" s="523" t="n">
        <f aca="false">SUM(G13:G15)</f>
        <v>341.23</v>
      </c>
      <c r="H16" s="523" t="n">
        <f aca="false">SUM(H13:H15)</f>
        <v>478.38</v>
      </c>
      <c r="I16" s="523" t="n">
        <f aca="false">SUM(I13:I15)</f>
        <v>350.58</v>
      </c>
      <c r="J16" s="523" t="n">
        <f aca="false">SUM(J13:J15)</f>
        <v>538.59</v>
      </c>
      <c r="K16" s="522" t="s">
        <v>636</v>
      </c>
      <c r="L16" s="522"/>
      <c r="M16" s="522"/>
      <c r="N16" s="522"/>
      <c r="O16" s="522"/>
      <c r="P16" s="523" t="n">
        <f aca="false">SUM(P13:P15)</f>
        <v>357.49</v>
      </c>
      <c r="Q16" s="523" t="n">
        <f aca="false">SUM(Q13:Q15)</f>
        <v>526.8</v>
      </c>
      <c r="R16" s="523" t="n">
        <f aca="false">SUM(R13:R15)</f>
        <v>533.33</v>
      </c>
      <c r="S16" s="523" t="n">
        <f aca="false">SUM(S13:S15)</f>
        <v>378.69</v>
      </c>
      <c r="T16" s="523" t="n">
        <f aca="false">SUM(T13:T15)</f>
        <v>525.08</v>
      </c>
      <c r="U16" s="523" t="n">
        <f aca="false">SUM(U13:U15)</f>
        <v>483.84</v>
      </c>
    </row>
    <row r="17" customFormat="false" ht="12.75" hidden="false" customHeight="true" outlineLevel="0" collapsed="false">
      <c r="A17" s="515" t="n">
        <v>5</v>
      </c>
      <c r="B17" s="524" t="s">
        <v>637</v>
      </c>
      <c r="C17" s="524"/>
      <c r="D17" s="524"/>
      <c r="E17" s="525" t="s">
        <v>622</v>
      </c>
      <c r="F17" s="526" t="s">
        <v>518</v>
      </c>
      <c r="G17" s="527"/>
      <c r="H17" s="527"/>
      <c r="I17" s="527"/>
      <c r="J17" s="527"/>
      <c r="K17" s="515" t="n">
        <v>5</v>
      </c>
      <c r="L17" s="524" t="s">
        <v>637</v>
      </c>
      <c r="M17" s="524"/>
      <c r="N17" s="524"/>
      <c r="O17" s="525" t="s">
        <v>622</v>
      </c>
      <c r="P17" s="527"/>
      <c r="Q17" s="527"/>
      <c r="R17" s="527"/>
      <c r="S17" s="527"/>
      <c r="T17" s="527"/>
      <c r="U17" s="527"/>
    </row>
    <row r="18" customFormat="false" ht="12.75" hidden="false" customHeight="true" outlineLevel="0" collapsed="false">
      <c r="A18" s="517" t="s">
        <v>626</v>
      </c>
      <c r="B18" s="528" t="s">
        <v>638</v>
      </c>
      <c r="C18" s="528"/>
      <c r="D18" s="528"/>
      <c r="E18" s="529" t="n">
        <f aca="false">Dados!$G$51</f>
        <v>0.03</v>
      </c>
      <c r="F18" s="530" t="n">
        <f aca="false">ROUND(($E$18*F31),2)</f>
        <v>67.5</v>
      </c>
      <c r="G18" s="530" t="n">
        <f aca="false">ROUND(($E$18*G31),2)</f>
        <v>85.21</v>
      </c>
      <c r="H18" s="530" t="n">
        <f aca="false">ROUND(($E$18*H31),2)</f>
        <v>124.32</v>
      </c>
      <c r="I18" s="530" t="n">
        <f aca="false">ROUND(($E$18*I31),2)</f>
        <v>78.36</v>
      </c>
      <c r="J18" s="530" t="n">
        <f aca="false">ROUND(($E$18*J31),2)</f>
        <v>80.22</v>
      </c>
      <c r="K18" s="517" t="s">
        <v>626</v>
      </c>
      <c r="L18" s="528" t="s">
        <v>638</v>
      </c>
      <c r="M18" s="528"/>
      <c r="N18" s="528"/>
      <c r="O18" s="529" t="n">
        <f aca="false">Dados!$G$51</f>
        <v>0.03</v>
      </c>
      <c r="P18" s="530" t="n">
        <f aca="false">ROUND(($E$18*P31),2)</f>
        <v>73.3</v>
      </c>
      <c r="Q18" s="530" t="n">
        <f aca="false">ROUND(($E$18*Q31),2)</f>
        <v>110.76</v>
      </c>
      <c r="R18" s="530" t="n">
        <f aca="false">ROUND(($E$18*R31),2)</f>
        <v>84.07</v>
      </c>
      <c r="S18" s="530" t="n">
        <f aca="false">ROUND(($E$18*S31),2)</f>
        <v>81.92</v>
      </c>
      <c r="T18" s="530" t="n">
        <f aca="false">ROUND(($E$18*T31),2)</f>
        <v>92.34</v>
      </c>
      <c r="U18" s="530" t="n">
        <f aca="false">ROUND(($E$18*U31),2)</f>
        <v>120.32</v>
      </c>
    </row>
    <row r="19" customFormat="false" ht="12.75" hidden="false" customHeight="true" outlineLevel="0" collapsed="false">
      <c r="A19" s="517" t="s">
        <v>632</v>
      </c>
      <c r="B19" s="528" t="s">
        <v>373</v>
      </c>
      <c r="C19" s="528"/>
      <c r="D19" s="528"/>
      <c r="E19" s="529" t="n">
        <f aca="false">Dados!$G$52</f>
        <v>0.0679</v>
      </c>
      <c r="F19" s="530" t="n">
        <f aca="false">ROUND(($E$19*(F18+F31)),2)</f>
        <v>157.35</v>
      </c>
      <c r="G19" s="530" t="n">
        <f aca="false">ROUND(($E$19*(G18+G31)),2)</f>
        <v>198.65</v>
      </c>
      <c r="H19" s="530" t="n">
        <f aca="false">ROUND(($E$19*(H18+H31)),2)</f>
        <v>289.81</v>
      </c>
      <c r="I19" s="530" t="n">
        <f aca="false">ROUND(($E$19*(I18+I31)),2)</f>
        <v>182.67</v>
      </c>
      <c r="J19" s="530" t="n">
        <f aca="false">ROUND(($E$19*(J18+J31)),2)</f>
        <v>187</v>
      </c>
      <c r="K19" s="517" t="s">
        <v>632</v>
      </c>
      <c r="L19" s="528" t="s">
        <v>373</v>
      </c>
      <c r="M19" s="528"/>
      <c r="N19" s="528"/>
      <c r="O19" s="529" t="n">
        <f aca="false">Dados!$G$52</f>
        <v>0.0679</v>
      </c>
      <c r="P19" s="530" t="n">
        <f aca="false">ROUND(($E$19*(P18+P31)),2)</f>
        <v>170.88</v>
      </c>
      <c r="Q19" s="530" t="n">
        <f aca="false">ROUND(($E$19*(Q18+Q31)),2)</f>
        <v>258.21</v>
      </c>
      <c r="R19" s="530" t="n">
        <f aca="false">ROUND(($E$19*(R18+R31)),2)</f>
        <v>195.98</v>
      </c>
      <c r="S19" s="530" t="n">
        <f aca="false">ROUND(($E$19*(S18+S31)),2)</f>
        <v>190.98</v>
      </c>
      <c r="T19" s="530" t="n">
        <f aca="false">ROUND(($E$19*(T18+T31)),2)</f>
        <v>215.27</v>
      </c>
      <c r="U19" s="530" t="n">
        <f aca="false">ROUND(($E$19*(U18+U31)),2)</f>
        <v>280.49</v>
      </c>
    </row>
    <row r="20" customFormat="false" ht="12.75" hidden="false" customHeight="true" outlineLevel="0" collapsed="false">
      <c r="A20" s="531" t="s">
        <v>634</v>
      </c>
      <c r="B20" s="532" t="s">
        <v>639</v>
      </c>
      <c r="C20" s="532"/>
      <c r="D20" s="532"/>
      <c r="E20" s="533" t="n">
        <f aca="false">SUM(E21:E24)</f>
        <v>0.1425</v>
      </c>
      <c r="F20" s="534" t="n">
        <f aca="false">ROUND((((F31+F18+F19)/(1-$E$20))-(F31+F18+F19)),2)</f>
        <v>411.25</v>
      </c>
      <c r="G20" s="534" t="n">
        <f aca="false">ROUND((((G31+G18+G19)/(1-$E$20))-(G31+G18+G19)),2)</f>
        <v>519.2</v>
      </c>
      <c r="H20" s="534" t="n">
        <f aca="false">ROUND((((H31+H18+H19)/(1-$E$20))-(H31+H18+H19)),2)</f>
        <v>757.46</v>
      </c>
      <c r="I20" s="534" t="n">
        <f aca="false">ROUND((((I31+I18+I19)/(1-$E$20))-(I31+I18+I19)),2)</f>
        <v>477.44</v>
      </c>
      <c r="J20" s="534" t="n">
        <f aca="false">ROUND((((J31+J18+J19)/(1-$E$20))-(J31+J18+J19)),2)</f>
        <v>488.75</v>
      </c>
      <c r="K20" s="531" t="s">
        <v>634</v>
      </c>
      <c r="L20" s="532" t="s">
        <v>639</v>
      </c>
      <c r="M20" s="532"/>
      <c r="N20" s="532"/>
      <c r="O20" s="533" t="n">
        <f aca="false">SUM(O21:O24)</f>
        <v>0.1225</v>
      </c>
      <c r="P20" s="534" t="n">
        <f aca="false">ROUND((((P31+P18+P19)/(1-$E$20))-(P31+P18+P19)),2)</f>
        <v>446.61</v>
      </c>
      <c r="Q20" s="534" t="n">
        <f aca="false">ROUND((((Q31+Q18+Q19)/(1-$E$20))-(Q31+Q18+Q19)),2)</f>
        <v>674.86</v>
      </c>
      <c r="R20" s="534" t="n">
        <f aca="false">ROUND((((R31+R18+R19)/(1-$E$20))-(R31+R18+R19)),2)</f>
        <v>512.23</v>
      </c>
      <c r="S20" s="534" t="n">
        <f aca="false">ROUND((((S31+S18+S19)/(1-$E$20))-(S31+S18+S19)),2)</f>
        <v>499.16</v>
      </c>
      <c r="T20" s="534" t="n">
        <f aca="false">ROUND((((T31+T18+T19)/(1-$E$20))-(T31+T18+T19)),2)</f>
        <v>562.64</v>
      </c>
      <c r="U20" s="534" t="n">
        <f aca="false">ROUND((((U31+U18+U19)/(1-$E$20))-(U31+U18+U19)),2)</f>
        <v>733.1</v>
      </c>
    </row>
    <row r="21" customFormat="false" ht="12.75" hidden="false" customHeight="true" outlineLevel="0" collapsed="false">
      <c r="A21" s="535" t="s">
        <v>640</v>
      </c>
      <c r="B21" s="528" t="s">
        <v>641</v>
      </c>
      <c r="C21" s="528"/>
      <c r="D21" s="528"/>
      <c r="E21" s="529" t="n">
        <f aca="false">Dados!G59+Dados!G60</f>
        <v>0.0925</v>
      </c>
      <c r="F21" s="530" t="n">
        <f aca="false">ROUND($E$21*F33,2)</f>
        <v>266.95</v>
      </c>
      <c r="G21" s="530" t="n">
        <f aca="false">ROUND($E$21*G33,2)</f>
        <v>337.03</v>
      </c>
      <c r="H21" s="530" t="n">
        <f aca="false">ROUND($E$21*H33,2)</f>
        <v>491.68</v>
      </c>
      <c r="I21" s="530" t="n">
        <f aca="false">ROUND($E$21*I33,2)</f>
        <v>309.92</v>
      </c>
      <c r="J21" s="530" t="n">
        <f aca="false">ROUND($E$21*J33,2)</f>
        <v>317.26</v>
      </c>
      <c r="K21" s="535" t="s">
        <v>640</v>
      </c>
      <c r="L21" s="528" t="s">
        <v>641</v>
      </c>
      <c r="M21" s="528"/>
      <c r="N21" s="528"/>
      <c r="O21" s="529" t="n">
        <f aca="false">Dados!G59+Dados!G60</f>
        <v>0.0925</v>
      </c>
      <c r="P21" s="530" t="n">
        <f aca="false">ROUND($E$21*P33,2)</f>
        <v>289.91</v>
      </c>
      <c r="Q21" s="530" t="n">
        <f aca="false">ROUND($E$21*Q33,2)</f>
        <v>438.07</v>
      </c>
      <c r="R21" s="530" t="n">
        <f aca="false">ROUND($E$21*R33,2)</f>
        <v>332.5</v>
      </c>
      <c r="S21" s="530" t="n">
        <f aca="false">ROUND($E$21*S33,2)</f>
        <v>324.02</v>
      </c>
      <c r="T21" s="530" t="n">
        <f aca="false">ROUND($E$21*T33,2)</f>
        <v>365.22</v>
      </c>
      <c r="U21" s="530" t="n">
        <f aca="false">ROUND($E$21*U33,2)</f>
        <v>475.87</v>
      </c>
    </row>
    <row r="22" customFormat="false" ht="12.75" hidden="false" customHeight="true" outlineLevel="0" collapsed="false">
      <c r="A22" s="517" t="s">
        <v>642</v>
      </c>
      <c r="B22" s="528" t="s">
        <v>643</v>
      </c>
      <c r="C22" s="528"/>
      <c r="D22" s="528"/>
      <c r="E22" s="529" t="n">
        <v>0</v>
      </c>
      <c r="F22" s="530" t="n">
        <f aca="false">ROUND($E$22*F33,2)</f>
        <v>0</v>
      </c>
      <c r="G22" s="530" t="n">
        <f aca="false">ROUND($E$22*G33,2)</f>
        <v>0</v>
      </c>
      <c r="H22" s="530" t="n">
        <f aca="false">ROUND($E$22*H33,2)</f>
        <v>0</v>
      </c>
      <c r="I22" s="530" t="n">
        <f aca="false">ROUND($E$22*I33,2)</f>
        <v>0</v>
      </c>
      <c r="J22" s="530" t="n">
        <f aca="false">ROUND($E$22*J33,2)</f>
        <v>0</v>
      </c>
      <c r="K22" s="517" t="s">
        <v>642</v>
      </c>
      <c r="L22" s="528" t="s">
        <v>643</v>
      </c>
      <c r="M22" s="528"/>
      <c r="N22" s="528"/>
      <c r="O22" s="529" t="n">
        <v>0</v>
      </c>
      <c r="P22" s="530" t="n">
        <f aca="false">ROUND($E$22*P33,2)</f>
        <v>0</v>
      </c>
      <c r="Q22" s="530" t="n">
        <f aca="false">ROUND($E$22*Q33,2)</f>
        <v>0</v>
      </c>
      <c r="R22" s="530" t="n">
        <f aca="false">ROUND($E$22*R33,2)</f>
        <v>0</v>
      </c>
      <c r="S22" s="530" t="n">
        <f aca="false">ROUND($E$22*S33,2)</f>
        <v>0</v>
      </c>
      <c r="T22" s="530" t="n">
        <f aca="false">ROUND($E$22*T33,2)</f>
        <v>0</v>
      </c>
      <c r="U22" s="530" t="n">
        <f aca="false">ROUND($E$22*U33,2)</f>
        <v>0</v>
      </c>
    </row>
    <row r="23" customFormat="false" ht="12.75" hidden="false" customHeight="true" outlineLevel="0" collapsed="false">
      <c r="A23" s="517" t="s">
        <v>644</v>
      </c>
      <c r="B23" s="528" t="s">
        <v>645</v>
      </c>
      <c r="C23" s="528"/>
      <c r="D23" s="528"/>
      <c r="E23" s="529" t="n">
        <f aca="false">Dados!G62</f>
        <v>0.05</v>
      </c>
      <c r="F23" s="530" t="n">
        <f aca="false">ROUND($E$23*F33,2)</f>
        <v>144.3</v>
      </c>
      <c r="G23" s="530" t="n">
        <f aca="false">ROUND($E$23*G33,2)</f>
        <v>182.18</v>
      </c>
      <c r="H23" s="530" t="n">
        <f aca="false">ROUND($E$23*H33,2)</f>
        <v>265.77</v>
      </c>
      <c r="I23" s="530" t="n">
        <f aca="false">ROUND($E$23*I33,2)</f>
        <v>167.52</v>
      </c>
      <c r="J23" s="530" t="n">
        <f aca="false">ROUND($E$23*J33,2)</f>
        <v>171.49</v>
      </c>
      <c r="K23" s="517" t="s">
        <v>644</v>
      </c>
      <c r="L23" s="528" t="s">
        <v>646</v>
      </c>
      <c r="M23" s="528"/>
      <c r="N23" s="528"/>
      <c r="O23" s="529" t="n">
        <f aca="false">Dados!G61</f>
        <v>0.03</v>
      </c>
      <c r="P23" s="530" t="n">
        <f aca="false">ROUND($E$23*P33,2)</f>
        <v>156.71</v>
      </c>
      <c r="Q23" s="530" t="n">
        <f aca="false">ROUND($E$23*Q33,2)</f>
        <v>236.79</v>
      </c>
      <c r="R23" s="530" t="n">
        <f aca="false">ROUND($E$23*R33,2)</f>
        <v>179.73</v>
      </c>
      <c r="S23" s="530" t="n">
        <f aca="false">ROUND($E$23*S33,2)</f>
        <v>175.14</v>
      </c>
      <c r="T23" s="530" t="n">
        <f aca="false">ROUND($E$23*T33,2)</f>
        <v>197.42</v>
      </c>
      <c r="U23" s="530" t="n">
        <f aca="false">ROUND($E$23*U33,2)</f>
        <v>257.23</v>
      </c>
    </row>
    <row r="24" customFormat="false" ht="15" hidden="false" customHeight="false" outlineLevel="0" collapsed="false">
      <c r="A24" s="517" t="s">
        <v>647</v>
      </c>
      <c r="B24" s="528" t="str">
        <f aca="false">Dados!B63</f>
        <v>Outros (inserir somente com a justificativa legal)</v>
      </c>
      <c r="C24" s="528"/>
      <c r="D24" s="528"/>
      <c r="E24" s="529" t="n">
        <f aca="false">Dados!G63</f>
        <v>0</v>
      </c>
      <c r="F24" s="530" t="n">
        <f aca="false">ROUND($E$24*F33,2)</f>
        <v>0</v>
      </c>
      <c r="G24" s="530" t="n">
        <f aca="false">ROUND($E$24*G33,2)</f>
        <v>0</v>
      </c>
      <c r="H24" s="530" t="n">
        <f aca="false">ROUND($E$24*H33,2)</f>
        <v>0</v>
      </c>
      <c r="I24" s="530" t="n">
        <f aca="false">ROUND($E$24*I33,2)</f>
        <v>0</v>
      </c>
      <c r="J24" s="530" t="n">
        <f aca="false">ROUND($E$24*J33,2)</f>
        <v>0</v>
      </c>
      <c r="K24" s="517" t="s">
        <v>647</v>
      </c>
      <c r="L24" s="528" t="str">
        <f aca="false">Dados!B63</f>
        <v>Outros (inserir somente com a justificativa legal)</v>
      </c>
      <c r="M24" s="528"/>
      <c r="N24" s="528"/>
      <c r="O24" s="529" t="n">
        <f aca="false">Dados!G63</f>
        <v>0</v>
      </c>
      <c r="P24" s="530" t="n">
        <f aca="false">ROUND($E$24*P33,2)</f>
        <v>0</v>
      </c>
      <c r="Q24" s="530" t="n">
        <f aca="false">ROUND($E$24*Q33,2)</f>
        <v>0</v>
      </c>
      <c r="R24" s="530" t="n">
        <f aca="false">ROUND($E$24*R33,2)</f>
        <v>0</v>
      </c>
      <c r="S24" s="530" t="n">
        <f aca="false">ROUND($E$24*S33,2)</f>
        <v>0</v>
      </c>
      <c r="T24" s="530" t="n">
        <f aca="false">ROUND($E$24*T33,2)</f>
        <v>0</v>
      </c>
      <c r="U24" s="530" t="n">
        <f aca="false">ROUND($E$24*U33,2)</f>
        <v>0</v>
      </c>
    </row>
    <row r="25" customFormat="false" ht="15" hidden="false" customHeight="false" outlineLevel="0" collapsed="false">
      <c r="A25" s="536" t="s">
        <v>648</v>
      </c>
      <c r="B25" s="537"/>
      <c r="C25" s="537"/>
      <c r="D25" s="537"/>
      <c r="E25" s="537"/>
      <c r="F25" s="538" t="n">
        <f aca="false">SUM(F18:F20)</f>
        <v>636.1</v>
      </c>
      <c r="G25" s="538" t="n">
        <f aca="false">SUM(G18:G20)</f>
        <v>803.06</v>
      </c>
      <c r="H25" s="538" t="n">
        <f aca="false">SUM(H18:H20)</f>
        <v>1171.59</v>
      </c>
      <c r="I25" s="538" t="n">
        <f aca="false">SUM(I18:I20)</f>
        <v>738.47</v>
      </c>
      <c r="J25" s="538" t="n">
        <f aca="false">SUM(J18:J20)</f>
        <v>755.97</v>
      </c>
      <c r="K25" s="536" t="s">
        <v>648</v>
      </c>
      <c r="L25" s="537"/>
      <c r="M25" s="537"/>
      <c r="N25" s="537"/>
      <c r="O25" s="537"/>
      <c r="P25" s="538" t="n">
        <f aca="false">SUM(P18:P20)</f>
        <v>690.79</v>
      </c>
      <c r="Q25" s="538" t="n">
        <f aca="false">SUM(Q18:Q20)</f>
        <v>1043.83</v>
      </c>
      <c r="R25" s="538" t="n">
        <f aca="false">SUM(R18:R20)</f>
        <v>792.28</v>
      </c>
      <c r="S25" s="538" t="n">
        <f aca="false">SUM(S18:S20)</f>
        <v>772.06</v>
      </c>
      <c r="T25" s="538" t="n">
        <f aca="false">SUM(T18:T20)</f>
        <v>870.25</v>
      </c>
      <c r="U25" s="538" t="n">
        <f aca="false">SUM(U18:U20)</f>
        <v>1133.91</v>
      </c>
    </row>
    <row r="26" customFormat="false" ht="19.5" hidden="false" customHeight="true" outlineLevel="0" collapsed="false">
      <c r="A26" s="539" t="s">
        <v>649</v>
      </c>
      <c r="B26" s="539"/>
      <c r="C26" s="539"/>
      <c r="D26" s="539"/>
      <c r="E26" s="539"/>
      <c r="F26" s="539"/>
      <c r="G26" s="539"/>
      <c r="H26" s="539"/>
      <c r="I26" s="539"/>
      <c r="J26" s="539"/>
      <c r="K26" s="539"/>
      <c r="L26" s="539"/>
      <c r="M26" s="539"/>
      <c r="N26" s="539"/>
      <c r="O26" s="539"/>
      <c r="P26" s="539"/>
      <c r="Q26" s="539"/>
      <c r="R26" s="539"/>
      <c r="S26" s="539"/>
      <c r="T26" s="539"/>
      <c r="U26" s="539"/>
    </row>
    <row r="27" customFormat="false" ht="18" hidden="false" customHeight="true" outlineLevel="0" collapsed="false">
      <c r="A27" s="500" t="s">
        <v>650</v>
      </c>
      <c r="B27" s="500"/>
      <c r="C27" s="500"/>
      <c r="D27" s="500"/>
      <c r="E27" s="500"/>
      <c r="F27" s="500"/>
      <c r="G27" s="500"/>
      <c r="H27" s="500"/>
      <c r="I27" s="500"/>
      <c r="J27" s="500"/>
      <c r="K27" s="500"/>
      <c r="L27" s="500"/>
      <c r="M27" s="500"/>
      <c r="N27" s="500"/>
      <c r="O27" s="500"/>
      <c r="P27" s="500"/>
      <c r="Q27" s="500"/>
      <c r="R27" s="500"/>
      <c r="S27" s="500"/>
      <c r="T27" s="500"/>
      <c r="U27" s="500"/>
    </row>
    <row r="28" customFormat="false" ht="14.25" hidden="false" customHeight="true" outlineLevel="0" collapsed="false">
      <c r="A28" s="540" t="s">
        <v>651</v>
      </c>
      <c r="B28" s="540"/>
      <c r="C28" s="540"/>
      <c r="D28" s="540"/>
      <c r="E28" s="540"/>
      <c r="F28" s="515" t="s">
        <v>518</v>
      </c>
      <c r="G28" s="515"/>
      <c r="H28" s="515"/>
      <c r="I28" s="515"/>
      <c r="J28" s="515"/>
      <c r="K28" s="515"/>
      <c r="L28" s="515"/>
      <c r="M28" s="515"/>
      <c r="N28" s="515"/>
      <c r="O28" s="515"/>
      <c r="P28" s="515"/>
      <c r="Q28" s="515"/>
      <c r="R28" s="515"/>
      <c r="S28" s="515"/>
      <c r="T28" s="515"/>
      <c r="U28" s="515"/>
    </row>
    <row r="29" customFormat="false" ht="15" hidden="false" customHeight="false" outlineLevel="0" collapsed="false">
      <c r="A29" s="507" t="s">
        <v>626</v>
      </c>
      <c r="B29" s="541" t="s">
        <v>652</v>
      </c>
      <c r="C29" s="541"/>
      <c r="D29" s="541"/>
      <c r="E29" s="541"/>
      <c r="F29" s="542" t="n">
        <f aca="false">F11</f>
        <v>1884.48</v>
      </c>
      <c r="G29" s="542" t="n">
        <f aca="false">G11</f>
        <v>2499.24</v>
      </c>
      <c r="H29" s="542" t="n">
        <f aca="false">H11</f>
        <v>3665.52</v>
      </c>
      <c r="I29" s="542" t="n">
        <f aca="false">I11</f>
        <v>2261.4</v>
      </c>
      <c r="J29" s="542" t="n">
        <f aca="false">J11</f>
        <v>2135.28</v>
      </c>
      <c r="K29" s="543"/>
      <c r="L29" s="543"/>
      <c r="M29" s="543"/>
      <c r="N29" s="543"/>
      <c r="O29" s="543"/>
      <c r="P29" s="542" t="n">
        <f aca="false">P11</f>
        <v>2085.84</v>
      </c>
      <c r="Q29" s="542" t="n">
        <f aca="false">Q11</f>
        <v>3165.24</v>
      </c>
      <c r="R29" s="542" t="n">
        <f aca="false">R11</f>
        <v>2268.96</v>
      </c>
      <c r="S29" s="542" t="n">
        <f aca="false">S11</f>
        <v>2352.12</v>
      </c>
      <c r="T29" s="542" t="n">
        <f aca="false">T11</f>
        <v>2553</v>
      </c>
      <c r="U29" s="542" t="n">
        <f aca="false">U11</f>
        <v>3526.8</v>
      </c>
    </row>
    <row r="30" customFormat="false" ht="15" hidden="false" customHeight="false" outlineLevel="0" collapsed="false">
      <c r="A30" s="507" t="s">
        <v>632</v>
      </c>
      <c r="B30" s="541" t="s">
        <v>630</v>
      </c>
      <c r="C30" s="541"/>
      <c r="D30" s="541"/>
      <c r="E30" s="541"/>
      <c r="F30" s="542" t="n">
        <f aca="false">F16</f>
        <v>365.41</v>
      </c>
      <c r="G30" s="542" t="n">
        <f aca="false">G16</f>
        <v>341.23</v>
      </c>
      <c r="H30" s="542" t="n">
        <f aca="false">H16</f>
        <v>478.38</v>
      </c>
      <c r="I30" s="542" t="n">
        <f aca="false">I16</f>
        <v>350.58</v>
      </c>
      <c r="J30" s="542" t="n">
        <f aca="false">J16</f>
        <v>538.59</v>
      </c>
      <c r="K30" s="543"/>
      <c r="L30" s="543"/>
      <c r="M30" s="543"/>
      <c r="N30" s="543"/>
      <c r="O30" s="543"/>
      <c r="P30" s="542" t="n">
        <f aca="false">P16</f>
        <v>357.49</v>
      </c>
      <c r="Q30" s="542" t="n">
        <f aca="false">Q16</f>
        <v>526.8</v>
      </c>
      <c r="R30" s="542" t="n">
        <f aca="false">R16</f>
        <v>533.33</v>
      </c>
      <c r="S30" s="542" t="n">
        <f aca="false">S16</f>
        <v>378.69</v>
      </c>
      <c r="T30" s="542" t="n">
        <f aca="false">T16</f>
        <v>525.08</v>
      </c>
      <c r="U30" s="542" t="n">
        <f aca="false">U16</f>
        <v>483.84</v>
      </c>
    </row>
    <row r="31" customFormat="false" ht="15" hidden="false" customHeight="false" outlineLevel="0" collapsed="false">
      <c r="A31" s="544" t="s">
        <v>653</v>
      </c>
      <c r="B31" s="544"/>
      <c r="C31" s="544"/>
      <c r="D31" s="544"/>
      <c r="E31" s="545"/>
      <c r="F31" s="546" t="n">
        <f aca="false">SUM(F29:F30)</f>
        <v>2249.89</v>
      </c>
      <c r="G31" s="546" t="n">
        <f aca="false">SUM(G29:G30)</f>
        <v>2840.47</v>
      </c>
      <c r="H31" s="546" t="n">
        <f aca="false">SUM(H29:H30)</f>
        <v>4143.9</v>
      </c>
      <c r="I31" s="546" t="n">
        <f aca="false">SUM(I29:I30)</f>
        <v>2611.98</v>
      </c>
      <c r="J31" s="546" t="n">
        <f aca="false">SUM(J29:J30)</f>
        <v>2673.87</v>
      </c>
      <c r="K31" s="543"/>
      <c r="L31" s="543"/>
      <c r="M31" s="543"/>
      <c r="N31" s="543"/>
      <c r="O31" s="543"/>
      <c r="P31" s="546" t="n">
        <f aca="false">SUM(P29:P30)</f>
        <v>2443.33</v>
      </c>
      <c r="Q31" s="546" t="n">
        <f aca="false">SUM(Q29:Q30)</f>
        <v>3692.04</v>
      </c>
      <c r="R31" s="546" t="n">
        <f aca="false">SUM(R29:R30)</f>
        <v>2802.29</v>
      </c>
      <c r="S31" s="546" t="n">
        <f aca="false">SUM(S29:S30)</f>
        <v>2730.81</v>
      </c>
      <c r="T31" s="546" t="n">
        <f aca="false">SUM(T29:T30)</f>
        <v>3078.08</v>
      </c>
      <c r="U31" s="546" t="n">
        <f aca="false">SUM(U29:U30)</f>
        <v>4010.64</v>
      </c>
    </row>
    <row r="32" customFormat="false" ht="15" hidden="false" customHeight="false" outlineLevel="0" collapsed="false">
      <c r="A32" s="507" t="s">
        <v>654</v>
      </c>
      <c r="B32" s="541" t="s">
        <v>655</v>
      </c>
      <c r="C32" s="541"/>
      <c r="D32" s="541"/>
      <c r="E32" s="541"/>
      <c r="F32" s="542" t="n">
        <f aca="false">F25</f>
        <v>636.1</v>
      </c>
      <c r="G32" s="542" t="n">
        <f aca="false">G25</f>
        <v>803.06</v>
      </c>
      <c r="H32" s="542" t="n">
        <f aca="false">H25</f>
        <v>1171.59</v>
      </c>
      <c r="I32" s="542" t="n">
        <f aca="false">I25</f>
        <v>738.47</v>
      </c>
      <c r="J32" s="542" t="n">
        <f aca="false">J25</f>
        <v>755.97</v>
      </c>
      <c r="K32" s="543"/>
      <c r="L32" s="543"/>
      <c r="M32" s="543"/>
      <c r="N32" s="543"/>
      <c r="O32" s="543"/>
      <c r="P32" s="542" t="n">
        <f aca="false">P25</f>
        <v>690.79</v>
      </c>
      <c r="Q32" s="542" t="n">
        <f aca="false">Q25</f>
        <v>1043.83</v>
      </c>
      <c r="R32" s="542" t="n">
        <f aca="false">R25</f>
        <v>792.28</v>
      </c>
      <c r="S32" s="542" t="n">
        <f aca="false">S25</f>
        <v>772.06</v>
      </c>
      <c r="T32" s="542" t="n">
        <f aca="false">T25</f>
        <v>870.25</v>
      </c>
      <c r="U32" s="542" t="n">
        <f aca="false">U25</f>
        <v>1133.91</v>
      </c>
    </row>
    <row r="33" customFormat="false" ht="19.5" hidden="false" customHeight="true" outlineLevel="0" collapsed="false">
      <c r="A33" s="540" t="s">
        <v>656</v>
      </c>
      <c r="B33" s="540"/>
      <c r="C33" s="540"/>
      <c r="D33" s="540"/>
      <c r="E33" s="540"/>
      <c r="F33" s="547" t="n">
        <f aca="false">SUM(F31:F32)</f>
        <v>2885.99</v>
      </c>
      <c r="G33" s="547" t="n">
        <f aca="false">SUM(G31:G32)</f>
        <v>3643.53</v>
      </c>
      <c r="H33" s="547" t="n">
        <f aca="false">SUM(H31:H32)</f>
        <v>5315.49</v>
      </c>
      <c r="I33" s="547" t="n">
        <f aca="false">SUM(I31:I32)</f>
        <v>3350.45</v>
      </c>
      <c r="J33" s="547" t="n">
        <f aca="false">SUM(J31:J32)</f>
        <v>3429.84</v>
      </c>
      <c r="K33" s="543"/>
      <c r="L33" s="543"/>
      <c r="M33" s="543"/>
      <c r="N33" s="543"/>
      <c r="O33" s="543"/>
      <c r="P33" s="547" t="n">
        <f aca="false">SUM(P31:P32)</f>
        <v>3134.12</v>
      </c>
      <c r="Q33" s="547" t="n">
        <f aca="false">SUM(Q31:Q32)</f>
        <v>4735.87</v>
      </c>
      <c r="R33" s="547" t="n">
        <f aca="false">SUM(R31:R32)</f>
        <v>3594.57</v>
      </c>
      <c r="S33" s="547" t="n">
        <f aca="false">SUM(S31:S32)</f>
        <v>3502.87</v>
      </c>
      <c r="T33" s="547" t="n">
        <f aca="false">SUM(T31:T32)</f>
        <v>3948.33</v>
      </c>
      <c r="U33" s="547" t="n">
        <f aca="false">SUM(U31:U32)</f>
        <v>5144.55</v>
      </c>
    </row>
  </sheetData>
  <sheetProtection sheet="true" password="c494" objects="true" scenarios="true"/>
  <mergeCells count="48">
    <mergeCell ref="A4:U4"/>
    <mergeCell ref="A5:D5"/>
    <mergeCell ref="E5:E6"/>
    <mergeCell ref="K5:N5"/>
    <mergeCell ref="O5:O6"/>
    <mergeCell ref="B6:D6"/>
    <mergeCell ref="F6:J6"/>
    <mergeCell ref="L6:N6"/>
    <mergeCell ref="P6:U6"/>
    <mergeCell ref="B7:E7"/>
    <mergeCell ref="L7:O7"/>
    <mergeCell ref="B8:D8"/>
    <mergeCell ref="L8:N8"/>
    <mergeCell ref="B9:D9"/>
    <mergeCell ref="L9:N9"/>
    <mergeCell ref="A10:D10"/>
    <mergeCell ref="K10:N10"/>
    <mergeCell ref="A11:E11"/>
    <mergeCell ref="K11:O11"/>
    <mergeCell ref="F12:J12"/>
    <mergeCell ref="P12:U12"/>
    <mergeCell ref="B13:D13"/>
    <mergeCell ref="L13:N13"/>
    <mergeCell ref="B14:D14"/>
    <mergeCell ref="L14:N14"/>
    <mergeCell ref="A16:E16"/>
    <mergeCell ref="K16:O16"/>
    <mergeCell ref="B17:D17"/>
    <mergeCell ref="L17:N17"/>
    <mergeCell ref="B18:D18"/>
    <mergeCell ref="L18:N18"/>
    <mergeCell ref="B19:D19"/>
    <mergeCell ref="L19:N19"/>
    <mergeCell ref="B20:D20"/>
    <mergeCell ref="L20:N20"/>
    <mergeCell ref="B21:D21"/>
    <mergeCell ref="L21:N21"/>
    <mergeCell ref="B22:D22"/>
    <mergeCell ref="L22:N22"/>
    <mergeCell ref="B23:D23"/>
    <mergeCell ref="L23:N23"/>
    <mergeCell ref="B24:D24"/>
    <mergeCell ref="L24:N24"/>
    <mergeCell ref="A26:U26"/>
    <mergeCell ref="A27:U27"/>
    <mergeCell ref="F28:U28"/>
    <mergeCell ref="K29:O33"/>
    <mergeCell ref="A31:D31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3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3" activeCellId="0" sqref="E13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3.15"/>
    <col collapsed="false" customWidth="true" hidden="false" outlineLevel="0" max="2" min="2" style="1" width="44.42"/>
    <col collapsed="false" customWidth="true" hidden="false" outlineLevel="0" max="3" min="3" style="1" width="7.16"/>
    <col collapsed="false" customWidth="true" hidden="false" outlineLevel="0" max="4" min="4" style="1" width="6.71"/>
    <col collapsed="false" customWidth="true" hidden="false" outlineLevel="0" max="5" min="5" style="1" width="10.14"/>
    <col collapsed="false" customWidth="true" hidden="false" outlineLevel="0" max="6" min="6" style="1" width="12.57"/>
    <col collapsed="false" customWidth="true" hidden="false" outlineLevel="0" max="7" min="7" style="1" width="12.29"/>
    <col collapsed="false" customWidth="true" hidden="false" outlineLevel="0" max="8" min="8" style="1" width="13.42"/>
    <col collapsed="false" customWidth="true" hidden="false" outlineLevel="0" max="9" min="9" style="1" width="11.85"/>
    <col collapsed="false" customWidth="true" hidden="false" outlineLevel="0" max="10" min="10" style="1" width="13.71"/>
    <col collapsed="false" customWidth="true" hidden="false" outlineLevel="0" max="11" min="11" style="1" width="11.29"/>
    <col collapsed="false" customWidth="true" hidden="false" outlineLevel="0" max="12" min="12" style="1" width="15.57"/>
    <col collapsed="false" customWidth="true" hidden="false" outlineLevel="0" max="13" min="13" style="1" width="12.29"/>
    <col collapsed="false" customWidth="true" hidden="false" outlineLevel="0" max="14" min="14" style="1" width="7.42"/>
    <col collapsed="false" customWidth="true" hidden="false" outlineLevel="0" max="15" min="15" style="1" width="13.29"/>
    <col collapsed="false" customWidth="true" hidden="false" outlineLevel="0" max="16" min="16" style="1" width="12"/>
    <col collapsed="false" customWidth="true" hidden="false" outlineLevel="0" max="17" min="17" style="1" width="9.57"/>
    <col collapsed="false" customWidth="true" hidden="false" outlineLevel="0" max="18" min="18" style="1" width="11.29"/>
    <col collapsed="false" customWidth="true" hidden="false" outlineLevel="0" max="19" min="19" style="1" width="16.14"/>
    <col collapsed="false" customWidth="true" hidden="false" outlineLevel="0" max="20" min="20" style="1" width="12.15"/>
    <col collapsed="false" customWidth="true" hidden="false" outlineLevel="0" max="22" min="21" style="1" width="10.14"/>
    <col collapsed="false" customWidth="true" hidden="false" outlineLevel="0" max="23" min="23" style="1" width="19.71"/>
    <col collapsed="false" customWidth="false" hidden="false" outlineLevel="0" max="259" min="24" style="1" width="9.14"/>
    <col collapsed="false" customWidth="true" hidden="false" outlineLevel="0" max="260" min="260" style="1" width="13.15"/>
    <col collapsed="false" customWidth="true" hidden="false" outlineLevel="0" max="261" min="261" style="1" width="38.42"/>
    <col collapsed="false" customWidth="true" hidden="false" outlineLevel="0" max="262" min="262" style="1" width="7.16"/>
    <col collapsed="false" customWidth="true" hidden="false" outlineLevel="0" max="263" min="263" style="1" width="6.71"/>
    <col collapsed="false" customWidth="true" hidden="false" outlineLevel="0" max="264" min="264" style="1" width="10.14"/>
    <col collapsed="false" customWidth="true" hidden="false" outlineLevel="0" max="265" min="265" style="1" width="12.57"/>
    <col collapsed="false" customWidth="true" hidden="false" outlineLevel="0" max="266" min="266" style="1" width="12.29"/>
    <col collapsed="false" customWidth="true" hidden="false" outlineLevel="0" max="267" min="267" style="1" width="13.42"/>
    <col collapsed="false" customWidth="true" hidden="false" outlineLevel="0" max="268" min="268" style="1" width="12.15"/>
    <col collapsed="false" customWidth="true" hidden="false" outlineLevel="0" max="269" min="269" style="1" width="13.71"/>
    <col collapsed="false" customWidth="true" hidden="false" outlineLevel="0" max="270" min="270" style="1" width="11.29"/>
    <col collapsed="false" customWidth="true" hidden="false" outlineLevel="0" max="271" min="271" style="1" width="15.57"/>
    <col collapsed="false" customWidth="true" hidden="false" outlineLevel="0" max="272" min="272" style="1" width="12.29"/>
    <col collapsed="false" customWidth="true" hidden="false" outlineLevel="0" max="273" min="273" style="1" width="7.42"/>
    <col collapsed="false" customWidth="true" hidden="false" outlineLevel="0" max="274" min="274" style="1" width="13.29"/>
    <col collapsed="false" customWidth="true" hidden="false" outlineLevel="0" max="275" min="275" style="1" width="14"/>
    <col collapsed="false" customWidth="true" hidden="false" outlineLevel="0" max="276" min="276" style="1" width="12.15"/>
    <col collapsed="false" customWidth="true" hidden="false" outlineLevel="0" max="278" min="277" style="1" width="10.14"/>
    <col collapsed="false" customWidth="true" hidden="false" outlineLevel="0" max="279" min="279" style="1" width="16.43"/>
    <col collapsed="false" customWidth="false" hidden="false" outlineLevel="0" max="515" min="280" style="1" width="9.14"/>
    <col collapsed="false" customWidth="true" hidden="false" outlineLevel="0" max="516" min="516" style="1" width="13.15"/>
    <col collapsed="false" customWidth="true" hidden="false" outlineLevel="0" max="517" min="517" style="1" width="38.42"/>
    <col collapsed="false" customWidth="true" hidden="false" outlineLevel="0" max="518" min="518" style="1" width="7.16"/>
    <col collapsed="false" customWidth="true" hidden="false" outlineLevel="0" max="519" min="519" style="1" width="6.71"/>
    <col collapsed="false" customWidth="true" hidden="false" outlineLevel="0" max="520" min="520" style="1" width="10.14"/>
    <col collapsed="false" customWidth="true" hidden="false" outlineLevel="0" max="521" min="521" style="1" width="12.57"/>
    <col collapsed="false" customWidth="true" hidden="false" outlineLevel="0" max="522" min="522" style="1" width="12.29"/>
    <col collapsed="false" customWidth="true" hidden="false" outlineLevel="0" max="523" min="523" style="1" width="13.42"/>
    <col collapsed="false" customWidth="true" hidden="false" outlineLevel="0" max="524" min="524" style="1" width="12.15"/>
    <col collapsed="false" customWidth="true" hidden="false" outlineLevel="0" max="525" min="525" style="1" width="13.71"/>
    <col collapsed="false" customWidth="true" hidden="false" outlineLevel="0" max="526" min="526" style="1" width="11.29"/>
    <col collapsed="false" customWidth="true" hidden="false" outlineLevel="0" max="527" min="527" style="1" width="15.57"/>
    <col collapsed="false" customWidth="true" hidden="false" outlineLevel="0" max="528" min="528" style="1" width="12.29"/>
    <col collapsed="false" customWidth="true" hidden="false" outlineLevel="0" max="529" min="529" style="1" width="7.42"/>
    <col collapsed="false" customWidth="true" hidden="false" outlineLevel="0" max="530" min="530" style="1" width="13.29"/>
    <col collapsed="false" customWidth="true" hidden="false" outlineLevel="0" max="531" min="531" style="1" width="14"/>
    <col collapsed="false" customWidth="true" hidden="false" outlineLevel="0" max="532" min="532" style="1" width="12.15"/>
    <col collapsed="false" customWidth="true" hidden="false" outlineLevel="0" max="534" min="533" style="1" width="10.14"/>
    <col collapsed="false" customWidth="true" hidden="false" outlineLevel="0" max="535" min="535" style="1" width="16.43"/>
    <col collapsed="false" customWidth="false" hidden="false" outlineLevel="0" max="771" min="536" style="1" width="9.14"/>
    <col collapsed="false" customWidth="true" hidden="false" outlineLevel="0" max="772" min="772" style="1" width="13.15"/>
    <col collapsed="false" customWidth="true" hidden="false" outlineLevel="0" max="773" min="773" style="1" width="38.42"/>
    <col collapsed="false" customWidth="true" hidden="false" outlineLevel="0" max="774" min="774" style="1" width="7.16"/>
    <col collapsed="false" customWidth="true" hidden="false" outlineLevel="0" max="775" min="775" style="1" width="6.71"/>
    <col collapsed="false" customWidth="true" hidden="false" outlineLevel="0" max="776" min="776" style="1" width="10.14"/>
    <col collapsed="false" customWidth="true" hidden="false" outlineLevel="0" max="777" min="777" style="1" width="12.57"/>
    <col collapsed="false" customWidth="true" hidden="false" outlineLevel="0" max="778" min="778" style="1" width="12.29"/>
    <col collapsed="false" customWidth="true" hidden="false" outlineLevel="0" max="779" min="779" style="1" width="13.42"/>
    <col collapsed="false" customWidth="true" hidden="false" outlineLevel="0" max="780" min="780" style="1" width="12.15"/>
    <col collapsed="false" customWidth="true" hidden="false" outlineLevel="0" max="781" min="781" style="1" width="13.71"/>
    <col collapsed="false" customWidth="true" hidden="false" outlineLevel="0" max="782" min="782" style="1" width="11.29"/>
    <col collapsed="false" customWidth="true" hidden="false" outlineLevel="0" max="783" min="783" style="1" width="15.57"/>
    <col collapsed="false" customWidth="true" hidden="false" outlineLevel="0" max="784" min="784" style="1" width="12.29"/>
    <col collapsed="false" customWidth="true" hidden="false" outlineLevel="0" max="785" min="785" style="1" width="7.42"/>
    <col collapsed="false" customWidth="true" hidden="false" outlineLevel="0" max="786" min="786" style="1" width="13.29"/>
    <col collapsed="false" customWidth="true" hidden="false" outlineLevel="0" max="787" min="787" style="1" width="14"/>
    <col collapsed="false" customWidth="true" hidden="false" outlineLevel="0" max="788" min="788" style="1" width="12.15"/>
    <col collapsed="false" customWidth="true" hidden="false" outlineLevel="0" max="790" min="789" style="1" width="10.14"/>
    <col collapsed="false" customWidth="true" hidden="false" outlineLevel="0" max="791" min="791" style="1" width="16.43"/>
    <col collapsed="false" customWidth="false" hidden="false" outlineLevel="0" max="1024" min="792" style="1" width="9.14"/>
  </cols>
  <sheetData>
    <row r="1" customFormat="false" ht="15" hidden="false" customHeight="false" outlineLevel="0" collapsed="false">
      <c r="A1" s="4"/>
      <c r="B1" s="548" t="str">
        <f aca="false">INSTRUÇÕES!B1</f>
        <v>Tribunal Regional Federal da 6ª Região</v>
      </c>
      <c r="C1" s="549"/>
      <c r="D1" s="549"/>
      <c r="E1" s="549"/>
      <c r="F1" s="549"/>
      <c r="G1" s="549"/>
      <c r="H1" s="549"/>
      <c r="I1" s="549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1"/>
    </row>
    <row r="2" customFormat="false" ht="15" hidden="false" customHeight="false" outlineLevel="0" collapsed="false">
      <c r="A2" s="552"/>
      <c r="B2" s="166" t="str">
        <f aca="false">INSTRUÇÕES!B2</f>
        <v>Seção Judiciária de Minas Gerais</v>
      </c>
      <c r="C2" s="112"/>
      <c r="D2" s="112"/>
      <c r="E2" s="112"/>
      <c r="F2" s="112"/>
      <c r="G2" s="112"/>
      <c r="H2" s="112"/>
      <c r="I2" s="112"/>
      <c r="W2" s="553"/>
    </row>
    <row r="3" customFormat="false" ht="15" hidden="false" customHeight="false" outlineLevel="0" collapsed="false">
      <c r="A3" s="552"/>
      <c r="B3" s="166" t="str">
        <f aca="false">INSTRUÇÕES!B3</f>
        <v>Subseção Judiciária de Juiz de Fora</v>
      </c>
      <c r="C3" s="112"/>
      <c r="D3" s="112"/>
      <c r="E3" s="112"/>
      <c r="F3" s="112"/>
      <c r="G3" s="112"/>
      <c r="H3" s="112"/>
      <c r="I3" s="112"/>
      <c r="W3" s="553"/>
    </row>
    <row r="4" s="555" customFormat="true" ht="18.75" hidden="false" customHeight="true" outlineLevel="0" collapsed="false">
      <c r="A4" s="554" t="s">
        <v>657</v>
      </c>
      <c r="B4" s="554"/>
      <c r="C4" s="554"/>
      <c r="D4" s="554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</row>
    <row r="5" s="171" customFormat="true" ht="21" hidden="false" customHeight="true" outlineLevel="0" collapsed="false">
      <c r="A5" s="556" t="str">
        <f aca="false">"PREÇO MENSAL GLOBAL - "&amp;B3</f>
        <v>PREÇO MENSAL GLOBAL - Subseção Judiciária de Juiz de Fora</v>
      </c>
      <c r="B5" s="556"/>
      <c r="C5" s="556"/>
      <c r="D5" s="556"/>
      <c r="E5" s="556"/>
      <c r="F5" s="556"/>
      <c r="G5" s="556"/>
      <c r="H5" s="556"/>
      <c r="I5" s="556"/>
      <c r="J5" s="556"/>
      <c r="K5" s="556"/>
      <c r="L5" s="556"/>
      <c r="M5" s="556"/>
      <c r="N5" s="556"/>
      <c r="O5" s="556"/>
      <c r="P5" s="556"/>
      <c r="Q5" s="556"/>
      <c r="R5" s="556"/>
      <c r="S5" s="556"/>
      <c r="T5" s="556"/>
      <c r="U5" s="556"/>
      <c r="V5" s="556"/>
      <c r="W5" s="556"/>
    </row>
    <row r="6" s="3" customFormat="true" ht="23.25" hidden="false" customHeight="true" outlineLevel="0" collapsed="false">
      <c r="A6" s="557" t="str">
        <f aca="false">Dados!A4</f>
        <v>Sindicato utilizado - SINTEAC/JF. Vigência: 01/01/2023 à 31/12/2023. Sendo a data base da categoria 01º Janeiro. Com número de registro no MTE MG001725/2023.</v>
      </c>
      <c r="B6" s="557"/>
      <c r="C6" s="557"/>
      <c r="D6" s="557"/>
      <c r="E6" s="557"/>
      <c r="F6" s="557"/>
      <c r="G6" s="557"/>
      <c r="H6" s="557"/>
      <c r="I6" s="557"/>
      <c r="J6" s="557"/>
      <c r="K6" s="557"/>
      <c r="L6" s="557"/>
      <c r="M6" s="557"/>
      <c r="N6" s="557"/>
      <c r="O6" s="557"/>
      <c r="P6" s="557"/>
      <c r="Q6" s="557"/>
      <c r="R6" s="557"/>
      <c r="S6" s="557"/>
      <c r="T6" s="557"/>
      <c r="U6" s="557"/>
      <c r="V6" s="557"/>
      <c r="W6" s="557"/>
    </row>
    <row r="7" s="19" customFormat="true" ht="18.75" hidden="false" customHeight="true" outlineLevel="0" collapsed="false">
      <c r="A7" s="558"/>
      <c r="B7" s="559"/>
      <c r="C7" s="559"/>
      <c r="D7" s="559"/>
      <c r="E7" s="560"/>
      <c r="F7" s="560"/>
      <c r="G7" s="560"/>
      <c r="H7" s="561" t="s">
        <v>658</v>
      </c>
      <c r="I7" s="562"/>
      <c r="J7" s="562"/>
      <c r="K7" s="560"/>
      <c r="L7" s="560"/>
      <c r="M7" s="560"/>
      <c r="N7" s="560"/>
      <c r="O7" s="560"/>
      <c r="P7" s="560"/>
      <c r="Q7" s="560"/>
      <c r="R7" s="560"/>
      <c r="S7" s="563" t="s">
        <v>659</v>
      </c>
      <c r="T7" s="563"/>
      <c r="U7" s="563"/>
      <c r="V7" s="563"/>
      <c r="W7" s="563"/>
    </row>
    <row r="8" s="19" customFormat="true" ht="22.5" hidden="false" customHeight="true" outlineLevel="0" collapsed="false">
      <c r="A8" s="564" t="s">
        <v>660</v>
      </c>
      <c r="B8" s="565" t="s">
        <v>661</v>
      </c>
      <c r="C8" s="565"/>
      <c r="D8" s="566" t="s">
        <v>44</v>
      </c>
      <c r="E8" s="566"/>
      <c r="F8" s="566"/>
      <c r="G8" s="566"/>
      <c r="H8" s="566"/>
      <c r="I8" s="566"/>
      <c r="J8" s="566"/>
      <c r="K8" s="566"/>
      <c r="L8" s="566"/>
      <c r="M8" s="566"/>
      <c r="N8" s="566"/>
      <c r="O8" s="566"/>
      <c r="P8" s="566"/>
      <c r="Q8" s="566"/>
      <c r="R8" s="566"/>
      <c r="S8" s="566"/>
      <c r="T8" s="566"/>
      <c r="U8" s="566"/>
      <c r="V8" s="566"/>
      <c r="W8" s="567" t="s">
        <v>662</v>
      </c>
    </row>
    <row r="9" s="19" customFormat="true" ht="20.25" hidden="false" customHeight="true" outlineLevel="0" collapsed="false">
      <c r="A9" s="564"/>
      <c r="B9" s="565"/>
      <c r="C9" s="565"/>
      <c r="D9" s="568" t="s">
        <v>663</v>
      </c>
      <c r="E9" s="568"/>
      <c r="F9" s="568"/>
      <c r="G9" s="568" t="s">
        <v>664</v>
      </c>
      <c r="H9" s="568"/>
      <c r="I9" s="568"/>
      <c r="J9" s="569" t="s">
        <v>665</v>
      </c>
      <c r="K9" s="569"/>
      <c r="L9" s="569"/>
      <c r="M9" s="569"/>
      <c r="N9" s="569"/>
      <c r="O9" s="569"/>
      <c r="P9" s="570" t="s">
        <v>666</v>
      </c>
      <c r="Q9" s="570"/>
      <c r="R9" s="570"/>
      <c r="S9" s="571" t="s">
        <v>667</v>
      </c>
      <c r="T9" s="572" t="s">
        <v>668</v>
      </c>
      <c r="U9" s="572"/>
      <c r="V9" s="572"/>
      <c r="W9" s="567"/>
    </row>
    <row r="10" s="19" customFormat="true" ht="27.75" hidden="false" customHeight="true" outlineLevel="0" collapsed="false">
      <c r="A10" s="564"/>
      <c r="B10" s="565"/>
      <c r="C10" s="565"/>
      <c r="D10" s="573" t="s">
        <v>669</v>
      </c>
      <c r="E10" s="573"/>
      <c r="F10" s="573"/>
      <c r="G10" s="574" t="s">
        <v>670</v>
      </c>
      <c r="H10" s="575" t="s">
        <v>671</v>
      </c>
      <c r="I10" s="575"/>
      <c r="J10" s="576" t="s">
        <v>672</v>
      </c>
      <c r="K10" s="576"/>
      <c r="L10" s="576"/>
      <c r="M10" s="577" t="s">
        <v>673</v>
      </c>
      <c r="N10" s="577"/>
      <c r="O10" s="577"/>
      <c r="P10" s="578" t="s">
        <v>674</v>
      </c>
      <c r="Q10" s="578"/>
      <c r="R10" s="578"/>
      <c r="S10" s="579" t="s">
        <v>675</v>
      </c>
      <c r="T10" s="578" t="s">
        <v>676</v>
      </c>
      <c r="U10" s="578"/>
      <c r="V10" s="578"/>
      <c r="W10" s="567"/>
    </row>
    <row r="11" s="19" customFormat="true" ht="63.75" hidden="false" customHeight="false" outlineLevel="0" collapsed="false">
      <c r="A11" s="564"/>
      <c r="B11" s="580" t="s">
        <v>25</v>
      </c>
      <c r="C11" s="581" t="s">
        <v>26</v>
      </c>
      <c r="D11" s="582" t="s">
        <v>24</v>
      </c>
      <c r="E11" s="583" t="s">
        <v>677</v>
      </c>
      <c r="F11" s="584" t="s">
        <v>678</v>
      </c>
      <c r="G11" s="574"/>
      <c r="H11" s="583" t="s">
        <v>679</v>
      </c>
      <c r="I11" s="585" t="s">
        <v>680</v>
      </c>
      <c r="J11" s="586" t="s">
        <v>681</v>
      </c>
      <c r="K11" s="583" t="s">
        <v>33</v>
      </c>
      <c r="L11" s="585" t="s">
        <v>682</v>
      </c>
      <c r="M11" s="580" t="s">
        <v>683</v>
      </c>
      <c r="N11" s="583" t="s">
        <v>34</v>
      </c>
      <c r="O11" s="587" t="s">
        <v>684</v>
      </c>
      <c r="P11" s="580" t="s">
        <v>685</v>
      </c>
      <c r="Q11" s="583" t="s">
        <v>686</v>
      </c>
      <c r="R11" s="581" t="s">
        <v>687</v>
      </c>
      <c r="S11" s="579"/>
      <c r="T11" s="580" t="s">
        <v>688</v>
      </c>
      <c r="U11" s="583" t="s">
        <v>689</v>
      </c>
      <c r="V11" s="585" t="s">
        <v>690</v>
      </c>
      <c r="W11" s="567"/>
    </row>
    <row r="12" s="19" customFormat="true" ht="15.75" hidden="false" customHeight="false" outlineLevel="0" collapsed="false">
      <c r="A12" s="588"/>
      <c r="B12" s="589" t="str">
        <f aca="false">Dados!C7</f>
        <v>Auxiliar Administrativo</v>
      </c>
      <c r="C12" s="590" t="n">
        <f aca="false">Dados!D7</f>
        <v>150</v>
      </c>
      <c r="D12" s="591" t="n">
        <f aca="false">Dados!B7</f>
        <v>13</v>
      </c>
      <c r="E12" s="592" t="n">
        <f aca="false">'Aux. Administrativo 150'!F45</f>
        <v>3428.12</v>
      </c>
      <c r="F12" s="593" t="n">
        <f aca="false">ROUND((D12*E12),2)</f>
        <v>44565.56</v>
      </c>
      <c r="G12" s="594" t="n">
        <f aca="false">'Aux. Administrativo 150'!I45</f>
        <v>116.54</v>
      </c>
      <c r="H12" s="595" t="n">
        <f aca="false">'Ocorrências Mensais - FAT'!F11+'Ocorrências Mensais - FAT'!H11</f>
        <v>0</v>
      </c>
      <c r="I12" s="596" t="n">
        <f aca="false">(ROUND((G12/Dados!$G$41*H12)-(G12/'Ocorrências Mensais - FAT'!$E$5*'Ocorrências Mensais - FAT'!G11),2))</f>
        <v>0</v>
      </c>
      <c r="J12" s="597" t="n">
        <f aca="false">'Aux. Administrativo 150'!G45</f>
        <v>3428.12</v>
      </c>
      <c r="K12" s="595" t="n">
        <f aca="false">'Ocorrências Mensais - FAT'!K11</f>
        <v>0</v>
      </c>
      <c r="L12" s="596" t="n">
        <f aca="false">J12/'Ocorrências Mensais - FAT'!$E$5*K12</f>
        <v>0</v>
      </c>
      <c r="M12" s="597" t="n">
        <f aca="false">'Custo Substituto'!$F$33</f>
        <v>2885.99</v>
      </c>
      <c r="N12" s="595" t="n">
        <f aca="false">'Ocorrências Mensais - FAT'!L11</f>
        <v>0</v>
      </c>
      <c r="O12" s="598" t="n">
        <f aca="false">M12/'Ocorrências Mensais - FAT'!$E$5*N12</f>
        <v>0</v>
      </c>
      <c r="P12" s="599" t="n">
        <f aca="false">'Aux. Administrativo 150'!H45</f>
        <v>302</v>
      </c>
      <c r="Q12" s="600" t="n">
        <f aca="false">'Ocorrências Mensais - FAT'!M11</f>
        <v>0</v>
      </c>
      <c r="R12" s="598" t="n">
        <f aca="false">ROUND((P12/Dados!$G$45*Q12),2)</f>
        <v>0</v>
      </c>
      <c r="S12" s="601" t="n">
        <f aca="false">I12+L12+O12+R12</f>
        <v>0</v>
      </c>
      <c r="T12" s="602"/>
      <c r="U12" s="603"/>
      <c r="V12" s="604"/>
      <c r="W12" s="605" t="n">
        <f aca="false">ROUND((F12-S12+V12),2)</f>
        <v>44565.56</v>
      </c>
    </row>
    <row r="13" s="19" customFormat="true" ht="15.75" hidden="false" customHeight="false" outlineLevel="0" collapsed="false">
      <c r="A13" s="588"/>
      <c r="B13" s="589" t="str">
        <f aca="false">Dados!C8</f>
        <v>Recepcionista</v>
      </c>
      <c r="C13" s="590" t="n">
        <f aca="false">Dados!D8</f>
        <v>150</v>
      </c>
      <c r="D13" s="591" t="n">
        <f aca="false">Dados!B8</f>
        <v>1</v>
      </c>
      <c r="E13" s="592" t="n">
        <f aca="false">'Recepcionista 150'!F45</f>
        <v>4318.39</v>
      </c>
      <c r="F13" s="593" t="n">
        <f aca="false">ROUND((D13*E13),2)</f>
        <v>4318.39</v>
      </c>
      <c r="G13" s="606" t="n">
        <f aca="false">'Recepcionista 150'!I45</f>
        <v>85.52</v>
      </c>
      <c r="H13" s="607" t="n">
        <f aca="false">'Ocorrências Mensais - FAT'!F12+'Ocorrências Mensais - FAT'!H12</f>
        <v>0</v>
      </c>
      <c r="I13" s="608" t="n">
        <f aca="false">(ROUND((G13/Dados!$G$41*H13)-(G13/'Ocorrências Mensais - FAT'!$E$5*'Ocorrências Mensais - FAT'!G12),2))</f>
        <v>0</v>
      </c>
      <c r="J13" s="609" t="n">
        <f aca="false">'Recepcionista 150'!G45</f>
        <v>4318.39</v>
      </c>
      <c r="K13" s="607" t="n">
        <f aca="false">'Ocorrências Mensais - FAT'!K12</f>
        <v>0</v>
      </c>
      <c r="L13" s="608" t="n">
        <f aca="false">J13/'Ocorrências Mensais - FAT'!$E$5*K13</f>
        <v>0</v>
      </c>
      <c r="M13" s="609" t="n">
        <f aca="false">'Custo Substituto'!G33</f>
        <v>3643.53</v>
      </c>
      <c r="N13" s="595" t="n">
        <f aca="false">'Ocorrências Mensais - FAT'!L12</f>
        <v>0</v>
      </c>
      <c r="O13" s="608" t="n">
        <f aca="false">M13/'Ocorrências Mensais - FAT'!$E$5*N13</f>
        <v>0</v>
      </c>
      <c r="P13" s="610" t="n">
        <f aca="false">'Recepcionista 150'!H45</f>
        <v>302</v>
      </c>
      <c r="Q13" s="600" t="n">
        <f aca="false">'Ocorrências Mensais - FAT'!M12</f>
        <v>0</v>
      </c>
      <c r="R13" s="598" t="n">
        <f aca="false">ROUND((P13/Dados!$G$45*Q13),2)</f>
        <v>0</v>
      </c>
      <c r="S13" s="601" t="n">
        <f aca="false">I13+L13+O13+R13</f>
        <v>0</v>
      </c>
      <c r="T13" s="611"/>
      <c r="U13" s="612"/>
      <c r="V13" s="613"/>
      <c r="W13" s="605" t="n">
        <f aca="false">ROUND((F13-S13+V13),2)</f>
        <v>4318.39</v>
      </c>
    </row>
    <row r="14" s="19" customFormat="true" ht="15.75" hidden="false" customHeight="false" outlineLevel="0" collapsed="false">
      <c r="A14" s="588"/>
      <c r="B14" s="589" t="str">
        <f aca="false">Dados!C9</f>
        <v>Recepcionista</v>
      </c>
      <c r="C14" s="590" t="n">
        <f aca="false">Dados!D9</f>
        <v>220</v>
      </c>
      <c r="D14" s="591" t="n">
        <f aca="false">Dados!B9</f>
        <v>1</v>
      </c>
      <c r="E14" s="614" t="n">
        <f aca="false">'Recepcionista 220'!F45</f>
        <v>6250.88</v>
      </c>
      <c r="F14" s="615" t="n">
        <f aca="false">ROUND((D14*E14),2)</f>
        <v>6250.88</v>
      </c>
      <c r="G14" s="616" t="n">
        <f aca="false">'Recepcionista 220'!I45</f>
        <v>26.65</v>
      </c>
      <c r="H14" s="607" t="n">
        <f aca="false">'Ocorrências Mensais - FAT'!F13+'Ocorrências Mensais - FAT'!H13</f>
        <v>0</v>
      </c>
      <c r="I14" s="608" t="n">
        <f aca="false">(ROUND((G14/Dados!$G$41*H14)-(G14/'Ocorrências Mensais - FAT'!$E$5*'Ocorrências Mensais - FAT'!G13),2))</f>
        <v>0</v>
      </c>
      <c r="J14" s="609" t="n">
        <f aca="false">'Recepcionista 220'!G45</f>
        <v>6250.88</v>
      </c>
      <c r="K14" s="607" t="n">
        <f aca="false">'Ocorrências Mensais - FAT'!K13</f>
        <v>0</v>
      </c>
      <c r="L14" s="608" t="n">
        <f aca="false">J14/'Ocorrências Mensais - FAT'!$E$5*K14</f>
        <v>0</v>
      </c>
      <c r="M14" s="609" t="n">
        <f aca="false">'Custo Substituto'!H33</f>
        <v>5315.49</v>
      </c>
      <c r="N14" s="595" t="n">
        <f aca="false">'Ocorrências Mensais - FAT'!L13</f>
        <v>0</v>
      </c>
      <c r="O14" s="617" t="n">
        <f aca="false">M14/'Ocorrências Mensais - FAT'!$E$5*N14</f>
        <v>0</v>
      </c>
      <c r="P14" s="610" t="n">
        <f aca="false">'Recepcionista 220'!H45</f>
        <v>503.33</v>
      </c>
      <c r="Q14" s="600" t="n">
        <f aca="false">'Ocorrências Mensais - FAT'!M13</f>
        <v>0</v>
      </c>
      <c r="R14" s="598" t="n">
        <f aca="false">ROUND((P14/Dados!$G$45*Q14),2)</f>
        <v>0</v>
      </c>
      <c r="S14" s="618" t="n">
        <f aca="false">I14+L14+O14+R14</f>
        <v>0</v>
      </c>
      <c r="T14" s="619"/>
      <c r="U14" s="612"/>
      <c r="V14" s="613"/>
      <c r="W14" s="605" t="n">
        <f aca="false">ROUND((F14-S14+V14),2)</f>
        <v>6250.88</v>
      </c>
    </row>
    <row r="15" s="19" customFormat="true" ht="15.75" hidden="false" customHeight="false" outlineLevel="0" collapsed="false">
      <c r="A15" s="588"/>
      <c r="B15" s="589" t="str">
        <f aca="false">Dados!C10</f>
        <v>Auxiliar de Operador de Carga</v>
      </c>
      <c r="C15" s="590" t="n">
        <f aca="false">Dados!D10</f>
        <v>150</v>
      </c>
      <c r="D15" s="591" t="n">
        <f aca="false">Dados!B10</f>
        <v>1</v>
      </c>
      <c r="E15" s="614" t="n">
        <f aca="false">'Aux. Op. Carga'!F45</f>
        <v>3980.4</v>
      </c>
      <c r="F15" s="620" t="n">
        <f aca="false">ROUND((D15*E15),2)</f>
        <v>3980.4</v>
      </c>
      <c r="G15" s="616" t="n">
        <f aca="false">'Aux. Op. Carga'!I45</f>
        <v>97.52</v>
      </c>
      <c r="H15" s="607" t="n">
        <f aca="false">'Ocorrências Mensais - FAT'!F14+'Ocorrências Mensais - FAT'!H14</f>
        <v>0</v>
      </c>
      <c r="I15" s="608" t="n">
        <f aca="false">(ROUND((G15/Dados!$G$41*H15)-(G15/'Ocorrências Mensais - FAT'!$E$5*'Ocorrências Mensais - FAT'!G14),2))</f>
        <v>0</v>
      </c>
      <c r="J15" s="609" t="n">
        <f aca="false">'Aux. Op. Carga'!G45</f>
        <v>3980.4</v>
      </c>
      <c r="K15" s="607" t="n">
        <f aca="false">'Ocorrências Mensais - FAT'!K14</f>
        <v>0</v>
      </c>
      <c r="L15" s="608" t="n">
        <f aca="false">J15/'Ocorrências Mensais - FAT'!$E$5*K15</f>
        <v>0</v>
      </c>
      <c r="M15" s="609" t="n">
        <f aca="false">'Custo Substituto'!I33</f>
        <v>3350.45</v>
      </c>
      <c r="N15" s="595" t="n">
        <f aca="false">'Ocorrências Mensais - FAT'!L14</f>
        <v>0</v>
      </c>
      <c r="O15" s="617" t="n">
        <f aca="false">M15/'Ocorrências Mensais - FAT'!$E$5*N15</f>
        <v>0</v>
      </c>
      <c r="P15" s="610" t="n">
        <f aca="false">'Aux. Op. Carga'!H45</f>
        <v>302</v>
      </c>
      <c r="Q15" s="600" t="n">
        <f aca="false">'Ocorrências Mensais - FAT'!M14</f>
        <v>0</v>
      </c>
      <c r="R15" s="598" t="n">
        <f aca="false">ROUND((P15/Dados!$G$45*Q15),2)</f>
        <v>0</v>
      </c>
      <c r="S15" s="621" t="n">
        <f aca="false">I15+L15+O15+R15</f>
        <v>0</v>
      </c>
      <c r="T15" s="619"/>
      <c r="U15" s="612"/>
      <c r="V15" s="613"/>
      <c r="W15" s="605" t="n">
        <f aca="false">ROUND((F15-S15+V15),2)</f>
        <v>3980.4</v>
      </c>
    </row>
    <row r="16" s="19" customFormat="true" ht="15.75" hidden="false" customHeight="false" outlineLevel="0" collapsed="false">
      <c r="A16" s="588"/>
      <c r="B16" s="589" t="str">
        <f aca="false">Dados!C11</f>
        <v>Jardineiro</v>
      </c>
      <c r="C16" s="590" t="n">
        <f aca="false">Dados!D11</f>
        <v>150</v>
      </c>
      <c r="D16" s="591" t="n">
        <f aca="false">Dados!B11</f>
        <v>1</v>
      </c>
      <c r="E16" s="614" t="n">
        <f aca="false">Jardineiro!F45</f>
        <v>3855.77</v>
      </c>
      <c r="F16" s="620" t="n">
        <f aca="false">ROUND((D16*E16),2)</f>
        <v>3855.77</v>
      </c>
      <c r="G16" s="616" t="n">
        <f aca="false">Jardineiro!I45</f>
        <v>103.95</v>
      </c>
      <c r="H16" s="607" t="n">
        <f aca="false">'Ocorrências Mensais - FAT'!F15+'Ocorrências Mensais - FAT'!H15</f>
        <v>0</v>
      </c>
      <c r="I16" s="608" t="n">
        <f aca="false">(ROUND((G16/Dados!$G$41*H16)-(G16/'Ocorrências Mensais - FAT'!$E$5*'Ocorrências Mensais - FAT'!G15),2))</f>
        <v>0</v>
      </c>
      <c r="J16" s="609" t="n">
        <f aca="false">Jardineiro!G45</f>
        <v>3658.85</v>
      </c>
      <c r="K16" s="607" t="n">
        <f aca="false">'Ocorrências Mensais - FAT'!K15</f>
        <v>0</v>
      </c>
      <c r="L16" s="608" t="n">
        <f aca="false">J16/'Ocorrências Mensais - FAT'!$E$5*K16</f>
        <v>0</v>
      </c>
      <c r="M16" s="609" t="n">
        <f aca="false">'Custo Substituto'!P33</f>
        <v>3134.12</v>
      </c>
      <c r="N16" s="595" t="n">
        <f aca="false">'Ocorrências Mensais - FAT'!L15</f>
        <v>0</v>
      </c>
      <c r="O16" s="617" t="n">
        <f aca="false">M16/'Ocorrências Mensais - FAT'!$E$5*N16</f>
        <v>0</v>
      </c>
      <c r="P16" s="610" t="n">
        <f aca="false">Jardineiro!H45</f>
        <v>302</v>
      </c>
      <c r="Q16" s="600" t="n">
        <f aca="false">'Ocorrências Mensais - FAT'!M15</f>
        <v>0</v>
      </c>
      <c r="R16" s="598" t="n">
        <f aca="false">ROUND((P16/Dados!$G$45*Q16),2)</f>
        <v>0</v>
      </c>
      <c r="S16" s="621" t="n">
        <f aca="false">I16+L16+O16+R16</f>
        <v>0</v>
      </c>
      <c r="T16" s="619"/>
      <c r="U16" s="612"/>
      <c r="V16" s="613"/>
      <c r="W16" s="605" t="n">
        <f aca="false">ROUND((F16-S16+V16),2)</f>
        <v>3855.77</v>
      </c>
    </row>
    <row r="17" s="19" customFormat="true" ht="15.75" hidden="false" customHeight="false" outlineLevel="0" collapsed="false">
      <c r="A17" s="588"/>
      <c r="B17" s="589" t="str">
        <f aca="false">Dados!C12</f>
        <v>Limpador de Vidro</v>
      </c>
      <c r="C17" s="590" t="n">
        <f aca="false">Dados!D12</f>
        <v>220</v>
      </c>
      <c r="D17" s="591" t="n">
        <f aca="false">Dados!B12</f>
        <v>2</v>
      </c>
      <c r="E17" s="614" t="n">
        <f aca="false">'Limpador de Vidro'!F45</f>
        <v>5492.64</v>
      </c>
      <c r="F17" s="620" t="n">
        <f aca="false">ROUND((D17*E17),2)</f>
        <v>10985.28</v>
      </c>
      <c r="G17" s="616" t="n">
        <f aca="false">'Limpador de Vidro'!I45</f>
        <v>86.75</v>
      </c>
      <c r="H17" s="607" t="n">
        <f aca="false">'Ocorrências Mensais - FAT'!F16+'Ocorrências Mensais - FAT'!H16</f>
        <v>0</v>
      </c>
      <c r="I17" s="608" t="n">
        <f aca="false">(ROUND((G17/Dados!$G$41*H17)-(G17/'Ocorrências Mensais - FAT'!$E$5*'Ocorrências Mensais - FAT'!G16),2))</f>
        <v>0</v>
      </c>
      <c r="J17" s="609" t="n">
        <f aca="false">'Limpador de Vidro'!G45</f>
        <v>5423.46</v>
      </c>
      <c r="K17" s="607" t="n">
        <f aca="false">'Ocorrências Mensais - FAT'!K16</f>
        <v>0</v>
      </c>
      <c r="L17" s="608" t="n">
        <f aca="false">J17/'Ocorrências Mensais - FAT'!$E$5*K17</f>
        <v>0</v>
      </c>
      <c r="M17" s="609" t="n">
        <f aca="false">'Custo Substituto'!Q33</f>
        <v>4735.87</v>
      </c>
      <c r="N17" s="595" t="n">
        <f aca="false">'Ocorrências Mensais - FAT'!L16</f>
        <v>0</v>
      </c>
      <c r="O17" s="617" t="n">
        <f aca="false">M17/'Ocorrências Mensais - FAT'!$E$5*N17</f>
        <v>0</v>
      </c>
      <c r="P17" s="610" t="n">
        <f aca="false">'Limpador de Vidro'!H45</f>
        <v>503.33</v>
      </c>
      <c r="Q17" s="600" t="n">
        <f aca="false">'Ocorrências Mensais - FAT'!M16</f>
        <v>0</v>
      </c>
      <c r="R17" s="598" t="n">
        <f aca="false">ROUND((P17/Dados!$G$45*Q17),2)</f>
        <v>0</v>
      </c>
      <c r="S17" s="621" t="n">
        <f aca="false">I17+L17+O17+R17</f>
        <v>0</v>
      </c>
      <c r="T17" s="619"/>
      <c r="U17" s="612"/>
      <c r="V17" s="613"/>
      <c r="W17" s="605" t="n">
        <f aca="false">ROUND((F17-S17+V17),2)</f>
        <v>10985.28</v>
      </c>
    </row>
    <row r="18" s="19" customFormat="true" ht="15.75" hidden="false" customHeight="false" outlineLevel="0" collapsed="false">
      <c r="A18" s="588"/>
      <c r="B18" s="589" t="str">
        <f aca="false">Dados!C13</f>
        <v>Servente de Limpeza</v>
      </c>
      <c r="C18" s="590" t="n">
        <f aca="false">Dados!D13</f>
        <v>220</v>
      </c>
      <c r="D18" s="591" t="n">
        <f aca="false">Dados!B13</f>
        <v>4</v>
      </c>
      <c r="E18" s="614" t="n">
        <f aca="false">'Servente 220'!$F$45</f>
        <v>5820.14</v>
      </c>
      <c r="F18" s="620" t="n">
        <f aca="false">ROUND((D18*E18),2)</f>
        <v>23280.56</v>
      </c>
      <c r="G18" s="616" t="n">
        <f aca="false">'Servente 220'!$I$45</f>
        <v>94.93</v>
      </c>
      <c r="H18" s="607" t="n">
        <f aca="false">'Ocorrências Mensais - FAT'!F17+'Ocorrências Mensais - FAT'!H17</f>
        <v>0</v>
      </c>
      <c r="I18" s="608" t="n">
        <f aca="false">(ROUND((G18/Dados!$G$41*H18)-(G18/'Ocorrências Mensais - FAT'!$E$5*'Ocorrências Mensais - FAT'!G17),2))</f>
        <v>0</v>
      </c>
      <c r="J18" s="609" t="n">
        <f aca="false">'Servente 220'!$G$45</f>
        <v>4168.59</v>
      </c>
      <c r="K18" s="607" t="n">
        <f aca="false">'Ocorrências Mensais - FAT'!K17</f>
        <v>0</v>
      </c>
      <c r="L18" s="608" t="n">
        <f aca="false">J18/'Ocorrências Mensais - FAT'!$E$5*K18</f>
        <v>0</v>
      </c>
      <c r="M18" s="609" t="n">
        <f aca="false">'Custo Substituto'!R33</f>
        <v>3594.57</v>
      </c>
      <c r="N18" s="595" t="n">
        <f aca="false">'Ocorrências Mensais - FAT'!L17</f>
        <v>0</v>
      </c>
      <c r="O18" s="617" t="n">
        <f aca="false">M18/'Ocorrências Mensais - FAT'!$E$5*N18</f>
        <v>0</v>
      </c>
      <c r="P18" s="610" t="n">
        <f aca="false">'Servente 220'!$H$45</f>
        <v>503.33</v>
      </c>
      <c r="Q18" s="600" t="n">
        <f aca="false">'Ocorrências Mensais - FAT'!M17</f>
        <v>0</v>
      </c>
      <c r="R18" s="598" t="n">
        <f aca="false">ROUND((P18/Dados!$G$45*Q18),2)</f>
        <v>0</v>
      </c>
      <c r="S18" s="621" t="n">
        <f aca="false">I18+L18+O18+R18</f>
        <v>0</v>
      </c>
      <c r="T18" s="622" t="n">
        <f aca="false">'Serv Ins 150'!$J$46</f>
        <v>39.5</v>
      </c>
      <c r="U18" s="623" t="n">
        <f aca="false">'Ocorrências Mensais - FAT'!N18</f>
        <v>0</v>
      </c>
      <c r="V18" s="624" t="n">
        <f aca="false">T18*U18</f>
        <v>0</v>
      </c>
      <c r="W18" s="605" t="n">
        <f aca="false">ROUND((F18-S18+V18),2)</f>
        <v>23280.56</v>
      </c>
    </row>
    <row r="19" s="19" customFormat="true" ht="15.75" hidden="false" customHeight="false" outlineLevel="0" collapsed="false">
      <c r="A19" s="588"/>
      <c r="B19" s="589" t="str">
        <f aca="false">Dados!C14</f>
        <v>Servente de Limpeza (40%)</v>
      </c>
      <c r="C19" s="590" t="n">
        <f aca="false">Dados!D14</f>
        <v>150</v>
      </c>
      <c r="D19" s="591" t="n">
        <f aca="false">Dados!B14</f>
        <v>2</v>
      </c>
      <c r="E19" s="614" t="n">
        <f aca="false">'Serv Ins 150'!$F$45</f>
        <v>5748.8</v>
      </c>
      <c r="F19" s="620" t="n">
        <f aca="false">ROUND((D19*E19),2)</f>
        <v>11497.6</v>
      </c>
      <c r="G19" s="616" t="n">
        <f aca="false">'Serv Ins 150'!$I$45</f>
        <v>130.52</v>
      </c>
      <c r="H19" s="607" t="n">
        <f aca="false">'Ocorrências Mensais - FAT'!F18+'Ocorrências Mensais - FAT'!H18</f>
        <v>0</v>
      </c>
      <c r="I19" s="608" t="n">
        <f aca="false">(ROUND((G19/Dados!$G$41*H19)-(G19/'Ocorrências Mensais - FAT'!$E$5*'Ocorrências Mensais - FAT'!G18),2))</f>
        <v>0</v>
      </c>
      <c r="J19" s="609" t="n">
        <f aca="false">'Serv Ins 150'!$G$45</f>
        <v>4097.24</v>
      </c>
      <c r="K19" s="607" t="n">
        <f aca="false">'Ocorrências Mensais - FAT'!K18</f>
        <v>0</v>
      </c>
      <c r="L19" s="608" t="n">
        <f aca="false">J19/'Ocorrências Mensais - FAT'!$E$5*K19</f>
        <v>0</v>
      </c>
      <c r="M19" s="609" t="n">
        <f aca="false">'Custo Substituto'!S33</f>
        <v>3502.87</v>
      </c>
      <c r="N19" s="595" t="n">
        <f aca="false">'Ocorrências Mensais - FAT'!L18</f>
        <v>0</v>
      </c>
      <c r="O19" s="617" t="n">
        <f aca="false">M19/'Ocorrências Mensais - FAT'!$E$5*N19</f>
        <v>0</v>
      </c>
      <c r="P19" s="610" t="n">
        <f aca="false">'Serv Ins 150'!$H$45</f>
        <v>302</v>
      </c>
      <c r="Q19" s="600" t="n">
        <f aca="false">'Ocorrências Mensais - FAT'!M18</f>
        <v>0</v>
      </c>
      <c r="R19" s="598" t="n">
        <f aca="false">ROUND((P19/Dados!$G$45*Q19),2)</f>
        <v>0</v>
      </c>
      <c r="S19" s="621" t="n">
        <f aca="false">I19+L19+O19+R19</f>
        <v>0</v>
      </c>
      <c r="T19" s="619"/>
      <c r="U19" s="612"/>
      <c r="V19" s="613"/>
      <c r="W19" s="605" t="n">
        <f aca="false">ROUND((F19-S19+V19),2)</f>
        <v>11497.6</v>
      </c>
    </row>
    <row r="20" s="19" customFormat="true" ht="15.75" hidden="false" customHeight="false" outlineLevel="0" collapsed="false">
      <c r="A20" s="588"/>
      <c r="B20" s="589" t="str">
        <f aca="false">Dados!C15</f>
        <v>Zelador ac. Lavador de Carro</v>
      </c>
      <c r="C20" s="590" t="n">
        <f aca="false">Dados!D15</f>
        <v>220</v>
      </c>
      <c r="D20" s="591" t="n">
        <f aca="false">Dados!B15</f>
        <v>1</v>
      </c>
      <c r="E20" s="614" t="n">
        <f aca="false">'Zelador ac. lavador carro'!$F$45</f>
        <v>4641.83</v>
      </c>
      <c r="F20" s="620" t="n">
        <f aca="false">ROUND((D20*E20),2)</f>
        <v>4641.83</v>
      </c>
      <c r="G20" s="616" t="n">
        <f aca="false">'Zelador ac. lavador carro'!$I$45</f>
        <v>84.58</v>
      </c>
      <c r="H20" s="607" t="n">
        <f aca="false">'Ocorrências Mensais - FAT'!F19+'Ocorrências Mensais - FAT'!H19</f>
        <v>0</v>
      </c>
      <c r="I20" s="608" t="n">
        <f aca="false">(ROUND((G20/Dados!$G$41*H20)-(G20/'Ocorrências Mensais - FAT'!$E$5*'Ocorrências Mensais - FAT'!G19),2))</f>
        <v>0</v>
      </c>
      <c r="J20" s="609" t="n">
        <f aca="false">'Zelador ac. lavador carro'!$G$45</f>
        <v>4537.48</v>
      </c>
      <c r="K20" s="607" t="n">
        <f aca="false">'Ocorrências Mensais - FAT'!K19</f>
        <v>0</v>
      </c>
      <c r="L20" s="608" t="n">
        <f aca="false">J20/'Ocorrências Mensais - FAT'!$E$5*K20</f>
        <v>0</v>
      </c>
      <c r="M20" s="609" t="n">
        <f aca="false">'Custo Substituto'!T33</f>
        <v>3948.33</v>
      </c>
      <c r="N20" s="595" t="n">
        <f aca="false">'Ocorrências Mensais - FAT'!L19</f>
        <v>0</v>
      </c>
      <c r="O20" s="617" t="n">
        <f aca="false">M20/'Ocorrências Mensais - FAT'!$E$5*N20</f>
        <v>0</v>
      </c>
      <c r="P20" s="610" t="n">
        <f aca="false">'Zelador ac. lavador carro'!$H$45</f>
        <v>503.33</v>
      </c>
      <c r="Q20" s="600" t="n">
        <f aca="false">'Ocorrências Mensais - FAT'!M19</f>
        <v>0</v>
      </c>
      <c r="R20" s="598" t="n">
        <f aca="false">ROUND((P20/Dados!$G$45*Q20),2)</f>
        <v>0</v>
      </c>
      <c r="S20" s="621" t="n">
        <f aca="false">I20+L20+O20+R20</f>
        <v>0</v>
      </c>
      <c r="T20" s="619"/>
      <c r="U20" s="612"/>
      <c r="V20" s="613"/>
      <c r="W20" s="605" t="n">
        <f aca="false">ROUND((F20-S20+V20),2)</f>
        <v>4641.83</v>
      </c>
    </row>
    <row r="21" s="19" customFormat="true" ht="15.75" hidden="false" customHeight="false" outlineLevel="0" collapsed="false">
      <c r="A21" s="588"/>
      <c r="B21" s="589" t="str">
        <f aca="false">Dados!C16</f>
        <v>Encarregado Geral</v>
      </c>
      <c r="C21" s="590" t="n">
        <f aca="false">Dados!D16</f>
        <v>220</v>
      </c>
      <c r="D21" s="591" t="n">
        <f aca="false">Dados!B16</f>
        <v>1</v>
      </c>
      <c r="E21" s="614" t="n">
        <f aca="false">'Encarregado Geral'!F45</f>
        <v>5924.82</v>
      </c>
      <c r="F21" s="620" t="n">
        <f aca="false">ROUND((D21*E21),2)</f>
        <v>5924.82</v>
      </c>
      <c r="G21" s="616" t="n">
        <f aca="false">'Encarregado Geral'!I45</f>
        <v>32.9</v>
      </c>
      <c r="H21" s="607" t="n">
        <f aca="false">'Ocorrências Mensais - FAT'!F20+'Ocorrências Mensais - FAT'!H20</f>
        <v>0</v>
      </c>
      <c r="I21" s="608" t="n">
        <f aca="false">(ROUND((G21/Dados!$G$41*H21)-(G21/'Ocorrências Mensais - FAT'!$E$5*'Ocorrências Mensais - FAT'!G20),2))</f>
        <v>0</v>
      </c>
      <c r="J21" s="609" t="n">
        <f aca="false">'Encarregado Geral'!G45</f>
        <v>5924.82</v>
      </c>
      <c r="K21" s="607" t="n">
        <f aca="false">'Ocorrências Mensais - FAT'!K20</f>
        <v>0</v>
      </c>
      <c r="L21" s="608" t="n">
        <f aca="false">J21/'Ocorrências Mensais - FAT'!$E$5*K21</f>
        <v>0</v>
      </c>
      <c r="M21" s="609" t="n">
        <f aca="false">'Custo Substituto'!U33</f>
        <v>5144.55</v>
      </c>
      <c r="N21" s="595" t="n">
        <f aca="false">'Ocorrências Mensais - FAT'!L20</f>
        <v>0</v>
      </c>
      <c r="O21" s="617" t="n">
        <f aca="false">M21/'Ocorrências Mensais - FAT'!$E$5*N21</f>
        <v>0</v>
      </c>
      <c r="P21" s="610" t="n">
        <f aca="false">'Encarregado Geral'!H45</f>
        <v>503.33</v>
      </c>
      <c r="Q21" s="600" t="n">
        <f aca="false">'Ocorrências Mensais - FAT'!M20</f>
        <v>0</v>
      </c>
      <c r="R21" s="598" t="n">
        <f aca="false">ROUND((P21/Dados!$G$45*Q21),2)</f>
        <v>0</v>
      </c>
      <c r="S21" s="621" t="n">
        <f aca="false">I21+L21+O21+R21</f>
        <v>0</v>
      </c>
      <c r="T21" s="619"/>
      <c r="U21" s="612"/>
      <c r="V21" s="613"/>
      <c r="W21" s="605" t="n">
        <f aca="false">ROUND((F21-S21+V21),2)</f>
        <v>5924.82</v>
      </c>
    </row>
    <row r="22" s="19" customFormat="true" ht="15.75" hidden="false" customHeight="false" outlineLevel="0" collapsed="false">
      <c r="A22" s="588"/>
      <c r="B22" s="625" t="str">
        <f aca="false">Dados!C17</f>
        <v>Garçom</v>
      </c>
      <c r="C22" s="626" t="n">
        <f aca="false">Dados!D17</f>
        <v>220</v>
      </c>
      <c r="D22" s="627" t="n">
        <f aca="false">Dados!B17</f>
        <v>1</v>
      </c>
      <c r="E22" s="628" t="n">
        <f aca="false">'Garçom 220'!F45</f>
        <v>4036.19</v>
      </c>
      <c r="F22" s="629" t="n">
        <f aca="false">ROUND((D22*E22),2)</f>
        <v>4036.19</v>
      </c>
      <c r="G22" s="630" t="n">
        <f aca="false">'Garçom 220'!I45</f>
        <v>103.88</v>
      </c>
      <c r="H22" s="631" t="n">
        <f aca="false">'Ocorrências Mensais - FAT'!F21+'Ocorrências Mensais - FAT'!H21</f>
        <v>0</v>
      </c>
      <c r="I22" s="632" t="n">
        <f aca="false">(ROUND((G22/Dados!$G$41*H22)-(G22/'Ocorrências Mensais - FAT'!$E$5*'Ocorrências Mensais - FAT'!G21),2))</f>
        <v>0</v>
      </c>
      <c r="J22" s="630" t="n">
        <f aca="false">'Garçom 220'!G45</f>
        <v>4036.19</v>
      </c>
      <c r="K22" s="631" t="n">
        <f aca="false">'Ocorrências Mensais - FAT'!K21</f>
        <v>0</v>
      </c>
      <c r="L22" s="632" t="n">
        <f aca="false">J22/'Ocorrências Mensais - FAT'!$E$5*K22</f>
        <v>0</v>
      </c>
      <c r="M22" s="630" t="n">
        <f aca="false">'Custo Substituto'!J33</f>
        <v>3429.84</v>
      </c>
      <c r="N22" s="631" t="n">
        <f aca="false">'Ocorrências Mensais - FAT'!L21</f>
        <v>0</v>
      </c>
      <c r="O22" s="632" t="n">
        <f aca="false">M22/'Ocorrências Mensais - FAT'!$E$5*N22</f>
        <v>0</v>
      </c>
      <c r="P22" s="633" t="n">
        <f aca="false">'Garçom 220'!H45</f>
        <v>503.33</v>
      </c>
      <c r="Q22" s="634" t="n">
        <f aca="false">'Ocorrências Mensais - FAT'!M21</f>
        <v>0</v>
      </c>
      <c r="R22" s="635" t="n">
        <f aca="false">ROUND((P22/Dados!$G$45*Q22),2)</f>
        <v>0</v>
      </c>
      <c r="S22" s="636" t="n">
        <f aca="false">I22+L22+O22+R22</f>
        <v>0</v>
      </c>
      <c r="T22" s="637"/>
      <c r="U22" s="638"/>
      <c r="V22" s="639"/>
      <c r="W22" s="640" t="n">
        <f aca="false">ROUND((F22-S22+V22),2)</f>
        <v>4036.19</v>
      </c>
    </row>
    <row r="23" s="71" customFormat="true" ht="21.75" hidden="false" customHeight="true" outlineLevel="0" collapsed="false">
      <c r="A23" s="641" t="s">
        <v>691</v>
      </c>
      <c r="B23" s="641"/>
      <c r="C23" s="641"/>
      <c r="D23" s="642" t="n">
        <f aca="false">SUM(D12:D22)</f>
        <v>28</v>
      </c>
      <c r="E23" s="643"/>
      <c r="F23" s="644" t="n">
        <f aca="false">SUM(F12:F22)</f>
        <v>123337.28</v>
      </c>
      <c r="G23" s="645"/>
      <c r="H23" s="643" t="n">
        <f aca="false">SUM(H12:H22)</f>
        <v>0</v>
      </c>
      <c r="I23" s="646" t="n">
        <f aca="false">SUM(I12:I22)</f>
        <v>0</v>
      </c>
      <c r="J23" s="647" t="n">
        <f aca="false">SUM(J12:J22)</f>
        <v>49824.42</v>
      </c>
      <c r="K23" s="643" t="n">
        <f aca="false">SUM(K12:K22)</f>
        <v>0</v>
      </c>
      <c r="L23" s="646" t="n">
        <f aca="false">SUM(L12:L22)</f>
        <v>0</v>
      </c>
      <c r="M23" s="648" t="n">
        <f aca="false">SUM(M12:M22)</f>
        <v>42685.61</v>
      </c>
      <c r="N23" s="643" t="n">
        <f aca="false">SUM(N12:N22)</f>
        <v>0</v>
      </c>
      <c r="O23" s="644" t="n">
        <f aca="false">SUM(O12:O22)</f>
        <v>0</v>
      </c>
      <c r="P23" s="645"/>
      <c r="Q23" s="643" t="n">
        <f aca="false">SUM(Q12:Q22)</f>
        <v>0</v>
      </c>
      <c r="R23" s="644" t="n">
        <f aca="false">SUM(R12:R22)</f>
        <v>0</v>
      </c>
      <c r="S23" s="649" t="n">
        <f aca="false">SUM(S12:S22)</f>
        <v>0</v>
      </c>
      <c r="T23" s="647"/>
      <c r="U23" s="643" t="n">
        <f aca="false">SUM(U12:U22)</f>
        <v>0</v>
      </c>
      <c r="V23" s="646" t="n">
        <f aca="false">SUM(V12:V22)</f>
        <v>0</v>
      </c>
      <c r="W23" s="650" t="n">
        <f aca="false">SUM(W12:W22)</f>
        <v>123337.28</v>
      </c>
      <c r="X23" s="651" t="s">
        <v>692</v>
      </c>
      <c r="Y23" s="652"/>
    </row>
    <row r="24" s="65" customFormat="true" ht="18" hidden="false" customHeight="true" outlineLevel="0" collapsed="false">
      <c r="A24" s="653" t="s">
        <v>693</v>
      </c>
      <c r="B24" s="653"/>
      <c r="C24" s="653"/>
      <c r="D24" s="653"/>
      <c r="E24" s="653"/>
      <c r="F24" s="653"/>
      <c r="G24" s="653"/>
      <c r="H24" s="653"/>
      <c r="I24" s="653"/>
      <c r="J24" s="653"/>
      <c r="K24" s="653"/>
      <c r="L24" s="653"/>
      <c r="M24" s="653"/>
      <c r="N24" s="653"/>
      <c r="O24" s="653"/>
      <c r="P24" s="653"/>
      <c r="Q24" s="653"/>
      <c r="R24" s="653"/>
      <c r="S24" s="653"/>
      <c r="T24" s="653"/>
      <c r="U24" s="653"/>
      <c r="V24" s="653"/>
      <c r="W24" s="654" t="n">
        <f aca="false">Mat!G64+Mat!G73+Mat!G85+Mat!G102+Mat!G112</f>
        <v>8390.56051666667</v>
      </c>
    </row>
    <row r="25" s="65" customFormat="true" ht="20.25" hidden="false" customHeight="true" outlineLevel="0" collapsed="false">
      <c r="A25" s="653" t="s">
        <v>694</v>
      </c>
      <c r="B25" s="653"/>
      <c r="C25" s="653"/>
      <c r="D25" s="653"/>
      <c r="E25" s="653"/>
      <c r="F25" s="653"/>
      <c r="G25" s="653"/>
      <c r="H25" s="653"/>
      <c r="I25" s="653"/>
      <c r="J25" s="653"/>
      <c r="K25" s="653"/>
      <c r="L25" s="653"/>
      <c r="M25" s="653"/>
      <c r="N25" s="653"/>
      <c r="O25" s="653"/>
      <c r="P25" s="653"/>
      <c r="Q25" s="653"/>
      <c r="R25" s="653"/>
      <c r="S25" s="653"/>
      <c r="T25" s="653"/>
      <c r="U25" s="653"/>
      <c r="V25" s="653"/>
      <c r="W25" s="655" t="n">
        <f aca="false">ROUND((W23*12),)</f>
        <v>1480047</v>
      </c>
    </row>
    <row r="26" s="657" customFormat="true" ht="24" hidden="false" customHeight="true" outlineLevel="0" collapsed="false">
      <c r="A26" s="656" t="s">
        <v>52</v>
      </c>
      <c r="B26" s="656"/>
      <c r="C26" s="656"/>
      <c r="D26" s="656"/>
      <c r="E26" s="656"/>
      <c r="F26" s="656"/>
      <c r="G26" s="656"/>
      <c r="H26" s="656"/>
      <c r="I26" s="656"/>
      <c r="J26" s="656"/>
      <c r="K26" s="656"/>
      <c r="L26" s="656"/>
      <c r="M26" s="656"/>
      <c r="N26" s="656"/>
      <c r="O26" s="656"/>
      <c r="P26" s="656"/>
      <c r="Q26" s="656"/>
      <c r="R26" s="656"/>
      <c r="S26" s="656"/>
      <c r="T26" s="656"/>
      <c r="U26" s="656"/>
      <c r="V26" s="656"/>
      <c r="W26" s="656"/>
    </row>
    <row r="27" s="65" customFormat="true" ht="26.25" hidden="false" customHeight="true" outlineLevel="0" collapsed="false">
      <c r="A27" s="658" t="str">
        <f aca="false">CONCATENATE("1. Nas FÉRIAS SEM SUBSTITUIÇÃO DA SERVENTE INSALUBRE, quando o trabalho de limpeza de banheiros públicos ou de grande circulação for efetuado por outra servente do quadro, deverá ser acrescentado o valor de R$",T18," por dia em que este fato ocorrer.")</f>
        <v>1. Nas FÉRIAS SEM SUBSTITUIÇÃO DA SERVENTE INSALUBRE, quando o trabalho de limpeza de banheiros públicos ou de grande circulação for efetuado por outra servente do quadro, deverá ser acrescentado o valor de R$39.5 por dia em que este fato ocorrer.</v>
      </c>
      <c r="B27" s="658"/>
      <c r="C27" s="658"/>
      <c r="D27" s="658"/>
      <c r="E27" s="658"/>
      <c r="F27" s="658"/>
      <c r="G27" s="658"/>
      <c r="H27" s="658"/>
      <c r="I27" s="658"/>
      <c r="J27" s="658"/>
      <c r="K27" s="658"/>
      <c r="L27" s="658"/>
      <c r="M27" s="658"/>
      <c r="N27" s="658"/>
      <c r="O27" s="658"/>
      <c r="P27" s="658"/>
      <c r="Q27" s="658"/>
      <c r="R27" s="658"/>
      <c r="S27" s="658"/>
      <c r="T27" s="658"/>
      <c r="U27" s="658"/>
      <c r="V27" s="658"/>
      <c r="W27" s="658"/>
    </row>
    <row r="28" s="660" customFormat="true" ht="18.75" hidden="false" customHeight="true" outlineLevel="0" collapsed="false">
      <c r="A28" s="659"/>
      <c r="B28" s="659"/>
      <c r="C28" s="659"/>
      <c r="D28" s="659"/>
      <c r="E28" s="659"/>
      <c r="F28" s="659"/>
      <c r="G28" s="659"/>
      <c r="H28" s="659"/>
      <c r="I28" s="659"/>
      <c r="J28" s="659"/>
      <c r="K28" s="659"/>
      <c r="L28" s="659"/>
      <c r="M28" s="659"/>
      <c r="N28" s="659"/>
      <c r="O28" s="659"/>
      <c r="P28" s="659"/>
      <c r="Q28" s="659"/>
      <c r="R28" s="659"/>
      <c r="S28" s="659"/>
      <c r="T28" s="659"/>
      <c r="U28" s="659"/>
      <c r="V28" s="659"/>
      <c r="W28" s="659"/>
    </row>
    <row r="29" customFormat="false" ht="15" hidden="false" customHeight="false" outlineLevel="0" collapsed="false">
      <c r="A29" s="661"/>
      <c r="B29" s="661"/>
      <c r="C29" s="661"/>
      <c r="D29" s="661"/>
      <c r="E29" s="661"/>
      <c r="F29" s="661"/>
      <c r="G29" s="661"/>
      <c r="H29" s="661"/>
      <c r="I29" s="661"/>
      <c r="J29" s="661"/>
      <c r="K29" s="661"/>
      <c r="L29" s="661"/>
      <c r="M29" s="661"/>
      <c r="N29" s="661"/>
      <c r="O29" s="661"/>
      <c r="P29" s="661"/>
      <c r="Q29" s="661"/>
      <c r="R29" s="661"/>
      <c r="S29" s="661"/>
      <c r="T29" s="661"/>
      <c r="U29" s="661"/>
      <c r="V29" s="661"/>
      <c r="W29" s="661"/>
    </row>
    <row r="30" customFormat="false" ht="15" hidden="false" customHeight="false" outlineLevel="0" collapsed="false">
      <c r="A30" s="661"/>
      <c r="B30" s="661"/>
      <c r="C30" s="661"/>
      <c r="D30" s="661"/>
      <c r="E30" s="661"/>
      <c r="F30" s="661"/>
      <c r="G30" s="661"/>
      <c r="H30" s="661"/>
      <c r="I30" s="661"/>
      <c r="J30" s="661"/>
      <c r="K30" s="661"/>
      <c r="L30" s="661"/>
      <c r="M30" s="661"/>
      <c r="N30" s="661"/>
      <c r="O30" s="661"/>
      <c r="P30" s="661"/>
      <c r="Q30" s="661"/>
      <c r="R30" s="661"/>
      <c r="S30" s="661"/>
      <c r="T30" s="661"/>
      <c r="U30" s="661"/>
      <c r="V30" s="661"/>
      <c r="W30" s="661"/>
    </row>
  </sheetData>
  <sheetProtection sheet="true" password="c494" objects="true" scenarios="true"/>
  <mergeCells count="30">
    <mergeCell ref="A4:W4"/>
    <mergeCell ref="A5:W5"/>
    <mergeCell ref="A6:W6"/>
    <mergeCell ref="S7:W7"/>
    <mergeCell ref="A8:A11"/>
    <mergeCell ref="B8:C10"/>
    <mergeCell ref="D8:V8"/>
    <mergeCell ref="W8:W11"/>
    <mergeCell ref="D9:F9"/>
    <mergeCell ref="G9:I9"/>
    <mergeCell ref="J9:O9"/>
    <mergeCell ref="P9:R9"/>
    <mergeCell ref="T9:V9"/>
    <mergeCell ref="D10:F10"/>
    <mergeCell ref="G10:G11"/>
    <mergeCell ref="H10:I10"/>
    <mergeCell ref="J10:L10"/>
    <mergeCell ref="M10:O10"/>
    <mergeCell ref="P10:R10"/>
    <mergeCell ref="S10:S11"/>
    <mergeCell ref="T10:V10"/>
    <mergeCell ref="A12:A22"/>
    <mergeCell ref="A23:C23"/>
    <mergeCell ref="A24:V24"/>
    <mergeCell ref="A25:V25"/>
    <mergeCell ref="A26:W26"/>
    <mergeCell ref="A27:W27"/>
    <mergeCell ref="A28:W28"/>
    <mergeCell ref="A29:W29"/>
    <mergeCell ref="A30:W30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43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23" man="true" max="65535" min="0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Fábio Lucas Gouveia dos Santos</dc:creator>
  <dc:description/>
  <dc:language>pt-BR</dc:language>
  <cp:lastModifiedBy>mg11182ps</cp:lastModifiedBy>
  <dcterms:modified xsi:type="dcterms:W3CDTF">2023-10-10T14:56:58Z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