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4"/>
  <workbookPr defaultThemeVersion="124226"/>
  <xr:revisionPtr revIDLastSave="0" documentId="8_{ABCD566A-8E67-43CE-9C1E-4F0E676BE419}" xr6:coauthVersionLast="47" xr6:coauthVersionMax="47" xr10:uidLastSave="{00000000-0000-0000-0000-000000000000}"/>
  <bookViews>
    <workbookView xWindow="-120" yWindow="-120" windowWidth="21840" windowHeight="13140" tabRatio="500" firstSheet="12" activeTab="12" xr2:uid="{00000000-000D-0000-FFFF-FFFF00000000}"/>
  </bookViews>
  <sheets>
    <sheet name="Ocorrências Mensais - FAT" sheetId="1" state="hidden" r:id="rId1"/>
    <sheet name="INSTRUÇÕES" sheetId="2" r:id="rId2"/>
    <sheet name="Dados" sheetId="3" r:id="rId3"/>
    <sheet name="Encargos" sheetId="4" r:id="rId4"/>
    <sheet name="Materiais" sheetId="5" r:id="rId5"/>
    <sheet name="Equipamentos" sheetId="6" r:id="rId6"/>
    <sheet name="Uniformes" sheetId="7" r:id="rId7"/>
    <sheet name="Custo Substituto" sheetId="8" r:id="rId8"/>
    <sheet name="Zelador" sheetId="11" r:id="rId9"/>
    <sheet name="Aux. Administrativo 150" sheetId="13" r:id="rId10"/>
    <sheet name="Serv Insalubre 40%" sheetId="19" r:id="rId11"/>
    <sheet name="Servente 200" sheetId="20" r:id="rId12"/>
    <sheet name="Resumo" sheetId="9" r:id="rId13"/>
    <sheet name="IPCA" sheetId="21" state="hidden" r:id="rId14"/>
  </sheets>
  <definedNames>
    <definedName name="_xlnm.Print_Area" localSheetId="9">'Aux. Administrativo 150'!$A$1:$J$46</definedName>
    <definedName name="_xlnm.Print_Area" localSheetId="2">Dados!$A$1:$R$55</definedName>
    <definedName name="_xlnm.Print_Area" localSheetId="3">Encargos!$A$1:$C$59</definedName>
    <definedName name="_xlnm.Print_Area" localSheetId="4">Materiais!$A$1:$L$40</definedName>
    <definedName name="_xlnm.Print_Area" localSheetId="12">Resumo!$A$1:$W$21</definedName>
    <definedName name="_xlnm.Print_Area" localSheetId="10">'Serv Insalubre 40%'!$A$1:$J$46</definedName>
    <definedName name="_xlnm.Print_Area" localSheetId="11">'Servente 200'!$A$1:$J$46</definedName>
    <definedName name="_xlnm.Print_Area" localSheetId="6">Uniformes!$A$1:$H$29</definedName>
    <definedName name="_xlnm.Print_Area" localSheetId="8">Zelador!$A$1:$J$46</definedName>
    <definedName name="BS">NA()</definedName>
    <definedName name="BT">NA()</definedName>
    <definedName name="CIDADE">NA()</definedName>
    <definedName name="CIDADES">NA()</definedName>
    <definedName name="CPMF">NA()</definedName>
    <definedName name="d">NA()</definedName>
    <definedName name="ENCARGOS">NA()</definedName>
    <definedName name="Excel_BuiltIn_Print_Area_1_1">"$#REF!.$A$2:$C$99"</definedName>
    <definedName name="Excel_BuiltIn_Print_Area_6_1">NA()</definedName>
    <definedName name="Excel_BuiltIn_Print_Area_7_1">NA()</definedName>
    <definedName name="Excel_BuiltIn_Print_Area_8_1">NA()</definedName>
    <definedName name="Excel_BuiltIn_Print_Area_9_1">NA()</definedName>
    <definedName name="ISS">NA()</definedName>
    <definedName name="Jornada">NA()</definedName>
    <definedName name="TERRIT">NA()</definedName>
    <definedName name="Tipo_de_Joranda_de_Trabalho">NA()</definedName>
    <definedName name="TP_SERV">NA()</definedName>
    <definedName name="TP_SERVPERC">NA()</definedName>
    <definedName name="VRSELEC">NA()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6" i="3" l="1"/>
  <c r="A20" i="7"/>
  <c r="A34" i="7"/>
  <c r="F34" i="7" s="1"/>
  <c r="A13" i="7"/>
  <c r="E23" i="19"/>
  <c r="F23" i="19" s="1"/>
  <c r="E23" i="13"/>
  <c r="F23" i="13" s="1"/>
  <c r="F33" i="7" l="1"/>
  <c r="F32" i="7"/>
  <c r="N27" i="1" l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R14" i="1"/>
  <c r="R11" i="1"/>
  <c r="O6" i="3"/>
  <c r="A27" i="7"/>
  <c r="F11" i="7"/>
  <c r="H11" i="7" s="1"/>
  <c r="AG22" i="21"/>
  <c r="AH22" i="21" s="1"/>
  <c r="AE22" i="21"/>
  <c r="Z22" i="21"/>
  <c r="AA22" i="21" s="1"/>
  <c r="X22" i="21"/>
  <c r="S22" i="21"/>
  <c r="T22" i="21" s="1"/>
  <c r="Q22" i="21"/>
  <c r="L22" i="21"/>
  <c r="M22" i="21" s="1"/>
  <c r="J22" i="21"/>
  <c r="I22" i="21"/>
  <c r="P22" i="21" s="1"/>
  <c r="W22" i="21" s="1"/>
  <c r="AD22" i="21" s="1"/>
  <c r="F22" i="21"/>
  <c r="AH21" i="21"/>
  <c r="AE21" i="21"/>
  <c r="AA21" i="21"/>
  <c r="X21" i="21"/>
  <c r="T21" i="21"/>
  <c r="Q21" i="21"/>
  <c r="M21" i="21"/>
  <c r="J21" i="21"/>
  <c r="I21" i="21"/>
  <c r="P21" i="21" s="1"/>
  <c r="W21" i="21" s="1"/>
  <c r="AD21" i="21" s="1"/>
  <c r="F21" i="21"/>
  <c r="AH20" i="21"/>
  <c r="AE20" i="21"/>
  <c r="AA20" i="21"/>
  <c r="X20" i="21"/>
  <c r="T20" i="21"/>
  <c r="Q20" i="21"/>
  <c r="M20" i="21"/>
  <c r="J20" i="21"/>
  <c r="I20" i="21"/>
  <c r="P20" i="21" s="1"/>
  <c r="W20" i="21" s="1"/>
  <c r="AD20" i="21" s="1"/>
  <c r="F20" i="21"/>
  <c r="AH19" i="21"/>
  <c r="AE19" i="21"/>
  <c r="AA19" i="21"/>
  <c r="X19" i="21"/>
  <c r="T19" i="21"/>
  <c r="Q19" i="21"/>
  <c r="M19" i="21"/>
  <c r="J19" i="21"/>
  <c r="I19" i="21"/>
  <c r="P19" i="21" s="1"/>
  <c r="W19" i="21" s="1"/>
  <c r="AD19" i="21" s="1"/>
  <c r="F19" i="21"/>
  <c r="AH18" i="21"/>
  <c r="AE18" i="21"/>
  <c r="AA18" i="21"/>
  <c r="X18" i="21"/>
  <c r="T18" i="21"/>
  <c r="Q18" i="21"/>
  <c r="M18" i="21"/>
  <c r="J18" i="21"/>
  <c r="I18" i="21"/>
  <c r="P18" i="21" s="1"/>
  <c r="W18" i="21" s="1"/>
  <c r="AD18" i="21" s="1"/>
  <c r="F18" i="21"/>
  <c r="AH17" i="21"/>
  <c r="AE17" i="21"/>
  <c r="AA17" i="21"/>
  <c r="X17" i="21"/>
  <c r="T17" i="21"/>
  <c r="Q17" i="21"/>
  <c r="M17" i="21"/>
  <c r="J17" i="21"/>
  <c r="I17" i="21"/>
  <c r="P17" i="21" s="1"/>
  <c r="W17" i="21" s="1"/>
  <c r="AD17" i="21" s="1"/>
  <c r="F17" i="21"/>
  <c r="AH16" i="21"/>
  <c r="AE16" i="21"/>
  <c r="AA16" i="21"/>
  <c r="X16" i="21"/>
  <c r="T16" i="21"/>
  <c r="Q16" i="21"/>
  <c r="M16" i="21"/>
  <c r="J16" i="21"/>
  <c r="I16" i="21"/>
  <c r="P16" i="21" s="1"/>
  <c r="W16" i="21" s="1"/>
  <c r="AD16" i="21" s="1"/>
  <c r="F16" i="21"/>
  <c r="AH15" i="21"/>
  <c r="AE15" i="21"/>
  <c r="AA15" i="21"/>
  <c r="X15" i="21"/>
  <c r="T15" i="21"/>
  <c r="Q15" i="21"/>
  <c r="M15" i="21"/>
  <c r="J15" i="21"/>
  <c r="I15" i="21"/>
  <c r="P15" i="21" s="1"/>
  <c r="W15" i="21" s="1"/>
  <c r="AD15" i="21" s="1"/>
  <c r="F15" i="21"/>
  <c r="AH14" i="21"/>
  <c r="AE14" i="21"/>
  <c r="AA14" i="21"/>
  <c r="X14" i="21"/>
  <c r="T14" i="21"/>
  <c r="Q14" i="21"/>
  <c r="M14" i="21"/>
  <c r="J14" i="21"/>
  <c r="I14" i="21"/>
  <c r="P14" i="21" s="1"/>
  <c r="W14" i="21" s="1"/>
  <c r="AD14" i="21" s="1"/>
  <c r="F14" i="21"/>
  <c r="AH13" i="21"/>
  <c r="AE13" i="21"/>
  <c r="AA13" i="21"/>
  <c r="X13" i="21"/>
  <c r="T13" i="21"/>
  <c r="Q13" i="21"/>
  <c r="M13" i="21"/>
  <c r="J13" i="21"/>
  <c r="I13" i="21"/>
  <c r="P13" i="21" s="1"/>
  <c r="W13" i="21" s="1"/>
  <c r="AD13" i="21" s="1"/>
  <c r="F13" i="21"/>
  <c r="AH12" i="21"/>
  <c r="AE12" i="21"/>
  <c r="AA12" i="21"/>
  <c r="X12" i="21"/>
  <c r="T12" i="21"/>
  <c r="Q12" i="21"/>
  <c r="M12" i="21"/>
  <c r="J12" i="21"/>
  <c r="I12" i="21"/>
  <c r="P12" i="21" s="1"/>
  <c r="W12" i="21" s="1"/>
  <c r="AD12" i="21" s="1"/>
  <c r="F12" i="21"/>
  <c r="AH11" i="21"/>
  <c r="AE11" i="21"/>
  <c r="AA11" i="21"/>
  <c r="X11" i="21"/>
  <c r="T11" i="21"/>
  <c r="Q11" i="21"/>
  <c r="M11" i="21"/>
  <c r="J11" i="21"/>
  <c r="I11" i="21"/>
  <c r="P11" i="21" s="1"/>
  <c r="W11" i="21" s="1"/>
  <c r="AD11" i="21" s="1"/>
  <c r="F11" i="21"/>
  <c r="AG10" i="21"/>
  <c r="AH10" i="21" s="1"/>
  <c r="AI10" i="21" s="1"/>
  <c r="AI11" i="21" s="1"/>
  <c r="AI12" i="21" s="1"/>
  <c r="AI13" i="21" s="1"/>
  <c r="AI14" i="21" s="1"/>
  <c r="AE10" i="21"/>
  <c r="Z10" i="21"/>
  <c r="AA10" i="21" s="1"/>
  <c r="AB10" i="21" s="1"/>
  <c r="AB11" i="21" s="1"/>
  <c r="AB12" i="21" s="1"/>
  <c r="AB13" i="21" s="1"/>
  <c r="X10" i="21"/>
  <c r="S10" i="21"/>
  <c r="T10" i="21" s="1"/>
  <c r="U10" i="21" s="1"/>
  <c r="U11" i="21" s="1"/>
  <c r="U12" i="21" s="1"/>
  <c r="Q10" i="21"/>
  <c r="L10" i="21"/>
  <c r="M10" i="21" s="1"/>
  <c r="N10" i="21" s="1"/>
  <c r="N11" i="21" s="1"/>
  <c r="J10" i="21"/>
  <c r="I10" i="21"/>
  <c r="P10" i="21" s="1"/>
  <c r="W10" i="21" s="1"/>
  <c r="AD10" i="21" s="1"/>
  <c r="F10" i="21"/>
  <c r="G10" i="21" s="1"/>
  <c r="G11" i="21" s="1"/>
  <c r="G12" i="21" s="1"/>
  <c r="G13" i="21" s="1"/>
  <c r="G14" i="21" s="1"/>
  <c r="G15" i="21" s="1"/>
  <c r="G16" i="21" s="1"/>
  <c r="G17" i="21" s="1"/>
  <c r="G18" i="21" s="1"/>
  <c r="G19" i="21" s="1"/>
  <c r="G20" i="21" s="1"/>
  <c r="G21" i="21" s="1"/>
  <c r="G22" i="21" s="1"/>
  <c r="G23" i="21" s="1"/>
  <c r="D60" i="3" s="1"/>
  <c r="M60" i="3" s="1"/>
  <c r="B3" i="21"/>
  <c r="D42" i="20"/>
  <c r="D41" i="20"/>
  <c r="D40" i="20"/>
  <c r="D39" i="20"/>
  <c r="D35" i="20"/>
  <c r="D33" i="20"/>
  <c r="J29" i="20"/>
  <c r="F25" i="20"/>
  <c r="F24" i="20"/>
  <c r="E23" i="20"/>
  <c r="F23" i="20" s="1"/>
  <c r="D23" i="20"/>
  <c r="E22" i="20"/>
  <c r="D22" i="20"/>
  <c r="C22" i="20"/>
  <c r="F21" i="20"/>
  <c r="G21" i="20" s="1"/>
  <c r="F20" i="20"/>
  <c r="G20" i="20" s="1"/>
  <c r="I14" i="20"/>
  <c r="I16" i="20" s="1"/>
  <c r="H14" i="20"/>
  <c r="H16" i="20" s="1"/>
  <c r="D13" i="20"/>
  <c r="C13" i="20"/>
  <c r="E12" i="20"/>
  <c r="D12" i="20"/>
  <c r="E11" i="20"/>
  <c r="D11" i="20"/>
  <c r="A7" i="20"/>
  <c r="A45" i="20" s="1"/>
  <c r="B3" i="20"/>
  <c r="B2" i="20"/>
  <c r="B1" i="20"/>
  <c r="D42" i="19"/>
  <c r="D41" i="19"/>
  <c r="D40" i="19"/>
  <c r="D39" i="19"/>
  <c r="D35" i="19"/>
  <c r="D33" i="19"/>
  <c r="J29" i="19"/>
  <c r="F25" i="19"/>
  <c r="F24" i="19"/>
  <c r="D23" i="19"/>
  <c r="E22" i="19"/>
  <c r="D22" i="19"/>
  <c r="C22" i="19"/>
  <c r="F21" i="19"/>
  <c r="G21" i="19" s="1"/>
  <c r="F20" i="19"/>
  <c r="G20" i="19" s="1"/>
  <c r="I14" i="19"/>
  <c r="I16" i="19" s="1"/>
  <c r="H14" i="19"/>
  <c r="H16" i="19" s="1"/>
  <c r="E13" i="19"/>
  <c r="D13" i="19"/>
  <c r="C13" i="19"/>
  <c r="E12" i="19"/>
  <c r="D12" i="19"/>
  <c r="E11" i="19"/>
  <c r="D11" i="19"/>
  <c r="A7" i="19"/>
  <c r="A44" i="19" s="1"/>
  <c r="B3" i="19"/>
  <c r="B2" i="19"/>
  <c r="B1" i="19"/>
  <c r="D42" i="13"/>
  <c r="D41" i="13"/>
  <c r="D40" i="13"/>
  <c r="D39" i="13"/>
  <c r="D35" i="13"/>
  <c r="D33" i="13"/>
  <c r="J29" i="13"/>
  <c r="F28" i="13"/>
  <c r="G28" i="13" s="1"/>
  <c r="F25" i="13"/>
  <c r="F24" i="13"/>
  <c r="D23" i="13"/>
  <c r="E22" i="13"/>
  <c r="D22" i="13"/>
  <c r="C22" i="13"/>
  <c r="F21" i="13"/>
  <c r="G21" i="13" s="1"/>
  <c r="F20" i="13"/>
  <c r="G20" i="13" s="1"/>
  <c r="I14" i="13"/>
  <c r="I16" i="13" s="1"/>
  <c r="H14" i="13"/>
  <c r="H16" i="13" s="1"/>
  <c r="E13" i="13"/>
  <c r="D13" i="13"/>
  <c r="C13" i="13"/>
  <c r="E12" i="13"/>
  <c r="D12" i="13"/>
  <c r="E11" i="13"/>
  <c r="D11" i="13"/>
  <c r="A7" i="13"/>
  <c r="A45" i="13" s="1"/>
  <c r="B3" i="13"/>
  <c r="B2" i="13"/>
  <c r="B1" i="13"/>
  <c r="D42" i="11"/>
  <c r="D41" i="11"/>
  <c r="D40" i="11"/>
  <c r="D39" i="11"/>
  <c r="D35" i="11"/>
  <c r="D33" i="11"/>
  <c r="J29" i="11"/>
  <c r="F25" i="11"/>
  <c r="F24" i="11"/>
  <c r="E23" i="11"/>
  <c r="F23" i="11" s="1"/>
  <c r="D23" i="11"/>
  <c r="E22" i="11"/>
  <c r="D22" i="11"/>
  <c r="C22" i="11"/>
  <c r="F21" i="11"/>
  <c r="G21" i="11" s="1"/>
  <c r="F20" i="11"/>
  <c r="G20" i="11" s="1"/>
  <c r="I14" i="11"/>
  <c r="I16" i="11" s="1"/>
  <c r="H14" i="11"/>
  <c r="H16" i="11" s="1"/>
  <c r="D13" i="11"/>
  <c r="C13" i="11"/>
  <c r="E12" i="11"/>
  <c r="D12" i="11"/>
  <c r="E11" i="11"/>
  <c r="D11" i="11"/>
  <c r="A7" i="11"/>
  <c r="A45" i="11" s="1"/>
  <c r="B3" i="11"/>
  <c r="B2" i="11"/>
  <c r="B1" i="11"/>
  <c r="Q15" i="9"/>
  <c r="N15" i="9"/>
  <c r="D15" i="9"/>
  <c r="C15" i="9"/>
  <c r="B15" i="9"/>
  <c r="Q14" i="9"/>
  <c r="N14" i="9"/>
  <c r="D14" i="9"/>
  <c r="C14" i="9"/>
  <c r="B14" i="9"/>
  <c r="U13" i="9"/>
  <c r="U16" i="9" s="1"/>
  <c r="Q13" i="9"/>
  <c r="N13" i="9"/>
  <c r="D13" i="9"/>
  <c r="C13" i="9"/>
  <c r="B13" i="9"/>
  <c r="Q12" i="9"/>
  <c r="N12" i="9"/>
  <c r="D12" i="9"/>
  <c r="C12" i="9"/>
  <c r="B12" i="9"/>
  <c r="B3" i="9"/>
  <c r="A5" i="9" s="1"/>
  <c r="B2" i="9"/>
  <c r="B1" i="9"/>
  <c r="E24" i="8"/>
  <c r="B24" i="8"/>
  <c r="E23" i="8"/>
  <c r="E21" i="8"/>
  <c r="E19" i="8"/>
  <c r="E18" i="8"/>
  <c r="I5" i="8"/>
  <c r="H5" i="8"/>
  <c r="G5" i="8"/>
  <c r="F5" i="8"/>
  <c r="B3" i="8"/>
  <c r="B2" i="8"/>
  <c r="B1" i="8"/>
  <c r="R27" i="7"/>
  <c r="M27" i="7"/>
  <c r="N27" i="7" s="1"/>
  <c r="O27" i="7" s="1"/>
  <c r="P27" i="7" s="1"/>
  <c r="Q27" i="7" s="1"/>
  <c r="R25" i="7"/>
  <c r="M25" i="7"/>
  <c r="N25" i="7" s="1"/>
  <c r="O25" i="7" s="1"/>
  <c r="P25" i="7" s="1"/>
  <c r="Q25" i="7" s="1"/>
  <c r="F25" i="7"/>
  <c r="H25" i="7" s="1"/>
  <c r="R20" i="7"/>
  <c r="M20" i="7"/>
  <c r="N20" i="7" s="1"/>
  <c r="O20" i="7" s="1"/>
  <c r="P20" i="7" s="1"/>
  <c r="Q20" i="7" s="1"/>
  <c r="F18" i="7"/>
  <c r="H18" i="7" s="1"/>
  <c r="R19" i="7"/>
  <c r="M19" i="7"/>
  <c r="N19" i="7" s="1"/>
  <c r="O19" i="7" s="1"/>
  <c r="P19" i="7" s="1"/>
  <c r="Q19" i="7" s="1"/>
  <c r="R13" i="7"/>
  <c r="M13" i="7"/>
  <c r="N13" i="7" s="1"/>
  <c r="O13" i="7" s="1"/>
  <c r="P13" i="7" s="1"/>
  <c r="Q13" i="7" s="1"/>
  <c r="R12" i="7"/>
  <c r="M12" i="7"/>
  <c r="N12" i="7" s="1"/>
  <c r="O12" i="7" s="1"/>
  <c r="P12" i="7" s="1"/>
  <c r="Q12" i="7" s="1"/>
  <c r="R10" i="7"/>
  <c r="M10" i="7"/>
  <c r="N10" i="7" s="1"/>
  <c r="O10" i="7" s="1"/>
  <c r="P10" i="7" s="1"/>
  <c r="Q10" i="7" s="1"/>
  <c r="R9" i="7"/>
  <c r="M9" i="7"/>
  <c r="N9" i="7" s="1"/>
  <c r="O9" i="7" s="1"/>
  <c r="P9" i="7" s="1"/>
  <c r="Q9" i="7" s="1"/>
  <c r="B3" i="7"/>
  <c r="B2" i="7"/>
  <c r="B1" i="7"/>
  <c r="E16" i="6"/>
  <c r="F16" i="6" s="1"/>
  <c r="G16" i="6" s="1"/>
  <c r="E12" i="6"/>
  <c r="F12" i="6" s="1"/>
  <c r="G12" i="6" s="1"/>
  <c r="E11" i="6"/>
  <c r="F11" i="6" s="1"/>
  <c r="G11" i="6" s="1"/>
  <c r="E10" i="6"/>
  <c r="F10" i="6" s="1"/>
  <c r="G10" i="6" s="1"/>
  <c r="E9" i="6"/>
  <c r="F9" i="6" s="1"/>
  <c r="G9" i="6" s="1"/>
  <c r="B3" i="6"/>
  <c r="B2" i="6"/>
  <c r="B1" i="6"/>
  <c r="L50" i="5"/>
  <c r="L49" i="5"/>
  <c r="L48" i="5"/>
  <c r="L47" i="5"/>
  <c r="L46" i="5"/>
  <c r="L45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B3" i="5"/>
  <c r="B2" i="5"/>
  <c r="B1" i="5"/>
  <c r="C48" i="4"/>
  <c r="C49" i="4" s="1"/>
  <c r="C56" i="4" s="1"/>
  <c r="C43" i="4"/>
  <c r="C42" i="4"/>
  <c r="C41" i="4"/>
  <c r="C40" i="4"/>
  <c r="C39" i="4"/>
  <c r="E8" i="8" s="1"/>
  <c r="C36" i="4"/>
  <c r="C34" i="4"/>
  <c r="C33" i="4"/>
  <c r="C31" i="4"/>
  <c r="C32" i="4" s="1"/>
  <c r="C27" i="4"/>
  <c r="C21" i="4"/>
  <c r="C22" i="4" s="1"/>
  <c r="F53" i="4" s="1"/>
  <c r="H53" i="4" s="1"/>
  <c r="B3" i="4"/>
  <c r="B2" i="4"/>
  <c r="B1" i="4"/>
  <c r="E73" i="3"/>
  <c r="K73" i="3" s="1"/>
  <c r="G55" i="3"/>
  <c r="B47" i="3"/>
  <c r="G37" i="3"/>
  <c r="G22" i="3"/>
  <c r="C16" i="4" s="1"/>
  <c r="F10" i="3"/>
  <c r="H9" i="3"/>
  <c r="F9" i="3"/>
  <c r="F8" i="3"/>
  <c r="F7" i="3"/>
  <c r="M7" i="3" s="1"/>
  <c r="Q6" i="3"/>
  <c r="A4" i="3"/>
  <c r="A6" i="11" s="1"/>
  <c r="B3" i="3"/>
  <c r="B2" i="3"/>
  <c r="B1" i="3"/>
  <c r="G72" i="1"/>
  <c r="G71" i="1"/>
  <c r="V69" i="1"/>
  <c r="Q69" i="1"/>
  <c r="R69" i="1" s="1"/>
  <c r="S69" i="1" s="1"/>
  <c r="T69" i="1" s="1"/>
  <c r="U69" i="1" s="1"/>
  <c r="N69" i="1"/>
  <c r="O69" i="1" s="1"/>
  <c r="M69" i="1"/>
  <c r="V68" i="1"/>
  <c r="Q68" i="1"/>
  <c r="R68" i="1" s="1"/>
  <c r="S68" i="1" s="1"/>
  <c r="T68" i="1" s="1"/>
  <c r="U68" i="1" s="1"/>
  <c r="N68" i="1"/>
  <c r="O68" i="1" s="1"/>
  <c r="M68" i="1"/>
  <c r="V67" i="1"/>
  <c r="Q67" i="1"/>
  <c r="R67" i="1" s="1"/>
  <c r="S67" i="1" s="1"/>
  <c r="T67" i="1" s="1"/>
  <c r="U67" i="1" s="1"/>
  <c r="N67" i="1"/>
  <c r="O67" i="1" s="1"/>
  <c r="M67" i="1"/>
  <c r="V66" i="1"/>
  <c r="Q66" i="1"/>
  <c r="R66" i="1" s="1"/>
  <c r="S66" i="1" s="1"/>
  <c r="T66" i="1" s="1"/>
  <c r="U66" i="1" s="1"/>
  <c r="N66" i="1"/>
  <c r="O66" i="1" s="1"/>
  <c r="M66" i="1"/>
  <c r="V65" i="1"/>
  <c r="Q65" i="1"/>
  <c r="R65" i="1" s="1"/>
  <c r="S65" i="1" s="1"/>
  <c r="T65" i="1" s="1"/>
  <c r="U65" i="1" s="1"/>
  <c r="N65" i="1"/>
  <c r="O65" i="1" s="1"/>
  <c r="M65" i="1"/>
  <c r="V64" i="1"/>
  <c r="Q64" i="1"/>
  <c r="R64" i="1" s="1"/>
  <c r="S64" i="1" s="1"/>
  <c r="T64" i="1" s="1"/>
  <c r="U64" i="1" s="1"/>
  <c r="N64" i="1"/>
  <c r="O64" i="1" s="1"/>
  <c r="M64" i="1"/>
  <c r="G59" i="1"/>
  <c r="G58" i="1"/>
  <c r="G57" i="1"/>
  <c r="V55" i="1"/>
  <c r="Q55" i="1"/>
  <c r="R55" i="1" s="1"/>
  <c r="S55" i="1" s="1"/>
  <c r="T55" i="1" s="1"/>
  <c r="U55" i="1" s="1"/>
  <c r="O55" i="1"/>
  <c r="V54" i="1"/>
  <c r="Q54" i="1"/>
  <c r="R54" i="1" s="1"/>
  <c r="S54" i="1" s="1"/>
  <c r="T54" i="1" s="1"/>
  <c r="U54" i="1" s="1"/>
  <c r="O54" i="1"/>
  <c r="V53" i="1"/>
  <c r="Q53" i="1"/>
  <c r="R53" i="1" s="1"/>
  <c r="S53" i="1" s="1"/>
  <c r="T53" i="1" s="1"/>
  <c r="U53" i="1" s="1"/>
  <c r="O53" i="1"/>
  <c r="V52" i="1"/>
  <c r="Q52" i="1"/>
  <c r="R52" i="1" s="1"/>
  <c r="S52" i="1" s="1"/>
  <c r="T52" i="1" s="1"/>
  <c r="U52" i="1" s="1"/>
  <c r="O52" i="1"/>
  <c r="V51" i="1"/>
  <c r="Q51" i="1"/>
  <c r="R51" i="1" s="1"/>
  <c r="S51" i="1" s="1"/>
  <c r="T51" i="1" s="1"/>
  <c r="U51" i="1" s="1"/>
  <c r="O51" i="1"/>
  <c r="V50" i="1"/>
  <c r="Q50" i="1"/>
  <c r="R50" i="1" s="1"/>
  <c r="S50" i="1" s="1"/>
  <c r="T50" i="1" s="1"/>
  <c r="U50" i="1" s="1"/>
  <c r="O50" i="1"/>
  <c r="V49" i="1"/>
  <c r="Q49" i="1"/>
  <c r="R49" i="1" s="1"/>
  <c r="S49" i="1" s="1"/>
  <c r="T49" i="1" s="1"/>
  <c r="U49" i="1" s="1"/>
  <c r="O49" i="1"/>
  <c r="V48" i="1"/>
  <c r="Q48" i="1"/>
  <c r="R48" i="1" s="1"/>
  <c r="S48" i="1" s="1"/>
  <c r="T48" i="1" s="1"/>
  <c r="U48" i="1" s="1"/>
  <c r="O48" i="1"/>
  <c r="V47" i="1"/>
  <c r="Q47" i="1"/>
  <c r="R47" i="1" s="1"/>
  <c r="S47" i="1" s="1"/>
  <c r="T47" i="1" s="1"/>
  <c r="U47" i="1" s="1"/>
  <c r="O47" i="1"/>
  <c r="V46" i="1"/>
  <c r="Q46" i="1"/>
  <c r="R46" i="1" s="1"/>
  <c r="S46" i="1" s="1"/>
  <c r="T46" i="1" s="1"/>
  <c r="U46" i="1" s="1"/>
  <c r="O46" i="1"/>
  <c r="V45" i="1"/>
  <c r="Q45" i="1"/>
  <c r="R45" i="1" s="1"/>
  <c r="S45" i="1" s="1"/>
  <c r="T45" i="1" s="1"/>
  <c r="U45" i="1" s="1"/>
  <c r="O45" i="1"/>
  <c r="V44" i="1"/>
  <c r="Q44" i="1"/>
  <c r="R44" i="1" s="1"/>
  <c r="S44" i="1" s="1"/>
  <c r="T44" i="1" s="1"/>
  <c r="U44" i="1" s="1"/>
  <c r="O44" i="1"/>
  <c r="V43" i="1"/>
  <c r="Q43" i="1"/>
  <c r="R43" i="1" s="1"/>
  <c r="S43" i="1" s="1"/>
  <c r="T43" i="1" s="1"/>
  <c r="U43" i="1" s="1"/>
  <c r="O43" i="1"/>
  <c r="V42" i="1"/>
  <c r="Q42" i="1"/>
  <c r="R42" i="1" s="1"/>
  <c r="S42" i="1" s="1"/>
  <c r="T42" i="1" s="1"/>
  <c r="U42" i="1" s="1"/>
  <c r="O42" i="1"/>
  <c r="V41" i="1"/>
  <c r="Q41" i="1"/>
  <c r="R41" i="1" s="1"/>
  <c r="S41" i="1" s="1"/>
  <c r="T41" i="1" s="1"/>
  <c r="U41" i="1" s="1"/>
  <c r="O41" i="1"/>
  <c r="V40" i="1"/>
  <c r="Q40" i="1"/>
  <c r="R40" i="1" s="1"/>
  <c r="S40" i="1" s="1"/>
  <c r="T40" i="1" s="1"/>
  <c r="U40" i="1" s="1"/>
  <c r="O40" i="1"/>
  <c r="V39" i="1"/>
  <c r="Q39" i="1"/>
  <c r="R39" i="1" s="1"/>
  <c r="S39" i="1" s="1"/>
  <c r="T39" i="1" s="1"/>
  <c r="U39" i="1" s="1"/>
  <c r="O39" i="1"/>
  <c r="V38" i="1"/>
  <c r="Q38" i="1"/>
  <c r="R38" i="1" s="1"/>
  <c r="S38" i="1" s="1"/>
  <c r="T38" i="1" s="1"/>
  <c r="U38" i="1" s="1"/>
  <c r="O38" i="1"/>
  <c r="V37" i="1"/>
  <c r="Q37" i="1"/>
  <c r="R37" i="1" s="1"/>
  <c r="S37" i="1" s="1"/>
  <c r="T37" i="1" s="1"/>
  <c r="U37" i="1" s="1"/>
  <c r="O37" i="1"/>
  <c r="V36" i="1"/>
  <c r="Q36" i="1"/>
  <c r="R36" i="1" s="1"/>
  <c r="S36" i="1" s="1"/>
  <c r="T36" i="1" s="1"/>
  <c r="U36" i="1" s="1"/>
  <c r="O36" i="1"/>
  <c r="V35" i="1"/>
  <c r="Q35" i="1"/>
  <c r="R35" i="1" s="1"/>
  <c r="S35" i="1" s="1"/>
  <c r="T35" i="1" s="1"/>
  <c r="U35" i="1" s="1"/>
  <c r="O35" i="1"/>
  <c r="V34" i="1"/>
  <c r="Q34" i="1"/>
  <c r="R34" i="1" s="1"/>
  <c r="S34" i="1" s="1"/>
  <c r="T34" i="1" s="1"/>
  <c r="U34" i="1" s="1"/>
  <c r="O34" i="1"/>
  <c r="V33" i="1"/>
  <c r="Q33" i="1"/>
  <c r="R33" i="1" s="1"/>
  <c r="S33" i="1" s="1"/>
  <c r="T33" i="1" s="1"/>
  <c r="U33" i="1" s="1"/>
  <c r="O33" i="1"/>
  <c r="V32" i="1"/>
  <c r="Q32" i="1"/>
  <c r="R32" i="1" s="1"/>
  <c r="S32" i="1" s="1"/>
  <c r="T32" i="1" s="1"/>
  <c r="U32" i="1" s="1"/>
  <c r="O32" i="1"/>
  <c r="V31" i="1"/>
  <c r="Q31" i="1"/>
  <c r="R31" i="1" s="1"/>
  <c r="S31" i="1" s="1"/>
  <c r="T31" i="1" s="1"/>
  <c r="U31" i="1" s="1"/>
  <c r="O31" i="1"/>
  <c r="V30" i="1"/>
  <c r="Q30" i="1"/>
  <c r="R30" i="1" s="1"/>
  <c r="S30" i="1" s="1"/>
  <c r="T30" i="1" s="1"/>
  <c r="U30" i="1" s="1"/>
  <c r="O30" i="1"/>
  <c r="V29" i="1"/>
  <c r="Q29" i="1"/>
  <c r="R29" i="1" s="1"/>
  <c r="S29" i="1" s="1"/>
  <c r="T29" i="1" s="1"/>
  <c r="U29" i="1" s="1"/>
  <c r="O29" i="1"/>
  <c r="V28" i="1"/>
  <c r="Q28" i="1"/>
  <c r="R28" i="1" s="1"/>
  <c r="S28" i="1" s="1"/>
  <c r="T28" i="1" s="1"/>
  <c r="U28" i="1" s="1"/>
  <c r="O28" i="1"/>
  <c r="V27" i="1"/>
  <c r="Q27" i="1"/>
  <c r="R27" i="1" s="1"/>
  <c r="S27" i="1" s="1"/>
  <c r="T27" i="1" s="1"/>
  <c r="U27" i="1" s="1"/>
  <c r="O27" i="1"/>
  <c r="V26" i="1"/>
  <c r="Q26" i="1"/>
  <c r="R26" i="1" s="1"/>
  <c r="S26" i="1" s="1"/>
  <c r="T26" i="1" s="1"/>
  <c r="U26" i="1" s="1"/>
  <c r="N26" i="1"/>
  <c r="O26" i="1" s="1"/>
  <c r="M26" i="1"/>
  <c r="F19" i="1"/>
  <c r="K14" i="1"/>
  <c r="K15" i="9" s="1"/>
  <c r="F14" i="1"/>
  <c r="H15" i="9" s="1"/>
  <c r="C14" i="1"/>
  <c r="B14" i="1"/>
  <c r="A14" i="1"/>
  <c r="K13" i="1"/>
  <c r="K14" i="9" s="1"/>
  <c r="F13" i="1"/>
  <c r="H14" i="9" s="1"/>
  <c r="C13" i="1"/>
  <c r="B13" i="1"/>
  <c r="A13" i="1"/>
  <c r="K12" i="1"/>
  <c r="K13" i="9" s="1"/>
  <c r="F12" i="1"/>
  <c r="H13" i="9" s="1"/>
  <c r="C12" i="1"/>
  <c r="B12" i="1"/>
  <c r="A12" i="1"/>
  <c r="P11" i="1"/>
  <c r="K11" i="1"/>
  <c r="K12" i="9" s="1"/>
  <c r="F11" i="1"/>
  <c r="H12" i="9" s="1"/>
  <c r="C11" i="1"/>
  <c r="B11" i="1"/>
  <c r="A11" i="1"/>
  <c r="F5" i="1"/>
  <c r="E5" i="1"/>
  <c r="B3" i="1"/>
  <c r="B2" i="1"/>
  <c r="B1" i="1"/>
  <c r="D36" i="19" l="1"/>
  <c r="F73" i="3"/>
  <c r="N12" i="21"/>
  <c r="N13" i="21" s="1"/>
  <c r="N14" i="21" s="1"/>
  <c r="N15" i="21" s="1"/>
  <c r="N16" i="21" s="1"/>
  <c r="N17" i="21" s="1"/>
  <c r="N18" i="21" s="1"/>
  <c r="N19" i="21" s="1"/>
  <c r="N20" i="21" s="1"/>
  <c r="N21" i="21" s="1"/>
  <c r="N22" i="21" s="1"/>
  <c r="N23" i="21" s="1"/>
  <c r="D61" i="3" s="1"/>
  <c r="M61" i="3" s="1"/>
  <c r="U13" i="21"/>
  <c r="U14" i="21" s="1"/>
  <c r="U15" i="21" s="1"/>
  <c r="U16" i="21" s="1"/>
  <c r="U17" i="21" s="1"/>
  <c r="U18" i="21" s="1"/>
  <c r="U19" i="21" s="1"/>
  <c r="U20" i="21" s="1"/>
  <c r="U21" i="21" s="1"/>
  <c r="AB14" i="21"/>
  <c r="AB15" i="21" s="1"/>
  <c r="AB16" i="21" s="1"/>
  <c r="AB17" i="21" s="1"/>
  <c r="AB18" i="21" s="1"/>
  <c r="AB19" i="21" s="1"/>
  <c r="AB20" i="21" s="1"/>
  <c r="AB21" i="21" s="1"/>
  <c r="AB22" i="21" s="1"/>
  <c r="AB23" i="21" s="1"/>
  <c r="D63" i="3" s="1"/>
  <c r="M63" i="3" s="1"/>
  <c r="AI15" i="21"/>
  <c r="AI16" i="21" s="1"/>
  <c r="AI17" i="21" s="1"/>
  <c r="AI18" i="21" s="1"/>
  <c r="AI19" i="21" s="1"/>
  <c r="AI20" i="21" s="1"/>
  <c r="AI21" i="21" s="1"/>
  <c r="AI22" i="21" s="1"/>
  <c r="AI23" i="21" s="1"/>
  <c r="D64" i="3" s="1"/>
  <c r="M64" i="3" s="1"/>
  <c r="G13" i="6"/>
  <c r="Q8" i="3" s="1"/>
  <c r="G17" i="6"/>
  <c r="Q10" i="3" s="1"/>
  <c r="F28" i="11" s="1"/>
  <c r="G28" i="11" s="1"/>
  <c r="K8" i="3"/>
  <c r="F12" i="11"/>
  <c r="M9" i="3"/>
  <c r="Q9" i="3"/>
  <c r="L48" i="1"/>
  <c r="G48" i="1" s="1"/>
  <c r="I48" i="1" s="1"/>
  <c r="L51" i="1"/>
  <c r="G51" i="1" s="1"/>
  <c r="D36" i="11"/>
  <c r="E20" i="8"/>
  <c r="L28" i="1"/>
  <c r="G28" i="1" s="1"/>
  <c r="I28" i="1" s="1"/>
  <c r="L31" i="1"/>
  <c r="G31" i="1" s="1"/>
  <c r="L32" i="1"/>
  <c r="G32" i="1" s="1"/>
  <c r="I32" i="1" s="1"/>
  <c r="L52" i="1"/>
  <c r="G52" i="1" s="1"/>
  <c r="I52" i="1" s="1"/>
  <c r="L55" i="1"/>
  <c r="G55" i="1" s="1"/>
  <c r="L64" i="1"/>
  <c r="G64" i="1" s="1"/>
  <c r="C44" i="4"/>
  <c r="F52" i="4"/>
  <c r="L35" i="1"/>
  <c r="G35" i="1" s="1"/>
  <c r="H35" i="1" s="1"/>
  <c r="L67" i="1"/>
  <c r="G67" i="1" s="1"/>
  <c r="E48" i="5" s="1"/>
  <c r="G48" i="5" s="1"/>
  <c r="L68" i="1"/>
  <c r="G68" i="1" s="1"/>
  <c r="I68" i="1" s="1"/>
  <c r="L36" i="1"/>
  <c r="G36" i="1" s="1"/>
  <c r="I36" i="1" s="1"/>
  <c r="L27" i="1"/>
  <c r="G27" i="1" s="1"/>
  <c r="I27" i="1" s="1"/>
  <c r="L47" i="1"/>
  <c r="G47" i="1" s="1"/>
  <c r="L39" i="1"/>
  <c r="G39" i="1" s="1"/>
  <c r="H39" i="1" s="1"/>
  <c r="L40" i="1"/>
  <c r="G40" i="1" s="1"/>
  <c r="L43" i="1"/>
  <c r="G43" i="1" s="1"/>
  <c r="H43" i="1" s="1"/>
  <c r="L44" i="1"/>
  <c r="G44" i="1" s="1"/>
  <c r="I44" i="1" s="1"/>
  <c r="L54" i="1"/>
  <c r="G54" i="1" s="1"/>
  <c r="I54" i="1" s="1"/>
  <c r="L26" i="1"/>
  <c r="G26" i="1" s="1"/>
  <c r="I26" i="1" s="1"/>
  <c r="L38" i="1"/>
  <c r="G38" i="1" s="1"/>
  <c r="H38" i="1" s="1"/>
  <c r="L41" i="1"/>
  <c r="G41" i="1" s="1"/>
  <c r="I41" i="1" s="1"/>
  <c r="L42" i="1"/>
  <c r="G42" i="1" s="1"/>
  <c r="E25" i="5" s="1"/>
  <c r="G25" i="5" s="1"/>
  <c r="F9" i="7"/>
  <c r="H9" i="7" s="1"/>
  <c r="F12" i="7"/>
  <c r="H12" i="7" s="1"/>
  <c r="D36" i="20"/>
  <c r="E13" i="11"/>
  <c r="L10" i="3"/>
  <c r="M10" i="3" s="1"/>
  <c r="F19" i="7"/>
  <c r="H19" i="7" s="1"/>
  <c r="F20" i="7"/>
  <c r="H20" i="7" s="1"/>
  <c r="F11" i="11"/>
  <c r="G11" i="11" s="1"/>
  <c r="B11" i="13"/>
  <c r="F12" i="13"/>
  <c r="J12" i="13" s="1"/>
  <c r="J14" i="13" s="1"/>
  <c r="D36" i="13"/>
  <c r="F12" i="19"/>
  <c r="J12" i="19" s="1"/>
  <c r="J14" i="19" s="1"/>
  <c r="F13" i="19"/>
  <c r="G13" i="19" s="1"/>
  <c r="F11" i="20"/>
  <c r="G11" i="20" s="1"/>
  <c r="H33" i="7"/>
  <c r="D43" i="13"/>
  <c r="A44" i="13"/>
  <c r="F12" i="20"/>
  <c r="J12" i="20" s="1"/>
  <c r="J14" i="20" s="1"/>
  <c r="F11" i="19"/>
  <c r="F10" i="7"/>
  <c r="H10" i="7" s="1"/>
  <c r="F13" i="7"/>
  <c r="H13" i="7" s="1"/>
  <c r="H32" i="7"/>
  <c r="D43" i="19"/>
  <c r="D43" i="20"/>
  <c r="H34" i="7"/>
  <c r="F13" i="13"/>
  <c r="G13" i="13" s="1"/>
  <c r="D43" i="11"/>
  <c r="F11" i="13"/>
  <c r="F22" i="13" s="1"/>
  <c r="L69" i="1"/>
  <c r="G69" i="1" s="1"/>
  <c r="E50" i="5" s="1"/>
  <c r="G50" i="5" s="1"/>
  <c r="L29" i="1"/>
  <c r="G29" i="1" s="1"/>
  <c r="I29" i="1" s="1"/>
  <c r="L45" i="1"/>
  <c r="G45" i="1" s="1"/>
  <c r="I45" i="1" s="1"/>
  <c r="L66" i="1"/>
  <c r="G66" i="1" s="1"/>
  <c r="I66" i="1" s="1"/>
  <c r="K16" i="9"/>
  <c r="L65" i="1"/>
  <c r="G65" i="1" s="1"/>
  <c r="H65" i="1" s="1"/>
  <c r="E11" i="5"/>
  <c r="G11" i="5" s="1"/>
  <c r="E27" i="5"/>
  <c r="G27" i="5" s="1"/>
  <c r="H44" i="1"/>
  <c r="E34" i="5"/>
  <c r="G34" i="5" s="1"/>
  <c r="H51" i="1"/>
  <c r="I51" i="1"/>
  <c r="E49" i="5"/>
  <c r="G49" i="5" s="1"/>
  <c r="F7" i="8"/>
  <c r="H50" i="4"/>
  <c r="C18" i="4"/>
  <c r="D16" i="9"/>
  <c r="H16" i="9"/>
  <c r="L30" i="1"/>
  <c r="G30" i="1" s="1"/>
  <c r="L33" i="1"/>
  <c r="G33" i="1" s="1"/>
  <c r="L46" i="1"/>
  <c r="G46" i="1" s="1"/>
  <c r="L49" i="1"/>
  <c r="G49" i="1" s="1"/>
  <c r="C23" i="4"/>
  <c r="G53" i="4"/>
  <c r="E30" i="5"/>
  <c r="G30" i="5" s="1"/>
  <c r="H47" i="1"/>
  <c r="I47" i="1"/>
  <c r="E15" i="5"/>
  <c r="G15" i="5" s="1"/>
  <c r="H32" i="1"/>
  <c r="E22" i="5"/>
  <c r="G22" i="5" s="1"/>
  <c r="I39" i="1"/>
  <c r="I55" i="1"/>
  <c r="E38" i="5"/>
  <c r="G38" i="5" s="1"/>
  <c r="H55" i="1"/>
  <c r="G73" i="1"/>
  <c r="F27" i="7"/>
  <c r="H27" i="7" s="1"/>
  <c r="F26" i="7"/>
  <c r="H26" i="7" s="1"/>
  <c r="L34" i="1"/>
  <c r="G34" i="1" s="1"/>
  <c r="L37" i="1"/>
  <c r="G37" i="1" s="1"/>
  <c r="L50" i="1"/>
  <c r="G50" i="1" s="1"/>
  <c r="L53" i="1"/>
  <c r="G53" i="1" s="1"/>
  <c r="E14" i="5"/>
  <c r="G14" i="5" s="1"/>
  <c r="H31" i="1"/>
  <c r="I31" i="1"/>
  <c r="E23" i="5"/>
  <c r="G23" i="5" s="1"/>
  <c r="H40" i="1"/>
  <c r="H64" i="1"/>
  <c r="E45" i="5"/>
  <c r="G45" i="5" s="1"/>
  <c r="E10" i="5"/>
  <c r="G10" i="5" s="1"/>
  <c r="E19" i="5"/>
  <c r="G19" i="5" s="1"/>
  <c r="I43" i="1"/>
  <c r="E35" i="5"/>
  <c r="G35" i="5" s="1"/>
  <c r="H52" i="1"/>
  <c r="H67" i="1"/>
  <c r="I67" i="1"/>
  <c r="I40" i="1"/>
  <c r="I64" i="1"/>
  <c r="G73" i="3"/>
  <c r="Q16" i="9"/>
  <c r="G12" i="11"/>
  <c r="J12" i="11"/>
  <c r="J14" i="11" s="1"/>
  <c r="U22" i="21"/>
  <c r="U23" i="21" s="1"/>
  <c r="D62" i="3" s="1"/>
  <c r="M62" i="3" s="1"/>
  <c r="F51" i="4"/>
  <c r="A6" i="20"/>
  <c r="A6" i="19"/>
  <c r="A6" i="9"/>
  <c r="C23" i="20"/>
  <c r="C23" i="19"/>
  <c r="C23" i="13"/>
  <c r="C23" i="11"/>
  <c r="A6" i="13"/>
  <c r="B11" i="11"/>
  <c r="A44" i="11"/>
  <c r="F13" i="11"/>
  <c r="G13" i="11" s="1"/>
  <c r="N16" i="9"/>
  <c r="A45" i="19"/>
  <c r="A44" i="20"/>
  <c r="B11" i="19"/>
  <c r="B11" i="20"/>
  <c r="E21" i="5" l="1"/>
  <c r="G21" i="5" s="1"/>
  <c r="H48" i="1"/>
  <c r="E31" i="5"/>
  <c r="G31" i="5" s="1"/>
  <c r="G12" i="13"/>
  <c r="H36" i="1"/>
  <c r="E37" i="5"/>
  <c r="G37" i="5" s="1"/>
  <c r="I35" i="1"/>
  <c r="H54" i="1"/>
  <c r="E18" i="5"/>
  <c r="G18" i="5" s="1"/>
  <c r="I65" i="1"/>
  <c r="G12" i="20"/>
  <c r="L8" i="3"/>
  <c r="M8" i="3" s="1"/>
  <c r="M11" i="3" s="1"/>
  <c r="E13" i="20"/>
  <c r="F13" i="20" s="1"/>
  <c r="G13" i="20" s="1"/>
  <c r="H7" i="8"/>
  <c r="H8" i="8" s="1"/>
  <c r="F22" i="20"/>
  <c r="G12" i="19"/>
  <c r="I38" i="1"/>
  <c r="H28" i="1"/>
  <c r="E12" i="5"/>
  <c r="G12" i="5" s="1"/>
  <c r="H29" i="1"/>
  <c r="H41" i="1"/>
  <c r="F14" i="19"/>
  <c r="H73" i="3"/>
  <c r="I73" i="3" s="1"/>
  <c r="J73" i="3" s="1"/>
  <c r="H28" i="7"/>
  <c r="H29" i="7" s="1"/>
  <c r="N10" i="3" s="1"/>
  <c r="F22" i="19"/>
  <c r="I22" i="19" s="1"/>
  <c r="I29" i="19" s="1"/>
  <c r="I30" i="19" s="1"/>
  <c r="G11" i="19"/>
  <c r="H21" i="7"/>
  <c r="H22" i="7" s="1"/>
  <c r="N7" i="3" s="1"/>
  <c r="H52" i="4"/>
  <c r="G52" i="4"/>
  <c r="E46" i="5"/>
  <c r="G46" i="5" s="1"/>
  <c r="H68" i="1"/>
  <c r="E26" i="5"/>
  <c r="G26" i="5" s="1"/>
  <c r="H27" i="1"/>
  <c r="E24" i="5"/>
  <c r="G24" i="5" s="1"/>
  <c r="E9" i="5"/>
  <c r="G9" i="5" s="1"/>
  <c r="H42" i="1"/>
  <c r="I42" i="1"/>
  <c r="H26" i="1"/>
  <c r="E28" i="5"/>
  <c r="G28" i="5" s="1"/>
  <c r="H45" i="1"/>
  <c r="E47" i="5"/>
  <c r="G47" i="5" s="1"/>
  <c r="H14" i="7"/>
  <c r="H15" i="7" s="1"/>
  <c r="G14" i="11"/>
  <c r="F14" i="20"/>
  <c r="I7" i="8"/>
  <c r="I8" i="8" s="1"/>
  <c r="F22" i="11"/>
  <c r="G22" i="11" s="1"/>
  <c r="H35" i="7"/>
  <c r="H36" i="7" s="1"/>
  <c r="G22" i="13"/>
  <c r="I22" i="13"/>
  <c r="I29" i="13" s="1"/>
  <c r="I30" i="13" s="1"/>
  <c r="I33" i="13" s="1"/>
  <c r="I34" i="13" s="1"/>
  <c r="I35" i="13" s="1"/>
  <c r="F14" i="8"/>
  <c r="F14" i="13"/>
  <c r="G11" i="13"/>
  <c r="G14" i="13" s="1"/>
  <c r="H66" i="1"/>
  <c r="H69" i="1"/>
  <c r="I69" i="1"/>
  <c r="H51" i="4"/>
  <c r="H54" i="4" s="1"/>
  <c r="F54" i="4"/>
  <c r="F55" i="4" s="1"/>
  <c r="G51" i="4"/>
  <c r="G54" i="4" s="1"/>
  <c r="G55" i="4" s="1"/>
  <c r="C28" i="4"/>
  <c r="C29" i="4" s="1"/>
  <c r="C53" i="4" s="1"/>
  <c r="C51" i="4"/>
  <c r="C24" i="4"/>
  <c r="C25" i="4" s="1"/>
  <c r="C52" i="4" s="1"/>
  <c r="C35" i="4"/>
  <c r="C37" i="4" s="1"/>
  <c r="C54" i="4" s="1"/>
  <c r="C45" i="4"/>
  <c r="C46" i="4" s="1"/>
  <c r="C55" i="4" s="1"/>
  <c r="H49" i="4"/>
  <c r="H50" i="1"/>
  <c r="I50" i="1"/>
  <c r="E33" i="5"/>
  <c r="G33" i="5" s="1"/>
  <c r="F14" i="11"/>
  <c r="G23" i="20"/>
  <c r="H23" i="20"/>
  <c r="H29" i="20" s="1"/>
  <c r="H30" i="20" s="1"/>
  <c r="G13" i="8"/>
  <c r="G23" i="13"/>
  <c r="H23" i="13"/>
  <c r="H29" i="13" s="1"/>
  <c r="H30" i="13" s="1"/>
  <c r="F13" i="8"/>
  <c r="I53" i="1"/>
  <c r="E36" i="5"/>
  <c r="G36" i="5" s="1"/>
  <c r="H53" i="1"/>
  <c r="H46" i="1"/>
  <c r="I46" i="1"/>
  <c r="E29" i="5"/>
  <c r="G29" i="5" s="1"/>
  <c r="G14" i="20"/>
  <c r="G14" i="19"/>
  <c r="G23" i="11"/>
  <c r="I13" i="8"/>
  <c r="H23" i="11"/>
  <c r="H29" i="11" s="1"/>
  <c r="H30" i="11" s="1"/>
  <c r="I37" i="1"/>
  <c r="E20" i="5"/>
  <c r="G20" i="5" s="1"/>
  <c r="H37" i="1"/>
  <c r="I33" i="1"/>
  <c r="H33" i="1"/>
  <c r="E16" i="5"/>
  <c r="G16" i="5" s="1"/>
  <c r="G22" i="20"/>
  <c r="I22" i="20"/>
  <c r="I29" i="20" s="1"/>
  <c r="I30" i="20" s="1"/>
  <c r="G14" i="8"/>
  <c r="G23" i="19"/>
  <c r="H23" i="19"/>
  <c r="H29" i="19" s="1"/>
  <c r="H30" i="19" s="1"/>
  <c r="H13" i="8"/>
  <c r="H34" i="1"/>
  <c r="I34" i="1"/>
  <c r="E17" i="5"/>
  <c r="G17" i="5" s="1"/>
  <c r="I49" i="1"/>
  <c r="H49" i="1"/>
  <c r="E32" i="5"/>
  <c r="G32" i="5" s="1"/>
  <c r="H30" i="1"/>
  <c r="I30" i="1"/>
  <c r="E13" i="5"/>
  <c r="G13" i="5" s="1"/>
  <c r="F28" i="19"/>
  <c r="G28" i="19" s="1"/>
  <c r="F28" i="20"/>
  <c r="G28" i="20" s="1"/>
  <c r="F8" i="8"/>
  <c r="E9" i="8"/>
  <c r="N9" i="3" l="1"/>
  <c r="N8" i="3"/>
  <c r="F19" i="20" s="1"/>
  <c r="G19" i="20" s="1"/>
  <c r="G29" i="20" s="1"/>
  <c r="G7" i="8"/>
  <c r="G8" i="8" s="1"/>
  <c r="H14" i="8"/>
  <c r="G22" i="19"/>
  <c r="G51" i="5"/>
  <c r="P8" i="3" s="1"/>
  <c r="F27" i="20" s="1"/>
  <c r="F19" i="13"/>
  <c r="F19" i="11"/>
  <c r="H56" i="1"/>
  <c r="H57" i="1" s="1"/>
  <c r="H70" i="1"/>
  <c r="H71" i="1" s="1"/>
  <c r="H72" i="1" s="1"/>
  <c r="F16" i="8"/>
  <c r="F30" i="8" s="1"/>
  <c r="F19" i="19"/>
  <c r="G19" i="19" s="1"/>
  <c r="I22" i="11"/>
  <c r="I29" i="11" s="1"/>
  <c r="I30" i="11" s="1"/>
  <c r="I33" i="11" s="1"/>
  <c r="I14" i="8"/>
  <c r="I16" i="8" s="1"/>
  <c r="I30" i="8" s="1"/>
  <c r="G16" i="8"/>
  <c r="G30" i="8" s="1"/>
  <c r="I9" i="8"/>
  <c r="I10" i="8" s="1"/>
  <c r="I11" i="8" s="1"/>
  <c r="I29" i="8" s="1"/>
  <c r="G39" i="5"/>
  <c r="H33" i="19"/>
  <c r="H34" i="19" s="1"/>
  <c r="H35" i="19" s="1"/>
  <c r="H33" i="11"/>
  <c r="H34" i="11" s="1"/>
  <c r="H35" i="11" s="1"/>
  <c r="H16" i="8"/>
  <c r="H30" i="8" s="1"/>
  <c r="C57" i="4"/>
  <c r="H55" i="4"/>
  <c r="H57" i="4" s="1"/>
  <c r="H59" i="4" s="1"/>
  <c r="H33" i="13"/>
  <c r="E10" i="8"/>
  <c r="H9" i="8"/>
  <c r="H10" i="8" s="1"/>
  <c r="H11" i="8" s="1"/>
  <c r="H29" i="8" s="1"/>
  <c r="I33" i="20"/>
  <c r="I34" i="20" s="1"/>
  <c r="I35" i="20" s="1"/>
  <c r="H33" i="20"/>
  <c r="H34" i="20" s="1"/>
  <c r="H35" i="20" s="1"/>
  <c r="I33" i="19"/>
  <c r="I34" i="19" s="1"/>
  <c r="I35" i="19" s="1"/>
  <c r="F9" i="8"/>
  <c r="F10" i="8" s="1"/>
  <c r="F11" i="8" s="1"/>
  <c r="F29" i="8" s="1"/>
  <c r="F31" i="8" s="1"/>
  <c r="G9" i="8"/>
  <c r="G10" i="8" s="1"/>
  <c r="G11" i="8" s="1"/>
  <c r="G29" i="8" s="1"/>
  <c r="I36" i="13"/>
  <c r="I37" i="13" s="1"/>
  <c r="I44" i="13" s="1"/>
  <c r="I45" i="13" s="1"/>
  <c r="T11" i="1" l="1"/>
  <c r="W11" i="1" s="1"/>
  <c r="T14" i="1"/>
  <c r="W14" i="1" s="1"/>
  <c r="T13" i="1"/>
  <c r="T12" i="1"/>
  <c r="G29" i="19"/>
  <c r="O9" i="3"/>
  <c r="R13" i="1" s="1"/>
  <c r="W17" i="9"/>
  <c r="G19" i="13"/>
  <c r="G29" i="13" s="1"/>
  <c r="F29" i="13"/>
  <c r="G19" i="11"/>
  <c r="G29" i="11" s="1"/>
  <c r="F29" i="11"/>
  <c r="G31" i="8"/>
  <c r="G18" i="8" s="1"/>
  <c r="I31" i="8"/>
  <c r="I18" i="8" s="1"/>
  <c r="I34" i="11"/>
  <c r="I35" i="11" s="1"/>
  <c r="I36" i="11" s="1"/>
  <c r="I37" i="11" s="1"/>
  <c r="I44" i="11" s="1"/>
  <c r="I45" i="11" s="1"/>
  <c r="H31" i="8"/>
  <c r="H18" i="8" s="1"/>
  <c r="O8" i="3"/>
  <c r="I39" i="13"/>
  <c r="I42" i="13"/>
  <c r="G12" i="9"/>
  <c r="I12" i="9" s="1"/>
  <c r="I41" i="13"/>
  <c r="I40" i="13"/>
  <c r="F18" i="8"/>
  <c r="H36" i="11"/>
  <c r="H37" i="11" s="1"/>
  <c r="H44" i="11" s="1"/>
  <c r="H45" i="11" s="1"/>
  <c r="H74" i="1"/>
  <c r="H73" i="1" s="1"/>
  <c r="H58" i="1"/>
  <c r="H60" i="1" s="1"/>
  <c r="H59" i="1" s="1"/>
  <c r="H34" i="13"/>
  <c r="H35" i="13" s="1"/>
  <c r="H36" i="13" s="1"/>
  <c r="H37" i="13" s="1"/>
  <c r="H44" i="13" s="1"/>
  <c r="H45" i="13" s="1"/>
  <c r="E15" i="20"/>
  <c r="E15" i="19"/>
  <c r="E15" i="11"/>
  <c r="E15" i="13"/>
  <c r="G20" i="3"/>
  <c r="I36" i="19"/>
  <c r="I37" i="19" s="1"/>
  <c r="I44" i="19" s="1"/>
  <c r="I45" i="19" s="1"/>
  <c r="H36" i="20"/>
  <c r="H37" i="20" s="1"/>
  <c r="H44" i="20" s="1"/>
  <c r="H45" i="20" s="1"/>
  <c r="I36" i="20"/>
  <c r="I37" i="20" s="1"/>
  <c r="I44" i="20" s="1"/>
  <c r="I45" i="20" s="1"/>
  <c r="H36" i="19"/>
  <c r="H37" i="19" s="1"/>
  <c r="H44" i="19" s="1"/>
  <c r="H45" i="19" s="1"/>
  <c r="T15" i="1" l="1"/>
  <c r="W12" i="1"/>
  <c r="W15" i="1" s="1"/>
  <c r="F26" i="19"/>
  <c r="F29" i="19" s="1"/>
  <c r="R12" i="1"/>
  <c r="R15" i="1" s="1"/>
  <c r="F26" i="20"/>
  <c r="F29" i="20" s="1"/>
  <c r="I41" i="11"/>
  <c r="I39" i="11"/>
  <c r="G15" i="9"/>
  <c r="I15" i="9" s="1"/>
  <c r="I40" i="11"/>
  <c r="I42" i="11"/>
  <c r="H42" i="13"/>
  <c r="H40" i="13"/>
  <c r="H41" i="13"/>
  <c r="H39" i="13"/>
  <c r="P12" i="9"/>
  <c r="R12" i="9" s="1"/>
  <c r="I41" i="20"/>
  <c r="I39" i="20"/>
  <c r="I42" i="20"/>
  <c r="I40" i="20"/>
  <c r="G13" i="9"/>
  <c r="I13" i="9" s="1"/>
  <c r="J15" i="19"/>
  <c r="J16" i="19" s="1"/>
  <c r="J30" i="19" s="1"/>
  <c r="F15" i="19"/>
  <c r="F19" i="8"/>
  <c r="F20" i="8" s="1"/>
  <c r="I19" i="8"/>
  <c r="I20" i="8" s="1"/>
  <c r="J15" i="13"/>
  <c r="J16" i="13" s="1"/>
  <c r="J30" i="13" s="1"/>
  <c r="F15" i="13"/>
  <c r="F15" i="11"/>
  <c r="J15" i="11"/>
  <c r="J16" i="11" s="1"/>
  <c r="J30" i="11" s="1"/>
  <c r="I43" i="13"/>
  <c r="J15" i="20"/>
  <c r="J16" i="20" s="1"/>
  <c r="J30" i="20" s="1"/>
  <c r="F15" i="20"/>
  <c r="H19" i="8"/>
  <c r="H20" i="8" s="1"/>
  <c r="H25" i="8" s="1"/>
  <c r="H32" i="8" s="1"/>
  <c r="H33" i="8" s="1"/>
  <c r="H42" i="11"/>
  <c r="H40" i="11"/>
  <c r="P15" i="9"/>
  <c r="R15" i="9" s="1"/>
  <c r="H39" i="11"/>
  <c r="H41" i="11"/>
  <c r="H42" i="19"/>
  <c r="H40" i="19"/>
  <c r="H41" i="19"/>
  <c r="H39" i="19"/>
  <c r="P14" i="9"/>
  <c r="R14" i="9" s="1"/>
  <c r="H42" i="20"/>
  <c r="H40" i="20"/>
  <c r="H41" i="20"/>
  <c r="H39" i="20"/>
  <c r="P13" i="9"/>
  <c r="R13" i="9" s="1"/>
  <c r="I42" i="19"/>
  <c r="I40" i="19"/>
  <c r="I41" i="19"/>
  <c r="I39" i="19"/>
  <c r="G14" i="9"/>
  <c r="I14" i="9" s="1"/>
  <c r="G19" i="8"/>
  <c r="G20" i="8" s="1"/>
  <c r="G25" i="8" l="1"/>
  <c r="G32" i="8" s="1"/>
  <c r="G33" i="8" s="1"/>
  <c r="M13" i="9" s="1"/>
  <c r="O13" i="9" s="1"/>
  <c r="I43" i="11"/>
  <c r="I43" i="20"/>
  <c r="H43" i="20"/>
  <c r="I16" i="9"/>
  <c r="H15" i="1" s="1"/>
  <c r="M14" i="9"/>
  <c r="O14" i="9" s="1"/>
  <c r="H22" i="8"/>
  <c r="H21" i="8"/>
  <c r="H24" i="8"/>
  <c r="H23" i="8"/>
  <c r="G15" i="20"/>
  <c r="G16" i="20" s="1"/>
  <c r="G30" i="20" s="1"/>
  <c r="F16" i="20"/>
  <c r="F30" i="20" s="1"/>
  <c r="G15" i="11"/>
  <c r="G16" i="11" s="1"/>
  <c r="G30" i="11" s="1"/>
  <c r="F16" i="11"/>
  <c r="F30" i="11" s="1"/>
  <c r="J33" i="11"/>
  <c r="R16" i="9"/>
  <c r="M15" i="1" s="1"/>
  <c r="I25" i="8"/>
  <c r="I32" i="8" s="1"/>
  <c r="I33" i="8" s="1"/>
  <c r="J33" i="13"/>
  <c r="J33" i="19"/>
  <c r="I43" i="19"/>
  <c r="H43" i="11"/>
  <c r="J33" i="20"/>
  <c r="G15" i="13"/>
  <c r="G16" i="13" s="1"/>
  <c r="G30" i="13" s="1"/>
  <c r="F16" i="13"/>
  <c r="F30" i="13" s="1"/>
  <c r="G15" i="19"/>
  <c r="G16" i="19" s="1"/>
  <c r="G30" i="19" s="1"/>
  <c r="F16" i="19"/>
  <c r="F30" i="19" s="1"/>
  <c r="H43" i="19"/>
  <c r="F25" i="8"/>
  <c r="F32" i="8" s="1"/>
  <c r="F33" i="8" s="1"/>
  <c r="H43" i="13"/>
  <c r="G24" i="8" l="1"/>
  <c r="G23" i="8"/>
  <c r="G21" i="8"/>
  <c r="G22" i="8"/>
  <c r="M12" i="9"/>
  <c r="F24" i="8"/>
  <c r="F23" i="8"/>
  <c r="F21" i="8"/>
  <c r="F22" i="8"/>
  <c r="F33" i="13"/>
  <c r="F34" i="13" s="1"/>
  <c r="F35" i="13" s="1"/>
  <c r="G33" i="19"/>
  <c r="G34" i="19" s="1"/>
  <c r="G35" i="19" s="1"/>
  <c r="G33" i="11"/>
  <c r="I24" i="8"/>
  <c r="I23" i="8"/>
  <c r="I21" i="8"/>
  <c r="I22" i="8"/>
  <c r="M15" i="9"/>
  <c r="O15" i="9" s="1"/>
  <c r="F33" i="20"/>
  <c r="F33" i="11"/>
  <c r="F33" i="19"/>
  <c r="G33" i="13"/>
  <c r="G33" i="20"/>
  <c r="J34" i="20"/>
  <c r="J35" i="20" s="1"/>
  <c r="J36" i="20" s="1"/>
  <c r="J37" i="20" s="1"/>
  <c r="J44" i="20" s="1"/>
  <c r="J45" i="20" s="1"/>
  <c r="J34" i="19"/>
  <c r="J35" i="19" s="1"/>
  <c r="J36" i="19" s="1"/>
  <c r="J37" i="19" s="1"/>
  <c r="J44" i="19" s="1"/>
  <c r="J45" i="19" s="1"/>
  <c r="J34" i="13"/>
  <c r="J35" i="13" s="1"/>
  <c r="J36" i="13" s="1"/>
  <c r="J37" i="13" s="1"/>
  <c r="J44" i="13" s="1"/>
  <c r="J45" i="13" s="1"/>
  <c r="J34" i="11"/>
  <c r="J35" i="11" s="1"/>
  <c r="J36" i="11" s="1"/>
  <c r="J37" i="11" s="1"/>
  <c r="J44" i="11" s="1"/>
  <c r="J45" i="11" s="1"/>
  <c r="J41" i="19" l="1"/>
  <c r="J39" i="19"/>
  <c r="J42" i="19"/>
  <c r="J40" i="19"/>
  <c r="J46" i="19"/>
  <c r="T13" i="9" s="1"/>
  <c r="J41" i="11"/>
  <c r="J39" i="11"/>
  <c r="J40" i="11"/>
  <c r="J42" i="11"/>
  <c r="J41" i="20"/>
  <c r="J39" i="20"/>
  <c r="J42" i="20"/>
  <c r="J40" i="20"/>
  <c r="F34" i="20"/>
  <c r="F35" i="20" s="1"/>
  <c r="F36" i="20" s="1"/>
  <c r="F37" i="20" s="1"/>
  <c r="F44" i="20" s="1"/>
  <c r="F45" i="20" s="1"/>
  <c r="G36" i="19"/>
  <c r="G37" i="19" s="1"/>
  <c r="G44" i="19" s="1"/>
  <c r="G45" i="19" s="1"/>
  <c r="O12" i="9"/>
  <c r="F34" i="19"/>
  <c r="F35" i="19" s="1"/>
  <c r="F36" i="19" s="1"/>
  <c r="F37" i="19" s="1"/>
  <c r="F44" i="19" s="1"/>
  <c r="F45" i="19" s="1"/>
  <c r="J41" i="13"/>
  <c r="J39" i="13"/>
  <c r="J42" i="13"/>
  <c r="J40" i="13"/>
  <c r="G34" i="20"/>
  <c r="G35" i="20" s="1"/>
  <c r="G36" i="20" s="1"/>
  <c r="G37" i="20" s="1"/>
  <c r="G44" i="20" s="1"/>
  <c r="G45" i="20" s="1"/>
  <c r="G34" i="13"/>
  <c r="G35" i="13" s="1"/>
  <c r="G36" i="13" s="1"/>
  <c r="G37" i="13" s="1"/>
  <c r="G44" i="13" s="1"/>
  <c r="G45" i="13" s="1"/>
  <c r="F34" i="11"/>
  <c r="F35" i="11" s="1"/>
  <c r="F36" i="11" s="1"/>
  <c r="F37" i="11" s="1"/>
  <c r="F44" i="11" s="1"/>
  <c r="F45" i="11" s="1"/>
  <c r="G34" i="11"/>
  <c r="G35" i="11" s="1"/>
  <c r="G36" i="11" s="1"/>
  <c r="G37" i="11" s="1"/>
  <c r="G44" i="11" s="1"/>
  <c r="G45" i="11" s="1"/>
  <c r="F36" i="13"/>
  <c r="F37" i="13" s="1"/>
  <c r="F44" i="13" s="1"/>
  <c r="F45" i="13" s="1"/>
  <c r="J43" i="11" l="1"/>
  <c r="J15" i="9"/>
  <c r="L15" i="9" s="1"/>
  <c r="S15" i="9" s="1"/>
  <c r="O14" i="1" s="1"/>
  <c r="G41" i="11"/>
  <c r="G39" i="11"/>
  <c r="G46" i="11"/>
  <c r="G42" i="11"/>
  <c r="G40" i="11"/>
  <c r="F41" i="20"/>
  <c r="F39" i="20"/>
  <c r="F46" i="20"/>
  <c r="F42" i="20"/>
  <c r="F40" i="20"/>
  <c r="E13" i="9"/>
  <c r="F13" i="9" s="1"/>
  <c r="F41" i="11"/>
  <c r="F39" i="11"/>
  <c r="F46" i="11"/>
  <c r="F42" i="11"/>
  <c r="F40" i="11"/>
  <c r="E15" i="9"/>
  <c r="F15" i="9" s="1"/>
  <c r="G46" i="13"/>
  <c r="G42" i="13"/>
  <c r="G41" i="13"/>
  <c r="J12" i="9"/>
  <c r="G39" i="13"/>
  <c r="G40" i="13"/>
  <c r="A20" i="9"/>
  <c r="V13" i="9"/>
  <c r="J43" i="19"/>
  <c r="F41" i="13"/>
  <c r="F39" i="13"/>
  <c r="F42" i="13"/>
  <c r="F40" i="13"/>
  <c r="E12" i="9"/>
  <c r="F12" i="9" s="1"/>
  <c r="F46" i="13"/>
  <c r="G41" i="19"/>
  <c r="G39" i="19"/>
  <c r="G46" i="19"/>
  <c r="G42" i="19"/>
  <c r="G40" i="19"/>
  <c r="J14" i="9"/>
  <c r="L14" i="9" s="1"/>
  <c r="S14" i="9" s="1"/>
  <c r="O13" i="1" s="1"/>
  <c r="F41" i="19"/>
  <c r="F39" i="19"/>
  <c r="F46" i="19"/>
  <c r="F42" i="19"/>
  <c r="F40" i="19"/>
  <c r="E14" i="9"/>
  <c r="F14" i="9" s="1"/>
  <c r="J43" i="13"/>
  <c r="M16" i="9"/>
  <c r="J43" i="20"/>
  <c r="G42" i="20"/>
  <c r="G40" i="20"/>
  <c r="G41" i="20"/>
  <c r="G39" i="20"/>
  <c r="G46" i="20"/>
  <c r="J13" i="9"/>
  <c r="L13" i="9" s="1"/>
  <c r="S13" i="9" s="1"/>
  <c r="O12" i="1" s="1"/>
  <c r="O16" i="9"/>
  <c r="L15" i="1" s="1"/>
  <c r="W14" i="9" l="1"/>
  <c r="Q13" i="1" s="1"/>
  <c r="G43" i="20"/>
  <c r="F43" i="19"/>
  <c r="G43" i="19"/>
  <c r="F43" i="13"/>
  <c r="J16" i="9"/>
  <c r="L12" i="9"/>
  <c r="W15" i="9"/>
  <c r="Q14" i="1" s="1"/>
  <c r="V14" i="1" s="1"/>
  <c r="F43" i="11"/>
  <c r="G43" i="13"/>
  <c r="G43" i="11"/>
  <c r="F16" i="9"/>
  <c r="P13" i="1"/>
  <c r="V16" i="9"/>
  <c r="W13" i="9"/>
  <c r="Q12" i="1" s="1"/>
  <c r="F43" i="20"/>
  <c r="V12" i="1" l="1"/>
  <c r="P15" i="1"/>
  <c r="N15" i="1"/>
  <c r="L16" i="9"/>
  <c r="K15" i="1" s="1"/>
  <c r="O15" i="1" s="1"/>
  <c r="S12" i="9"/>
  <c r="S16" i="9" l="1"/>
  <c r="O11" i="1"/>
  <c r="W12" i="9"/>
  <c r="W16" i="9" l="1"/>
  <c r="W18" i="9" s="1"/>
  <c r="Q11" i="1"/>
  <c r="V11" i="1" l="1"/>
  <c r="V15" i="1" s="1"/>
  <c r="Q15" i="1"/>
</calcChain>
</file>

<file path=xl/sharedStrings.xml><?xml version="1.0" encoding="utf-8"?>
<sst xmlns="http://schemas.openxmlformats.org/spreadsheetml/2006/main" count="1272" uniqueCount="669">
  <si>
    <t xml:space="preserve">OCORRÊNCIAS MENSAIS DO FATURAMENTO </t>
  </si>
  <si>
    <t>UTILIZAÇÃO DO GESTOR CONTRATUAL PARA REALIZAÇÃO DO FATURAMENTO MENSAL</t>
  </si>
  <si>
    <t>DEFINIR VERSÃO DE APRESENTAÇÃO:</t>
  </si>
  <si>
    <t>PLANILHA PARA LICITAÇÃO (PRECIFICAÇÃO)</t>
  </si>
  <si>
    <t>DEFINIR BASE DE DESCONTOS/GLOSAS:</t>
  </si>
  <si>
    <t>MÊS CONTÁBIL</t>
  </si>
  <si>
    <r>
      <t xml:space="preserve">INSTRUÇÕES DE PREENCHIMENTO
UTILIZAÇÃO EXCLUSIVA FISCAL/GESTOR
PARA AUXILIAR NO VALOR DE FATURAMENTO
Preencher as células destacadas na cor </t>
    </r>
    <r>
      <rPr>
        <b/>
        <sz val="10"/>
        <color rgb="FFFF0000"/>
        <rFont val="Calibri"/>
        <family val="2"/>
        <scheme val="minor"/>
      </rPr>
      <t>vermelha</t>
    </r>
    <r>
      <rPr>
        <b/>
        <sz val="10"/>
        <rFont val="Calibri"/>
        <family val="2"/>
        <scheme val="minor"/>
      </rPr>
      <t xml:space="preserve"> para realização dos cálculos das demais abas.
Não é necessário preenchimento de outras abas.</t>
    </r>
  </si>
  <si>
    <t>Informar número de Postos que não utilizam V.T.
(Coluna "D")</t>
  </si>
  <si>
    <t>Informar se titular do posto é optante pelo recebimento de V.T.
(Coluna "E")</t>
  </si>
  <si>
    <t>Desconto automático de V.T.
(Coluna "F")</t>
  </si>
  <si>
    <t>Preencher o número de dias (corridos) que o terceirizado que não recebe vt ficou afastado por férias ou faltas
(Coluna "G")</t>
  </si>
  <si>
    <t>Preencher nº de dias úteis em que o optante de V.T realizou trabalho em Home Office OU dias de Recesso Forense / Ponto facultativo
(Coluna "H")</t>
  </si>
  <si>
    <t>Conversão das horas de ausência em dias de ausência
(Coluna "I")</t>
  </si>
  <si>
    <t>Conversão das horas de ausência em dias de ausência
(Coluna "J")</t>
  </si>
  <si>
    <t>Nº dias de faltas comuns sem substituição.
(Coluna "K")</t>
  </si>
  <si>
    <t>Informar número de dias por férias no mês (dias)
(Coluna "L")</t>
  </si>
  <si>
    <t>Desconto de V.A. por dias de recesso forense e/ou ponto facultativo.
(Coluna "M")</t>
  </si>
  <si>
    <t>Nº de dias corridos de férias sem substituição quando o adicional de insalubridade é passado para outra servente do quadro.
(Coluna "N")</t>
  </si>
  <si>
    <t>Somatório de glosas.
(Coluna "O")</t>
  </si>
  <si>
    <t>Somatório de acrésimo por substituição do posto insalubre por outro profissional do quadro.
(Coluna "P")</t>
  </si>
  <si>
    <t>Informativo sobre valor faturado por tipo de função.
(Coluna "Q")</t>
  </si>
  <si>
    <t>Valores correspondentes ao fornecimento de materiais e epis.
(incluindo impostos)
(Coluna "R")</t>
  </si>
  <si>
    <t>Informar código de elemento de despesa
(Coluna "S")</t>
  </si>
  <si>
    <t>INFORMATIVO PARA GESTÃO CONTRATUAL</t>
  </si>
  <si>
    <t>Quant</t>
  </si>
  <si>
    <t>Descrição das Categorias</t>
  </si>
  <si>
    <t>Carga Horária (horas)</t>
  </si>
  <si>
    <t>Nº Postos não optantes pelo recebimento de V.T.</t>
  </si>
  <si>
    <t>Realizar glosa por não fornecimento de V.T.?</t>
  </si>
  <si>
    <t>Dias de
Glosa V.T.
Para Não Optantes</t>
  </si>
  <si>
    <t>Ajuste de V.T para fornecimento para
postos Não Optantes</t>
  </si>
  <si>
    <t>Dias de Home Office OU Recesso para os postos Optantes de V.T.</t>
  </si>
  <si>
    <t>Dias de faltas após conversão das horas
(planilha auxiliar)</t>
  </si>
  <si>
    <t>Quant. Atrasos e Faltas</t>
  </si>
  <si>
    <t>Dias de Férias</t>
  </si>
  <si>
    <t>Dias de Glosas de V.A no Mês</t>
  </si>
  <si>
    <t>*1 Dias de Deslocamento de Insalubridade</t>
  </si>
  <si>
    <t>VALOR TOTAL GLOSADO</t>
  </si>
  <si>
    <t>VALOR TOTAL ACRESCIDO</t>
  </si>
  <si>
    <t>Valor Mensal 
Faturado com aplicação de descontos</t>
  </si>
  <si>
    <t>VALOR TOTAL INSUMOS FORNECIDOS NO MÊS.</t>
  </si>
  <si>
    <t xml:space="preserve">Elemento de Despesa </t>
  </si>
  <si>
    <t>VALOR DE RETENÇÃO CONTA VINCULADA</t>
  </si>
  <si>
    <t>CÓDIGOS ELEMENTO DE DESPESA</t>
  </si>
  <si>
    <t>FATURAMENTO MENSAL</t>
  </si>
  <si>
    <t>RETENÇÃO 
GLOSA CONTA VINCULADA
(VERIFICAR NECESSIDADE)</t>
  </si>
  <si>
    <t>SIM</t>
  </si>
  <si>
    <t>ELEMENTO 1</t>
  </si>
  <si>
    <t>ELEMENTO 2</t>
  </si>
  <si>
    <t>ELEMENTO 3</t>
  </si>
  <si>
    <t>VALOR TOTAL GLOSADOS</t>
  </si>
  <si>
    <t>OBSERVAÇÕES:</t>
  </si>
  <si>
    <t>1. Para apoio ao lançamento de ausências de horas, sugere-se a utilização da planilha complementar abaixo. O preenchimento das horas convertidas deve ocorrer na Coluna "I".</t>
  </si>
  <si>
    <t>Planilha auxiliar para conversão de horas de ausências em dias de faltas. (preenchimento coluna "I")</t>
  </si>
  <si>
    <t>Jornada</t>
  </si>
  <si>
    <t>Total de Horas</t>
  </si>
  <si>
    <t>Total de Minutos</t>
  </si>
  <si>
    <t>Conversão em Dias</t>
  </si>
  <si>
    <t>Obs: Informar a jornada de trabalho do posto analisado. Em sequência, informar as horas completas faltantes e posteriormente os minutos. Ex: 10:25h faltantes - Lançar 10 na célula "D26" e lançar 25 na célula "E26".
Lançar o resultado convertido na coluna "H".</t>
  </si>
  <si>
    <t>2. Na célula “N18” deverá ser informado a quantidade de dias em que o trabalho insalubre foi realizado por outra servente do quadro, durante as férias da Servente de Limpeza 40% insalubre - titular.</t>
  </si>
  <si>
    <t>ITEM</t>
  </si>
  <si>
    <t>DESCRIÇÃO DO MATERIAL DE IMPEZA
SERVENTES DE LIMPEZA</t>
  </si>
  <si>
    <t>GASTO MENSAL</t>
  </si>
  <si>
    <r>
      <t xml:space="preserve">ANÁLISE CRÍTICA </t>
    </r>
    <r>
      <rPr>
        <b/>
        <sz val="10"/>
        <rFont val="Calibri"/>
        <family val="2"/>
        <scheme val="minor"/>
      </rPr>
      <t>SOBRE O FORNECIMENTO DOS MATERIAIS
ESTIMATIVA MENSAL x FORNECIMENTO EFETIVO
(INFORMAÇÃO COMO PARÂMETRO DE INDICATIVO)</t>
    </r>
  </si>
  <si>
    <t>REFERÊNCIA MENSAL PARA FORNECIMENTO</t>
  </si>
  <si>
    <t>VALORES UNITÁRIOS DO CONTRATO, CORRIGIDOS PELO REAJUSTE DE IPCA.
(SUBSTITUIR/IGUALAR MANUALMENTE OS PREÇOS UNITÁRIOS DA COLUNA "R" NA PLANILHA DE MATERIAIS - QUANDO HOUVER PLANIHA INICIAL DO CONTRATO)</t>
  </si>
  <si>
    <t>Material</t>
  </si>
  <si>
    <t>Unid.</t>
  </si>
  <si>
    <t>Marcas de Referência</t>
  </si>
  <si>
    <t>QNTDE "REAL" FORNECIDA
NO MÊS</t>
  </si>
  <si>
    <t>Custo Mensal</t>
  </si>
  <si>
    <t>Quantidade Mensal</t>
  </si>
  <si>
    <t>Quantidade Total</t>
  </si>
  <si>
    <t>Periodicidade</t>
  </si>
  <si>
    <t>Divisor</t>
  </si>
  <si>
    <t>VALOR INICIAL DO CONTRATO
(Informar após o término da licitação)</t>
  </si>
  <si>
    <t>1º REAJUSTE POR IPCA</t>
  </si>
  <si>
    <t>2º REAJUSTE POR IPCA</t>
  </si>
  <si>
    <t>3º REAJUSTE POR IPCA</t>
  </si>
  <si>
    <t>4º REAJUSTE POR IPCA</t>
  </si>
  <si>
    <t>5º REAJUSTE POR IPCA</t>
  </si>
  <si>
    <t>Fórmula SE, para inclusão após o término do processo licitatório. (INSERIR NA CÉLULA "G9" em diante)</t>
  </si>
  <si>
    <t>Água Sanitária - 5 litros</t>
  </si>
  <si>
    <t>Galão</t>
  </si>
  <si>
    <t>Valência</t>
  </si>
  <si>
    <t>Álcool 70% - 1 litro</t>
  </si>
  <si>
    <t>Itajá</t>
  </si>
  <si>
    <t>Álcool em gel ANTISSEPTICO 70% - 5 litros</t>
  </si>
  <si>
    <t xml:space="preserve">Balde de 15 litros </t>
  </si>
  <si>
    <t>Arqplast</t>
  </si>
  <si>
    <t>Desentupidor de vaso sanitário</t>
  </si>
  <si>
    <t>Samadar</t>
  </si>
  <si>
    <t xml:space="preserve">Desinfetante para vaso santitário - 5 litros </t>
  </si>
  <si>
    <t>Kalipto</t>
  </si>
  <si>
    <t>Detergente Neutro - 5 litros</t>
  </si>
  <si>
    <t>Limpol</t>
  </si>
  <si>
    <t>Escova de Nylon para lavar roupas</t>
  </si>
  <si>
    <t>Condor</t>
  </si>
  <si>
    <t>Esponja dupla face</t>
  </si>
  <si>
    <t>Assolan</t>
  </si>
  <si>
    <t>Flanela branca, 60 cm de largura</t>
  </si>
  <si>
    <t>Itatex</t>
  </si>
  <si>
    <t>Lã de aço, pacote com 8 unidades</t>
  </si>
  <si>
    <t>Pacote</t>
  </si>
  <si>
    <t>Limpa Pedras (desincrustante) - 5 litros</t>
  </si>
  <si>
    <t>Limpa vidros  500 ml</t>
  </si>
  <si>
    <t>Lustra móveis 200 ml</t>
  </si>
  <si>
    <t>Destak</t>
  </si>
  <si>
    <t>Luvas de Látex forrada (par)</t>
  </si>
  <si>
    <t>Danny</t>
  </si>
  <si>
    <t>Mangueira reforçada 1/2", anti torção  - 50 m</t>
  </si>
  <si>
    <t>Kanaflex</t>
  </si>
  <si>
    <t>Pá para lixo - cabo de 0,80 cm</t>
  </si>
  <si>
    <t>Politex</t>
  </si>
  <si>
    <t>Papel higiênico branco, folha dupla, neutro, 30 m, fardo com 8 unidades</t>
  </si>
  <si>
    <t>Fardo</t>
  </si>
  <si>
    <t>Personal ou similar</t>
  </si>
  <si>
    <t>Papel Higiênico, branco, fol. dupla, rolão 300 m - 1ª qualidade</t>
  </si>
  <si>
    <t>Solopel ou similar</t>
  </si>
  <si>
    <t>Papel toalha branco 2 dobras, com 1000 fls - boa qualidade</t>
  </si>
  <si>
    <t>Perfpel</t>
  </si>
  <si>
    <t>Rodo borracha 60cm/cabo 1,2 m</t>
  </si>
  <si>
    <t>Rodin</t>
  </si>
  <si>
    <t>Sabão em barra com 5</t>
  </si>
  <si>
    <t>Minuano ou similar</t>
  </si>
  <si>
    <t>Sabão em pó 800g</t>
  </si>
  <si>
    <t>Tixan ou similar</t>
  </si>
  <si>
    <t>Sabonete Líquido Perolizado Erva Doce Concentrado 5 litros</t>
  </si>
  <si>
    <t>Larilimp</t>
  </si>
  <si>
    <t>Saco de algodão alvejado duplo, 40x70 - 24 batidas</t>
  </si>
  <si>
    <t>Ouro Branco ou similar</t>
  </si>
  <si>
    <t>Saco de lixo 20 litros Preto resistente</t>
  </si>
  <si>
    <t>Cento</t>
  </si>
  <si>
    <t>Dover roll</t>
  </si>
  <si>
    <t>Saco de lixo 60 litros Preto resistente</t>
  </si>
  <si>
    <t>Vassoura de pelo sintético, 60cm/ - cabo 1,2 m</t>
  </si>
  <si>
    <t>Bettanin</t>
  </si>
  <si>
    <t>Vassoura de piaçava nº 4/1,2 m</t>
  </si>
  <si>
    <t>Vassoura redonda p/ vaso sanitário com suporte</t>
  </si>
  <si>
    <t>DESPESA MENSAL</t>
  </si>
  <si>
    <t>TAXA ADMINISTRATIVA</t>
  </si>
  <si>
    <t>LUCRO</t>
  </si>
  <si>
    <t>TRIBUTOS</t>
  </si>
  <si>
    <t>VALOR TOTAL COM MATERIAIS DE LIMPEZA</t>
  </si>
  <si>
    <t>MATERIAIS DE LIMPEZA DE COPA</t>
  </si>
  <si>
    <t>Desentupidor de pia</t>
  </si>
  <si>
    <t>Alklin</t>
  </si>
  <si>
    <t>Detergente líquido 500ml</t>
  </si>
  <si>
    <t>Guadarnapo de papel branco, folha simples - 33x30 cm/pct 50 folhas</t>
  </si>
  <si>
    <t>Santepel</t>
  </si>
  <si>
    <t>Multiuso - 500ml</t>
  </si>
  <si>
    <t xml:space="preserve"> Pano de prato branco</t>
  </si>
  <si>
    <t>VALOR TOTAL COM MATERIAIS DE COPA</t>
  </si>
  <si>
    <t>LISTA PARA OPÇÕES DE GLOSAS</t>
  </si>
  <si>
    <t>DIAS ÚTEIS (CONTRATO)</t>
  </si>
  <si>
    <t>Obs: Desconto por dias definidos em contrato.</t>
  </si>
  <si>
    <t>Obs: Desconto atualmente aplicado (30 dias corridos).</t>
  </si>
  <si>
    <t>DIAS DO MÊS VIGENTE</t>
  </si>
  <si>
    <t>Informar</t>
  </si>
  <si>
    <t>Obs: Desconto por dias úteis mensais, ocorrência variável, devendo ser informado mensalmente.</t>
  </si>
  <si>
    <t>JORNADA DE TRABALHO</t>
  </si>
  <si>
    <t>DIVISOR DE HORAS</t>
  </si>
  <si>
    <t>LISTA PARA TOTAL DE POSTOS</t>
  </si>
  <si>
    <t>Tribunal Regional Federal da 6ª Região</t>
  </si>
  <si>
    <t>Seção Judiciária de Minas Gerais</t>
  </si>
  <si>
    <t>Subseção Judiciária de Ituiutaba</t>
  </si>
  <si>
    <t>INSTRUÇÕES DE PREENCHIMENTO - ANEXO II - PLANILHAS DE COMPOSIÇÃO DE CUSTOS</t>
  </si>
  <si>
    <t>1.</t>
  </si>
  <si>
    <t>SOMENTE SERÃO ACEITAS MODIFICAÇÕES NAS CÉLULAS DESTACADAS NA COR AMARELA COMO NO EXEMPLO ABAIXO:</t>
  </si>
  <si>
    <t>Células de livre edição.</t>
  </si>
  <si>
    <t>2.</t>
  </si>
  <si>
    <r>
      <rPr>
        <sz val="10"/>
        <rFont val="Calibri"/>
        <family val="2"/>
        <charset val="1"/>
      </rPr>
      <t xml:space="preserve">As demais células estarão </t>
    </r>
    <r>
      <rPr>
        <b/>
        <sz val="10"/>
        <rFont val="Calibri"/>
        <family val="2"/>
        <charset val="1"/>
      </rPr>
      <t>bloqueadas</t>
    </r>
    <r>
      <rPr>
        <sz val="10"/>
        <rFont val="Calibri"/>
        <family val="2"/>
        <charset val="1"/>
      </rPr>
      <t xml:space="preserve"> para edição das licitantes.</t>
    </r>
  </si>
  <si>
    <t>3.</t>
  </si>
  <si>
    <t>As Abas necessárias para o preenchimento estão organizadas em uma sequência lógica, sendo Dados; Encargos; Materiais (limpeza, copa, etc.); Equipamentos; Uniforme.</t>
  </si>
  <si>
    <t>Os nomes das abas estarão abreviados para otimização da planilha.</t>
  </si>
  <si>
    <r>
      <rPr>
        <b/>
        <sz val="10"/>
        <rFont val="Calibri"/>
        <family val="2"/>
        <charset val="1"/>
      </rPr>
      <t xml:space="preserve">Sugere-se o preenchimento das seguintes abas em sequência: </t>
    </r>
    <r>
      <rPr>
        <sz val="10"/>
        <rFont val="Calibri"/>
        <family val="2"/>
        <charset val="1"/>
      </rPr>
      <t>Dados, Encargos, Materiais, EPI, Equipamentos e Uniforme, para a realização de cálculos completa da planilha de composição de custos.</t>
    </r>
  </si>
  <si>
    <t>3.1</t>
  </si>
  <si>
    <t>Estas Abas estarão destacadas na Cor Amarela.</t>
  </si>
  <si>
    <t>3.2</t>
  </si>
  <si>
    <t>PREENCHIMENTO ABA "DADOS"</t>
  </si>
  <si>
    <t xml:space="preserve"> - Informar piso salarial de cada categoria, correspondente à jornada de 220h. (Células "E7":"E10").</t>
  </si>
  <si>
    <t xml:space="preserve"> - Informar os Dados da Apresentação da Proposta e relacionados à Convenção Coletiva de Trabalho. Tais informações não interferem na execução de cálculos, servem apenas para instruir o processo da análise da proposta. (Células "E13:E17").</t>
  </si>
  <si>
    <t xml:space="preserve"> - Informar o percentual correspondente ao RAT, conforme atividade principal da licitante. (Célula "G23").</t>
  </si>
  <si>
    <t xml:space="preserve"> - Informar o fator correspondente ao FAP, conforme extraído do relatório FapWeb. (Célula "G24").</t>
  </si>
  <si>
    <t xml:space="preserve"> - Informar o valor do salário mínimo nacional vigente (base de cálculo para a cotação de insalubridade). (Célula "G27").</t>
  </si>
  <si>
    <t xml:space="preserve"> - Informar o valor unitário do Seguro de Vida, nos casos exigidos, conforme legislação vigente. (Célula "G30").</t>
  </si>
  <si>
    <t xml:space="preserve"> - Informar o valor unitário do Assistência Odontológica, nos casos exigidos, conforme legislação vigente. (Célula "G31").</t>
  </si>
  <si>
    <t xml:space="preserve"> - Informar o valor unitário da tarifa de transporte público vigente à data de apresentação da proposta, conforme legislação vigente. (Célula "G32").</t>
  </si>
  <si>
    <t xml:space="preserve"> - Informar o quantitativo unitário diário de tarifas de transporte público (ex.: 1 tarifa para ida e 1 tarifa para volta = Total de 2 tarifas). (Célula "G33").</t>
  </si>
  <si>
    <t xml:space="preserve"> - Informar o percentual de desconto à título de participação do trabalhador em relação ao fornecimento de vale transporte, nos casos exigidos, conforme legislação vigente. (Célula "G35").</t>
  </si>
  <si>
    <t xml:space="preserve"> - Informar o valor unitário do ticket de Vale Alimentação, nos casos exigidos, conforme legislação vigente. (Célula "G36").</t>
  </si>
  <si>
    <t xml:space="preserve"> - Informar o percentual de desconto à título de participação do trabalhador em relação ao fornecimento de Vale Alimentação, nos casos exigidos, conforme legislação vigente. (Célula "G38").</t>
  </si>
  <si>
    <t xml:space="preserve"> - Incluir outros custos não previstos previamente, bem como descrevê-los, em caso de previsão legal, devendo ser apresentadas justificativas para a inserção. (Células "B39" e "G39").</t>
  </si>
  <si>
    <t xml:space="preserve"> - Incluir outros custos não previstos previamente, bem como descrevê-los, em caso de previsão legal, devendo ser apresentadas justificativas para a inserção. (Células "B40" e "G40").</t>
  </si>
  <si>
    <t xml:space="preserve"> - Informar o percentual relativo às Despesas Administrativas da licitante. (Células "G43").</t>
  </si>
  <si>
    <t xml:space="preserve"> - Informar o percentual relativo ao Lucro da licitante. (Células "G44").</t>
  </si>
  <si>
    <t xml:space="preserve"> - Informar a opção tributária da licitante (Células "F50") conforme legislação vigente, OBSERVANDO as instruções contantes na Célula "B49".</t>
  </si>
  <si>
    <t xml:space="preserve"> - Informar o percentual da alíquota COFINS (Células "G51") conforme legislação vigente, OBSERVANDO as instruções contantes na Célula "B49".</t>
  </si>
  <si>
    <t xml:space="preserve"> - Informar o percentual da alíquota PIS/PASEP (Células "G52") conforme legislação vigente, OBSERVANDO as instruções contantes na Célula "B49".</t>
  </si>
  <si>
    <t xml:space="preserve"> - Informar o percentual da alíquota ISSQN (Células "G53") conforme legislação vigente, OBSERVANDO as instruções contantes na Célula "B49".</t>
  </si>
  <si>
    <t xml:space="preserve"> - Incluir outros impostos não inseridos previamente, bem como descrevê-los, em caso de previsão legal, devendo ser apresentadas justificativas para a inserção. (Células "B54" e "G54").</t>
  </si>
  <si>
    <t xml:space="preserve"> - Alterar SOMENTE aqueles destacados na COR AMARELA.</t>
  </si>
  <si>
    <t>3.3</t>
  </si>
  <si>
    <t>PREENCHIMENTO ABA "ENCARGOS"</t>
  </si>
  <si>
    <t xml:space="preserve"> - Informar os percentuais de encargos nas células destacadas em amarelo dispostas na "Coluna C", de acordo com sua descrição "Coluna B".</t>
  </si>
  <si>
    <t xml:space="preserve"> - Atentar-se às observações continuadas ao final do quadro de encargos (Célula "B59"), com as demais instruções cabíveis aos percentuais dispostos nesta Aba.</t>
  </si>
  <si>
    <t>3.4</t>
  </si>
  <si>
    <t>PREENCHIMENTO ABA "MATERIAIS"</t>
  </si>
  <si>
    <t xml:space="preserve"> - Informar os valores unitários de cada item nas células destacadas em amarelo dispostas na "Coluna F", de acordo com sua descrição "Colunas B:E".</t>
  </si>
  <si>
    <t xml:space="preserve"> - Atentar-se para o preenchimento de todos os quadros dispostos nesta Aba, sendo:</t>
  </si>
  <si>
    <t xml:space="preserve"> - Materiais de Limpeza (Células "F9:F38")</t>
  </si>
  <si>
    <t>- Materiais de Copa (Células "F45:F50")</t>
  </si>
  <si>
    <t xml:space="preserve"> - O preenchimento das células da Coluna "H" está permitida somente para inserção de Observações, caso necessário.</t>
  </si>
  <si>
    <t>3.6</t>
  </si>
  <si>
    <t>PREENCHIMENTO ABA "EQUIPAMENTOS"</t>
  </si>
  <si>
    <t xml:space="preserve"> - Informar os valores unitários de cada item nas células destacadas em amarelo dispostas na "Coluna D", de acordo com sua descrição "Colunas B:C".</t>
  </si>
  <si>
    <t>3.7</t>
  </si>
  <si>
    <t>PREENCHIMENTO ABA "UNIFORMES"</t>
  </si>
  <si>
    <t xml:space="preserve"> - Informar os valores unitários de cada peça de uniforme nas células destacadas em amarelo dispostas na "Coluna G", de acordo com sua descrição "Colunas B:F".</t>
  </si>
  <si>
    <t xml:space="preserve"> - Atentar-se às descrições complementares dispostas na ABA "Especificações" que visam melhor entendimento dos itens de uniforme solicitados.</t>
  </si>
  <si>
    <t xml:space="preserve"> - Atentar-se às observações adicionais dispostas na ABA "Especificações", ao final do quadro com o detalhamento dos uniformes. (OBSERVAÇÕES)</t>
  </si>
  <si>
    <t>4.</t>
  </si>
  <si>
    <r>
      <rPr>
        <sz val="10"/>
        <rFont val="Calibri"/>
        <family val="2"/>
        <charset val="1"/>
      </rPr>
      <t xml:space="preserve">Destaca-se que após o preenchimento destas Abas (de acordo com as instruções contidas no item 3), os preços individuais das </t>
    </r>
    <r>
      <rPr>
        <b/>
        <sz val="10"/>
        <rFont val="Calibri"/>
        <family val="2"/>
        <charset val="1"/>
      </rPr>
      <t>categorias</t>
    </r>
    <r>
      <rPr>
        <sz val="10"/>
        <rFont val="Calibri"/>
        <family val="2"/>
        <charset val="1"/>
      </rPr>
      <t xml:space="preserve"> profissionais serão refletidos automaticamente para as suas abas correspondentes (Serv Ins, Serv, Copeira, Zel ac. e Aux).</t>
    </r>
  </si>
  <si>
    <t>4.1</t>
  </si>
  <si>
    <r>
      <rPr>
        <b/>
        <sz val="10"/>
        <rFont val="Calibri"/>
        <family val="2"/>
        <charset val="1"/>
      </rPr>
      <t>Não será necessário realizar nenhuma alteração nas abas contendo o detalhamento de custos de cada categoria profissional.</t>
    </r>
    <r>
      <rPr>
        <sz val="10"/>
        <rFont val="Calibri"/>
        <family val="2"/>
        <charset val="1"/>
      </rPr>
      <t xml:space="preserve"> Estas abas conterão apenas o reflexo dos dados preenchidos nas abas anteriores (conforme explicação nº 3).</t>
    </r>
  </si>
  <si>
    <t>4.2</t>
  </si>
  <si>
    <t>Estas abas estão destacadas na Cor Cinza.</t>
  </si>
  <si>
    <t>5.</t>
  </si>
  <si>
    <r>
      <rPr>
        <sz val="10"/>
        <rFont val="Calibri"/>
        <family val="2"/>
        <charset val="1"/>
      </rPr>
      <t>A Aba "</t>
    </r>
    <r>
      <rPr>
        <b/>
        <sz val="10"/>
        <rFont val="Calibri"/>
        <family val="2"/>
        <charset val="1"/>
      </rPr>
      <t>Resumo</t>
    </r>
    <r>
      <rPr>
        <sz val="10"/>
        <rFont val="Calibri"/>
        <family val="2"/>
        <charset val="1"/>
      </rPr>
      <t>" contém o detalhamento dos custos unitários por categoria profissional, além de conter o preço final da proposta.</t>
    </r>
  </si>
  <si>
    <t>5.1</t>
  </si>
  <si>
    <r>
      <rPr>
        <sz val="10"/>
        <rFont val="Calibri"/>
        <family val="2"/>
        <charset val="1"/>
      </rPr>
      <t xml:space="preserve">Para efeitos de lance/oferta, as licitantes devem considerar o valor da célula "W24", da Aba "Resumo", correspondente ao </t>
    </r>
    <r>
      <rPr>
        <b/>
        <sz val="10"/>
        <rFont val="Calibri"/>
        <family val="2"/>
        <charset val="1"/>
      </rPr>
      <t>VALOR MENSAL.</t>
    </r>
  </si>
  <si>
    <t>5.2</t>
  </si>
  <si>
    <t>Esta aba está destacada na Cor Azul.</t>
  </si>
  <si>
    <t>6.</t>
  </si>
  <si>
    <r>
      <rPr>
        <sz val="10"/>
        <rFont val="Calibri"/>
        <family val="2"/>
        <charset val="1"/>
      </rPr>
      <t>A Aba "</t>
    </r>
    <r>
      <rPr>
        <b/>
        <sz val="10"/>
        <rFont val="Calibri"/>
        <family val="2"/>
        <charset val="1"/>
      </rPr>
      <t>Custo Estimado Substituto</t>
    </r>
    <r>
      <rPr>
        <sz val="10"/>
        <rFont val="Calibri"/>
        <family val="2"/>
        <charset val="1"/>
      </rPr>
      <t>" contém valores estimados com os profissionais substitutos do titular em férias.</t>
    </r>
  </si>
  <si>
    <t>6.1</t>
  </si>
  <si>
    <t>Não será necessário realizar nenhuma alteração nesta aba, pois conterá apenas o reflexo dos dados preenchidos nas abas anteriores (conforme explicação nº 3).</t>
  </si>
  <si>
    <t>6.2</t>
  </si>
  <si>
    <t>ANEXO II - PLANILHA DE CUSTO E FORMAÇÃO DE PREÇO MENSAL ESTIMATIVO - PLANILHA DE DADOS</t>
  </si>
  <si>
    <t>Elemento de Despesa</t>
  </si>
  <si>
    <t>Quantidade de Postos</t>
  </si>
  <si>
    <t>Carga Horária
(Horas)</t>
  </si>
  <si>
    <t>*OBS 1 -
Salário Base I (Piso Para 220h/m)
(R$)</t>
  </si>
  <si>
    <t>Salário Base II
(Conforme Jornada Contratada)
(R$)</t>
  </si>
  <si>
    <t xml:space="preserve">
Insalubridade/Periculosidade
Grau de Risco
(%)</t>
  </si>
  <si>
    <t>Valor Insalubridade/Periculosidade
(R$)</t>
  </si>
  <si>
    <t>*OBS 2 -
Acúmulo de Função / Acréscimo Salarial
(%)</t>
  </si>
  <si>
    <t>*OBS 3 -
Tempo de Execução de Atividades em Acúmulo
(%)</t>
  </si>
  <si>
    <t>*OBS 4 -
Base Para Cálculo de Acúmulo de Função
(R$)</t>
  </si>
  <si>
    <t>Valor Acúmulo de Função
(R$)</t>
  </si>
  <si>
    <t>Remuneração Total
(Grupo A)
(R$)</t>
  </si>
  <si>
    <t>Uniforme
(R$)</t>
  </si>
  <si>
    <t>Material de Limpeza Rateado
(R$)</t>
  </si>
  <si>
    <t>Material de Copa Rateado
(R$)</t>
  </si>
  <si>
    <t>Depreciação Rateada
(R$)</t>
  </si>
  <si>
    <t>CÓDIGO DE ELEMENTO DE DESPESA
(CONTROLE DA CONTRATANTE)</t>
  </si>
  <si>
    <t>RATEIO
INSUMOS</t>
  </si>
  <si>
    <t>Auxiliar Administrativo</t>
  </si>
  <si>
    <t>Servente de Limpeza ac. Copeira</t>
  </si>
  <si>
    <t>Servente de Limpeza (40%)</t>
  </si>
  <si>
    <t>Zelador</t>
  </si>
  <si>
    <t>OBS 1: Inserir piso salarial correspondente à jornada de 220h mensais.      OBS 2: Informar % de acúmulo de função.</t>
  </si>
  <si>
    <t>OBS 3: Informar % do tempo de acúmulo de função.   OBS 4: Informar salário base.</t>
  </si>
  <si>
    <t>TOTAL</t>
  </si>
  <si>
    <t>DADOS DA PROPOSTA</t>
  </si>
  <si>
    <t>Data de apresentação da proposta</t>
  </si>
  <si>
    <t>ABERTURA DA PROPOSTA</t>
  </si>
  <si>
    <t>Informar data de abertura do certame / data final para cadastro da proposta comercial.</t>
  </si>
  <si>
    <t>Sindicato utilizado</t>
  </si>
  <si>
    <t>SINDEACO</t>
  </si>
  <si>
    <t>Informar o sindicato utilizado pela Licitante.</t>
  </si>
  <si>
    <t>Número de registro da CCT - Código MTE</t>
  </si>
  <si>
    <t>MG000781/2023</t>
  </si>
  <si>
    <t>Informar o número de registro da Convenção Coletiva de Tralbalho utilizada no processo licitatório, junto ao Ministério do Trabalho e Emprego.</t>
  </si>
  <si>
    <t>Vigência da CCT utilizada</t>
  </si>
  <si>
    <t>01/01/2023 à 31/12/2023</t>
  </si>
  <si>
    <t>Informar a vigência da Convenção Coletiva de Trabalho utilizada no processo licitatório.</t>
  </si>
  <si>
    <t>Data base da categoria</t>
  </si>
  <si>
    <t>01º Janeiro</t>
  </si>
  <si>
    <t>Informar a data base da Convenção Coletiva de Trabalho utilizada no processo licitatório.</t>
  </si>
  <si>
    <t>ENCARGOS SOCIAIS E TRABALHISTAS</t>
  </si>
  <si>
    <t>-</t>
  </si>
  <si>
    <t>Percentual de Encargos (TOTAL)</t>
  </si>
  <si>
    <t>SAT - Seguro Acidentes Trabalho</t>
  </si>
  <si>
    <t>RAT (Atividade Principal)</t>
  </si>
  <si>
    <t>Informar percentual correspondente à atividade preponderante da Licitante.</t>
  </si>
  <si>
    <t>FAP (Conforme FapWeb)</t>
  </si>
  <si>
    <t>Informar Fator extraído do documento FapWeb da Licitante.</t>
  </si>
  <si>
    <t>SALÁRIO BASE PARE CÁLCULO DE INSALUBRIDADE</t>
  </si>
  <si>
    <t>SALÁRIO MINÍMO NACIONAL – 2023</t>
  </si>
  <si>
    <t>Informar base salarial para fins de cálculo de Insalubridade.</t>
  </si>
  <si>
    <t>BENEFÍCIOS</t>
  </si>
  <si>
    <t>Seguro de Vida em Grupo</t>
  </si>
  <si>
    <t>Inserir valor unitário mensal.</t>
  </si>
  <si>
    <t>Plano Odontológico</t>
  </si>
  <si>
    <t>Vale Transporte</t>
  </si>
  <si>
    <t>Valor da tarifa</t>
  </si>
  <si>
    <t>Inserir o valor unitário da tarifa.</t>
  </si>
  <si>
    <t>Número de Tarifas por dia</t>
  </si>
  <si>
    <t>Inserir a quantidade de tarifas diárias.</t>
  </si>
  <si>
    <t>Número de dias para fornecimento</t>
  </si>
  <si>
    <t>Número de dias utilizados para a precificação. Número determinado em edital. Não será permitido alteração.</t>
  </si>
  <si>
    <t>Custeio do trabalhador (participação legal)</t>
  </si>
  <si>
    <t>Inserir percentual de participação do trabalhador.</t>
  </si>
  <si>
    <t>Vale Alimentação</t>
  </si>
  <si>
    <t>Valor Unitário do Ticket (jornada de 08h ou mais)</t>
  </si>
  <si>
    <t>Inserir valor unitário do Ticket.</t>
  </si>
  <si>
    <t>Outros (inserir somente com a justificativa legal)</t>
  </si>
  <si>
    <t>Inserir valor unitário mensal, quando preenchido, e apresentar as justificativas legais para inclusão.</t>
  </si>
  <si>
    <t>MONTANTE C</t>
  </si>
  <si>
    <t>Despesas Administrativas</t>
  </si>
  <si>
    <t>Informar percentual da Licitante.</t>
  </si>
  <si>
    <t>Lucro</t>
  </si>
  <si>
    <t>MONTANTE D</t>
  </si>
  <si>
    <t>OBS:</t>
  </si>
  <si>
    <t>Opção Tributária</t>
  </si>
  <si>
    <t>LUCRO REAL</t>
  </si>
  <si>
    <t>Informar opção tributária da Licitante. Atentar-se às observações do "Montante D".</t>
  </si>
  <si>
    <t>COFINS</t>
  </si>
  <si>
    <t>Informar percentual da Licitante. Atentar-se às observações do "Montante D".</t>
  </si>
  <si>
    <t>PIS/PASEP</t>
  </si>
  <si>
    <t>ISSQN</t>
  </si>
  <si>
    <t>Informar percentual do código tributário municipal, local da execução das atividades.</t>
  </si>
  <si>
    <t>Informar o tipo de tributo e apresentar as justificativas legais para inclusão. Informar percentual da Licitante. Atentar-se às observações do "Montante D".</t>
  </si>
  <si>
    <t>Soma dos tributos</t>
  </si>
  <si>
    <t>PREVISÃO DE REAJUSTE IPCA - 12 (DOZE) MESES DE CONTRATO - INFORMATIVO PARA SER UTILIZADO DURANTE A GESTÃO CONTRATUAL</t>
  </si>
  <si>
    <t>UNIFORME</t>
  </si>
  <si>
    <t>MATERIAIS
DIVERSOS</t>
  </si>
  <si>
    <t>SEG VIDA</t>
  </si>
  <si>
    <t>FATOR DE APLICAÇÃO
(2 CASAS DECIMAIS)</t>
  </si>
  <si>
    <t>DATA DE APROVAÇÃO IPCA</t>
  </si>
  <si>
    <t>DOCUMENTO RELACIONADO ID</t>
  </si>
  <si>
    <t>1º REAJUSTE IPCA</t>
  </si>
  <si>
    <t>Percentual (%) aprovado</t>
  </si>
  <si>
    <t>Aplicar reajuste após solicitação da contratada?</t>
  </si>
  <si>
    <t>NÃO</t>
  </si>
  <si>
    <t>2º REAJUSTE IPCA</t>
  </si>
  <si>
    <t>3º REAJUSTE IPCA</t>
  </si>
  <si>
    <t>4º REAJUSTE IPCA</t>
  </si>
  <si>
    <t>5º REAJUSTE IPCA</t>
  </si>
  <si>
    <t>CONTROLE DE REAJUSTE IPCA - UNIFORME</t>
  </si>
  <si>
    <t>APLICAR
VALOR</t>
  </si>
  <si>
    <t>INICIAL</t>
  </si>
  <si>
    <t>CONTROLE DE REAJUSTE IPCA - MATERIAIS DIVERSOS</t>
  </si>
  <si>
    <t>CONTROLE DE REAJUSTE IPCA - EPI COVID</t>
  </si>
  <si>
    <t>CONTROLE DE REAJUSTE IPCA - SEGURO DE VIDA</t>
  </si>
  <si>
    <t>VALOR INICIAL DO CONTRATO</t>
  </si>
  <si>
    <t>Fórmula SE, para inclusão após o término do processo licitatório. (INSERIR NA CÉLULA "G31")</t>
  </si>
  <si>
    <t>HISTÓRICO - CONTROLE DE CONTRATO - VERSÃO DE PLANILHA DE CUSTOS</t>
  </si>
  <si>
    <t>Planilha / Proposta comercial - Início do contrato (Licitação)</t>
  </si>
  <si>
    <t>PLANILHA - ID</t>
  </si>
  <si>
    <t>Obs: Planiha apresentada e aceita durante a fase de lances.</t>
  </si>
  <si>
    <t>1º Termo Aditivo</t>
  </si>
  <si>
    <t>Obs: Planilha ajustada com o acréscimo de 1 posto "X" - 200h.</t>
  </si>
  <si>
    <t>1º Termo de Apostilamento</t>
  </si>
  <si>
    <t>Obs: Repactuação CCT 2024 / Alteração do salário mínimo nacional.</t>
  </si>
  <si>
    <t>INFORMAR TERMO ADITIVO / APOSTILAMENTO / ALTERAÇÃO CONTRATUAL</t>
  </si>
  <si>
    <t>Obs: Descrever alerações. EX: Como é realizado no Extrato.</t>
  </si>
  <si>
    <t>Planilha de Encargos Sociais e Trabalhistas</t>
  </si>
  <si>
    <t>ANEXO II</t>
  </si>
  <si>
    <t>INSTRUÇÕES DE PREENCHIMENTO - Informar/Alterar somente as células destacadas na Cor Amarela, de acordo com o percentual da Licitante.</t>
  </si>
  <si>
    <t>QUADRO RESUMO</t>
  </si>
  <si>
    <t>DESCRIÇÃO</t>
  </si>
  <si>
    <t>PERCENTUAL</t>
  </si>
  <si>
    <t>Grupo A</t>
  </si>
  <si>
    <t>Encargos Previdenciários, FGTS e Outras Contribuições</t>
  </si>
  <si>
    <t>PREVIDÊNCIA SOCIAL - INSS</t>
  </si>
  <si>
    <t>SESI ou SESC</t>
  </si>
  <si>
    <t>SENAI ou SENAC</t>
  </si>
  <si>
    <t>INCRA</t>
  </si>
  <si>
    <t>Salário Educação</t>
  </si>
  <si>
    <t>FGTS</t>
  </si>
  <si>
    <t>SAT - Seguro Acidentes Trabalho - (RAT x FAP)</t>
  </si>
  <si>
    <t xml:space="preserve">  Alterar FAP e RAT na aba "DADOS"</t>
  </si>
  <si>
    <t>SEBRAE</t>
  </si>
  <si>
    <t>Total Grupo A - Encargos previdenciários, FGTS e Outras Contribuições</t>
  </si>
  <si>
    <t>Grupo B</t>
  </si>
  <si>
    <t>Grupo B.1</t>
  </si>
  <si>
    <t>13º Salário</t>
  </si>
  <si>
    <t>Adicional de Férias</t>
  </si>
  <si>
    <t>Subtotal</t>
  </si>
  <si>
    <t>Incidência do Grupo A sobre 13º salário e adicional de férias</t>
  </si>
  <si>
    <t>Total Grupo B.1 - 13º salário e adicional de férias</t>
  </si>
  <si>
    <t>Grupo B.2</t>
  </si>
  <si>
    <t>Afastamento Maternidade</t>
  </si>
  <si>
    <t>Licença Maternidade</t>
  </si>
  <si>
    <t>Incidência do Grupo A sobre o afastamento maternidade</t>
  </si>
  <si>
    <t>Total Grupo B.2 - Afastamento maternidade</t>
  </si>
  <si>
    <t>Grupo B.3</t>
  </si>
  <si>
    <t>Provisão para Rescisão</t>
  </si>
  <si>
    <t>Aviso Prévio Indenizado</t>
  </si>
  <si>
    <t>Incidência do FGTS sobre o Aviso Prévio Indenizado</t>
  </si>
  <si>
    <t>Multa do FGTS do Aviso Prévio Indenizado</t>
  </si>
  <si>
    <t>Aviso Prévio Trabalhado</t>
  </si>
  <si>
    <t xml:space="preserve">Incidência do Grupo A sobre o Aviso Prévio Trabalhado </t>
  </si>
  <si>
    <t xml:space="preserve">Multa do FGTS do Aviso Prévio Trabalhado </t>
  </si>
  <si>
    <t>Total Grupo B.3 - Provisão para rescisão</t>
  </si>
  <si>
    <t>Grupo B.4</t>
  </si>
  <si>
    <t>Composição do Custo de Reposição do Profissional Ausente</t>
  </si>
  <si>
    <t>Remuneração do profissional substituto</t>
  </si>
  <si>
    <t>Ausência por doença</t>
  </si>
  <si>
    <t>Licença Paternidade</t>
  </si>
  <si>
    <t>Ausências Legais</t>
  </si>
  <si>
    <t>Ausência por acidente de trabalho</t>
  </si>
  <si>
    <t>PERCENTUAIS PARA CONTINGENCIAMENTO DE ENCARGOS TRABALHISTAS A SEREM APLICADOS SOBRE A NOTA FISCAL (UTILIZAÇÃO DURANTE A VIGÊNCIA CONTRATUAL)</t>
  </si>
  <si>
    <t>Incidência do submódulo 4.1 sobre custo de reposição</t>
  </si>
  <si>
    <t>Total Grupo B.4 - Custo de reposição do profissional ausente</t>
  </si>
  <si>
    <t>Título</t>
  </si>
  <si>
    <t>VARIAÇÃO RAT AJUSTADO 0,50% A 6%</t>
  </si>
  <si>
    <t>Grupo C</t>
  </si>
  <si>
    <t>Outros (especificar)</t>
  </si>
  <si>
    <t>EMPRESAS</t>
  </si>
  <si>
    <t>Indenização Adicional</t>
  </si>
  <si>
    <t xml:space="preserve">Grupo </t>
  </si>
  <si>
    <t>Mínimo</t>
  </si>
  <si>
    <t>Máximo</t>
  </si>
  <si>
    <t>LICITANTE</t>
  </si>
  <si>
    <t>Total Grupo C - Indenização Adicional</t>
  </si>
  <si>
    <t>SUBMÓDULO E.1 - da IN 02/2008 MPOG:</t>
  </si>
  <si>
    <t>Quadro Resumo - Encargos Sociais e Trabalhistas</t>
  </si>
  <si>
    <t>SAT (RATxFAP):</t>
  </si>
  <si>
    <t>13º salário</t>
  </si>
  <si>
    <t>13º Salário + Adicional de Férias</t>
  </si>
  <si>
    <t>Férias</t>
  </si>
  <si>
    <t>1/3 constitucional</t>
  </si>
  <si>
    <t>Custo de Rescisão</t>
  </si>
  <si>
    <t>Custo de Reposição do profissional Ausente</t>
  </si>
  <si>
    <t>Incidência do Grupo A (*)</t>
  </si>
  <si>
    <t>Multa do FGTS</t>
  </si>
  <si>
    <t>Total dos Encargos Sociais Trabalhistas</t>
  </si>
  <si>
    <t>Encargos a contingenciar</t>
  </si>
  <si>
    <t>Taxa da conta-corrente vinculada (inciso II art. 2º IN 001/2013</t>
  </si>
  <si>
    <t>1. Não deverá haver alteração nos itens 9(9,09%), 10(3,03%), 13(3,49%) e 16(9,09%) dos percentuais acima, considerando que a Justiça Federal segue as diretrizes da IN 1/2016, de 20 de janeiro de 2016, do CJF, bem como o disposto no Art. 12 da Lei 13.932/2019, com vigência a partir de 01/01/2020.</t>
  </si>
  <si>
    <t>Total a contingenciar</t>
  </si>
  <si>
    <t>ANEXO II - CUSTO ESTIMATIVO DE MATERIAIS DE LIMPEZA</t>
  </si>
  <si>
    <t>INSTRUÇÕES DE PREENCHIMENTO - Informar/Alterar somente as células destacadas na Cor Amarela, de acordo com o valor unitário da Licitante.</t>
  </si>
  <si>
    <t>DESCRIÇÃO DO MATERIAL</t>
  </si>
  <si>
    <t>OBSERVAÇÕES</t>
  </si>
  <si>
    <t>REFERÊNCIA</t>
  </si>
  <si>
    <t>Preço Unitário</t>
  </si>
  <si>
    <t>Quantidade</t>
  </si>
  <si>
    <t>DIVISOR</t>
  </si>
  <si>
    <t>Água Sanitária, composição química:hipoclorito de sódio, hidróxido de sódio, cloreto, cor: incolor, aplicação: lavagem e alvejante de roupas, banheiras, pias, tipo: comum - Galão 5L</t>
  </si>
  <si>
    <t>Mensal</t>
  </si>
  <si>
    <t>Álcool em gel ANTISSEPTICO 70% - 5 litros. Álcool etílico limpeza de ambientes, tipo:etílico hidratado, características adicionais: gel, concentração: 70% - galão 5 litros</t>
  </si>
  <si>
    <t>Trimestral</t>
  </si>
  <si>
    <t>Anual</t>
  </si>
  <si>
    <t>Desinfetante para vaso santitário, com ação germicida, bactericida e fungicida, aspecto físico líquido, aroma preferencialmente lavanda e/ou floral suave; superconcentrado. Galão 5 L</t>
  </si>
  <si>
    <t>Detergente Neutro  líquido. Composição: componente ativo linear alquilbenzeno sulfonato de sódio. Glicerina. Coadjuvantes. Conservantes. Sequestrante. Espessantes. Corantes. Tensoativo. Veículo. Biodegradável - galão 5 litros - 5 litros</t>
  </si>
  <si>
    <t>Semestral</t>
  </si>
  <si>
    <t>Esponja dupla face, multiuso, verde e amarela: Não tecido à base de fibras sintéticas e minerais abrasivos, unidos por resina à prova d’água, usada para limpeza geral; dupla ação; medindo 071 mm x 100 mm. Com variação dimensional de 10% para mais ou para menos.</t>
  </si>
  <si>
    <t>Bimestral</t>
  </si>
  <si>
    <t>Limpa vidros, tipo líquido. Cor incolor/azul. Frasco plástico de 500ml, com gatilho. A embalagem deverá conter externamente os dados de identificação, procedência, número do lote, validade e número de registro no Ministério da Saúde. frasco 500 ml</t>
  </si>
  <si>
    <t>Lustra móveis a base de silicone, repelente de umidade e poeira que permita um brilho seco; Ideal para móveis envernizados; Frasco plástico de 200 ml</t>
  </si>
  <si>
    <t>Pá para lixo - cabo de 0,80 m</t>
  </si>
  <si>
    <t>Papel higiênico branco, folha dupla, neutro, 30 m, fardo com 8 unidades. 1ª qualidade.</t>
  </si>
  <si>
    <t>Papel toalha branco 2 dobras, com 1000 fls - 1ª qualidade</t>
  </si>
  <si>
    <t>Rodo de madeira com borracha dupla medindo 60 cm, com cabo de madeira de 1,2 m a 1,5m</t>
  </si>
  <si>
    <t>Sabão em barra neutro de 200 g, pacote com 05 unidades</t>
  </si>
  <si>
    <t>Sabão em pó multi-ação, para limpeza geral, composto de tensoativo aniônico, tamponante, coadjuvante, sinergista, corante, branqueador óptico, frangrância, água e carga, contém alquil benzeno sulfato de sódio. Embalagem de 800g a 1kg.</t>
  </si>
  <si>
    <t>Saco plástico lixo, 20 litros, 6 micra, cor preta, fabricado em conformidade com a norma ABNT NBR 9191. Embalagem com 100 sacos, contendo dados do produto e do fabricante. Pacote com 100 unidades</t>
  </si>
  <si>
    <t>Saco plástico lixo, 60 litros Preto resistente, densidade de no mínimo 6 micra, cor preta, largura 75, altura 105, fabricado em conformidade com a norma ABNT NBR 9191. Embalagem com 100 sacos, contendo dados do produto e do fabricante.</t>
  </si>
  <si>
    <t>ANEXO II - CUSTO ESTIMATIVO DE MATERIAIS DE COPA</t>
  </si>
  <si>
    <t>Marca de Referência</t>
  </si>
  <si>
    <t>PREÇO UNITÁRIO</t>
  </si>
  <si>
    <t>TOTAL DO CONSUMO MENSAL</t>
  </si>
  <si>
    <t>Detergente neutro líquido 500ml</t>
  </si>
  <si>
    <t>Scot</t>
  </si>
  <si>
    <t>Limpador Geral Multiuso - 500ml</t>
  </si>
  <si>
    <t xml:space="preserve"> Pano de prato branco liso, largura 40 cm, comprimento de 64 a 71 cm</t>
  </si>
  <si>
    <t>ANEXO II - CUSTO ESTIMATIVO DE PREÇOS DE EQUIPAMENTOS</t>
  </si>
  <si>
    <t>Valores em R$</t>
  </si>
  <si>
    <t>Item</t>
  </si>
  <si>
    <t>Especificação</t>
  </si>
  <si>
    <t>Quant.</t>
  </si>
  <si>
    <t>Valor Unitário</t>
  </si>
  <si>
    <t>Valor Total</t>
  </si>
  <si>
    <t>Depreciação 20% ao Ano</t>
  </si>
  <si>
    <t>Repasse Mensal</t>
  </si>
  <si>
    <t xml:space="preserve">RELAÇÃO DE MÁQUINAS E EQUIPAMENTOS SERVENTE </t>
  </si>
  <si>
    <t>Carrinho para enrolar mangueira 50m</t>
  </si>
  <si>
    <t>Lavadora de alta pressão pressão de 2400 PSI, vazão de 360 l/h e 1900w de potência.</t>
  </si>
  <si>
    <t xml:space="preserve">Carrinho funcional Completo para limpeza </t>
  </si>
  <si>
    <t>Escada de alumínio cavalete – 10 degraus</t>
  </si>
  <si>
    <t xml:space="preserve">Total da Depreciação de Máquinas e Equipamentos de Servente </t>
  </si>
  <si>
    <t>RELAÇÃO DE MÁQUINAS E EQUIPAMENTOS ZELADOR</t>
  </si>
  <si>
    <t>Parafusadeira/Furadeira 20V 3/8 Polegas</t>
  </si>
  <si>
    <t>Total da Depreciação de Máquinas e Equipamentos de Zelador</t>
  </si>
  <si>
    <t>ANEXO II - CUSTO ESTIMATIVO DE PREÇOS DOS UNIFORMES</t>
  </si>
  <si>
    <t>Serviços de Limpeza e Conservação</t>
  </si>
  <si>
    <t>CATEGORIA</t>
  </si>
  <si>
    <t>QNT.</t>
  </si>
  <si>
    <t>DESCRIÇÃO DE UNIFORME</t>
  </si>
  <si>
    <t>CORES</t>
  </si>
  <si>
    <t>TOTAL DO QUANTITATIVO</t>
  </si>
  <si>
    <t>Servente de Limpeza</t>
  </si>
  <si>
    <t>Calça</t>
  </si>
  <si>
    <t>Tecido bi-stretch, gabardine, 100%, poliéster, elástico na cintura, reta, com 2 bolsos, tamanhos PP, P, M, G, GG e EX</t>
  </si>
  <si>
    <t>Azul Marinho</t>
  </si>
  <si>
    <t>Camisa</t>
  </si>
  <si>
    <t>Malha PV ou similar, reta, gola careca ou redonda, 88% poliamida e 12% elastano</t>
  </si>
  <si>
    <t xml:space="preserve"> Bege ou creme</t>
  </si>
  <si>
    <t>Calçado</t>
  </si>
  <si>
    <t>Botina de segurança, em couro, sem ponteira e confortável, atendendo as exigências das Normas de Segurança do Trabalho</t>
  </si>
  <si>
    <t>Preto</t>
  </si>
  <si>
    <t>TOTAL DE POSTOS</t>
  </si>
  <si>
    <t>Chapéu</t>
  </si>
  <si>
    <t xml:space="preserve">Com protetor de pescoço para limpeza ar livre </t>
  </si>
  <si>
    <t>Bota</t>
  </si>
  <si>
    <t>Bota em PVC, atendendo as Normas de Segurança do Trabalho vigentes</t>
  </si>
  <si>
    <t xml:space="preserve">   Preto</t>
  </si>
  <si>
    <t>Soma</t>
  </si>
  <si>
    <t>CÁLCULO VALOR DO REPASSE MENSAL SERVENTE DE LIMPEZA</t>
  </si>
  <si>
    <t>Aux. Administrativo</t>
  </si>
  <si>
    <t>Calça Jeans azul escuro, tamanhos PP, P, M, G, GG e EX</t>
  </si>
  <si>
    <t xml:space="preserve"> Azul marinho</t>
  </si>
  <si>
    <t xml:space="preserve">Social, em tricoline, 67% algodão, 30% poliéster, 3% elastano,  gramatura 132g/m2, acinturada (masculina é reta), manga curta, tamanhos PP, P, M, G, GG e EX. </t>
  </si>
  <si>
    <t>Azul turqueza e azul marinho</t>
  </si>
  <si>
    <t>Sapato preto, modelo social ou sapatilha, linha ultra confort.</t>
  </si>
  <si>
    <t>CÁLCULO VALOR DO REPASSE MENSAL AUX. ADMINISTRATIVO</t>
  </si>
  <si>
    <t>Jeans santista ou similar, modelo tradicional</t>
  </si>
  <si>
    <t xml:space="preserve">  Azul Marinho</t>
  </si>
  <si>
    <t>Camisa Polo tradicional, em 50% algodão e 50% poliéster, com 2 botões</t>
  </si>
  <si>
    <t xml:space="preserve">    Cinza Grafite</t>
  </si>
  <si>
    <t xml:space="preserve">    Preto</t>
  </si>
  <si>
    <t>CÁLCULO VALOR DO REPASSE MENSAL ZELADOR</t>
  </si>
  <si>
    <t>Servente ac. Copeira</t>
  </si>
  <si>
    <t>Jaleco</t>
  </si>
  <si>
    <t>Em tecido bi-stretch, em microfibra gabardine, com botões frontais, manga curta, dois bolsos, tamanhos PP, P, M, G, GG e EX</t>
  </si>
  <si>
    <t>Branco com detalhe azul marinho</t>
  </si>
  <si>
    <t>Touca</t>
  </si>
  <si>
    <t>Touca protetora tecido e tela, lavável com borda (poá) e tela (azul marinho)</t>
  </si>
  <si>
    <t>Avental</t>
  </si>
  <si>
    <t>Em PVC, com peitilho, resistente e comprido até nos joelhos</t>
  </si>
  <si>
    <t xml:space="preserve">Branco </t>
  </si>
  <si>
    <t>CÁLCULO VALOR DO REPASSE MENSAL PARA O AC. COPEIRA</t>
  </si>
  <si>
    <t xml:space="preserve">ANEXO II - PLANILHA DE CUSTO E FORMAÇÃO DE PREÇO MENSAL ESTIMATIVO DO PROFISSIONAL SUBSTITUTO DO TITULAR EM FÉRIAS </t>
  </si>
  <si>
    <t xml:space="preserve">DESCRIÇÃO </t>
  </si>
  <si>
    <t>Percentual</t>
  </si>
  <si>
    <t>4.5</t>
  </si>
  <si>
    <t>Valor em R$</t>
  </si>
  <si>
    <t>Módulo 1 - Total da Remuneração</t>
  </si>
  <si>
    <t>A</t>
  </si>
  <si>
    <t>G</t>
  </si>
  <si>
    <t>Total do Custo MENSAL de Reposição do Profissional Ausente em Férias</t>
  </si>
  <si>
    <t>Total do Custo ANUAL de Reposição do Profissional Ausente em Férias</t>
  </si>
  <si>
    <t>Módulo 2 - Benefícios Mensais e Diários</t>
  </si>
  <si>
    <t>Vale-Alimentação</t>
  </si>
  <si>
    <t>B</t>
  </si>
  <si>
    <t>Vale-Transporte</t>
  </si>
  <si>
    <t>C</t>
  </si>
  <si>
    <t>Outros (sem concessão do intervalo intrajornada)</t>
  </si>
  <si>
    <t>Total de Benefícios Mensais e Diários</t>
  </si>
  <si>
    <t>Módulo 5 - Custos Indiretos, Lucros e Tributos</t>
  </si>
  <si>
    <t>Custos Indiretos (Despesas Operacionais e Administrativas)</t>
  </si>
  <si>
    <t>Tributos</t>
  </si>
  <si>
    <t>C.1</t>
  </si>
  <si>
    <t>Tributos Federais (PIS E COFINS)</t>
  </si>
  <si>
    <t>C.2</t>
  </si>
  <si>
    <t>Tributos Estaduais (especificar)</t>
  </si>
  <si>
    <t>C.3</t>
  </si>
  <si>
    <t>Tributos Municipais (ISS)</t>
  </si>
  <si>
    <t>C.4</t>
  </si>
  <si>
    <t>Total dos Custos Indiretos e Tributos</t>
  </si>
  <si>
    <t>CUSTO TOTAL DO PROFISSIONAL SUBSTITUTO</t>
  </si>
  <si>
    <t>Resumo do Custo Por Empregado Substituto do Titular em Férias</t>
  </si>
  <si>
    <t>Mão de Obra Vinculada à Execução Contratual  (Valor Por Empregado)</t>
  </si>
  <si>
    <t>Módulo 1 - Composição Remuneração * 12 (Anual)</t>
  </si>
  <si>
    <t>Subtotal (A+B)</t>
  </si>
  <si>
    <t>E</t>
  </si>
  <si>
    <t>Módulo 5 - Custos Indiretos, Tributos e Lucro</t>
  </si>
  <si>
    <t xml:space="preserve">Valor Total Mensal Por Empregado Substituto do Titular em Férias </t>
  </si>
  <si>
    <t>Planilha de Custo e Formação de Preço Mensal Por Categoria Profissional</t>
  </si>
  <si>
    <t>COM MATERIAL</t>
  </si>
  <si>
    <t>SEM MATERIAL</t>
  </si>
  <si>
    <t>CUSTO DE VALE ALIMENTAÇÃO</t>
  </si>
  <si>
    <t>CUSTO DE VALE-TRANSPORTE</t>
  </si>
  <si>
    <t>CUSTO INSALUBRIDADE</t>
  </si>
  <si>
    <t>33390.37.02 - Limpeza e Conservação</t>
  </si>
  <si>
    <t>MONTANTE "A" - Mão de Obra</t>
  </si>
  <si>
    <t>Função</t>
  </si>
  <si>
    <t>Carga Horária Mensal</t>
  </si>
  <si>
    <t xml:space="preserve"> Salário Base</t>
  </si>
  <si>
    <t>Adicional de Insalubridade</t>
  </si>
  <si>
    <t>Adicional Acúmulo de Função</t>
  </si>
  <si>
    <t>TOTAL DA REMUNERAÇÃO</t>
  </si>
  <si>
    <t xml:space="preserve">Encargos sociais e trabalhistas                         </t>
  </si>
  <si>
    <t>Total do Montante "A" ( Mão de Obra)</t>
  </si>
  <si>
    <t>MONTANTE "B" - INSUMOS</t>
  </si>
  <si>
    <t>Itens</t>
  </si>
  <si>
    <t>Valores Unitarios</t>
  </si>
  <si>
    <t>Uniforme</t>
  </si>
  <si>
    <t xml:space="preserve">Seguro de vida  </t>
  </si>
  <si>
    <t>Material de Limpeza</t>
  </si>
  <si>
    <t>Material de Copa</t>
  </si>
  <si>
    <t>Depreciação de Equipamentos</t>
  </si>
  <si>
    <t>Total do Montante "B" (Insumos)</t>
  </si>
  <si>
    <t>Montante "A" + Montante "B"</t>
  </si>
  <si>
    <t>MONTANTE "C" - DEMAIS COMPONENTES</t>
  </si>
  <si>
    <t>ITENS</t>
  </si>
  <si>
    <t>Despesas administrativas/operacionais</t>
  </si>
  <si>
    <t>Base de cálculo do lucro</t>
  </si>
  <si>
    <t>Total do Montante "C" (Demais componentes)</t>
  </si>
  <si>
    <t>Montante "A" + Montante "B" + Montante "C"</t>
  </si>
  <si>
    <t>MONTANTE "D" - TRIBUTOS</t>
  </si>
  <si>
    <t>Total do Montante "D" (Tributos)</t>
  </si>
  <si>
    <t>FATOR K</t>
  </si>
  <si>
    <t>Deslocamento Insalubridade</t>
  </si>
  <si>
    <t>ANEXO II - PLANILHA DE CUSTO E FORMAÇÃO DE PREÇO MENSAL ESTIMATIVO INTEGRAL - RESUMO</t>
  </si>
  <si>
    <t xml:space="preserve">MÊS: </t>
  </si>
  <si>
    <t>VALORES EM R$</t>
  </si>
  <si>
    <t>ELEMENTO DE DESPESA</t>
  </si>
  <si>
    <t>CATEGORIA PROFISSIONAL</t>
  </si>
  <si>
    <t>TOTAL DO FATURAMENTO MENSAL</t>
  </si>
  <si>
    <t>CUSTO MENSAL</t>
  </si>
  <si>
    <t>GLOSA VALE TRANSPORTE</t>
  </si>
  <si>
    <t>GLOSA DE ATRASOS, FALTAS E DESCONTO DO TITULAR EM FÉRIAS (sem material)</t>
  </si>
  <si>
    <t>GLOSA VALE ALIMENTAÇÃO</t>
  </si>
  <si>
    <t>TOTAL GLOSAS</t>
  </si>
  <si>
    <t>ACRÉSCIMO DE INSALUBRIDADE</t>
  </si>
  <si>
    <t>Homem-Mês</t>
  </si>
  <si>
    <t>Custo Mensal  do vale-transporte da categoria com Encargos</t>
  </si>
  <si>
    <t xml:space="preserve">GLOSA </t>
  </si>
  <si>
    <t>Glosa de Atrasos e Faltas</t>
  </si>
  <si>
    <t>Desconto Mensal do Titular em Férias sem substituição</t>
  </si>
  <si>
    <t>Desconto de Vale Alimentação em recesso forense ou ponto facultativo.</t>
  </si>
  <si>
    <t>Total da Glosa de Atrasos, Faltas, Desconto do Titular em Férias sem substituição e Desconto de V.A para recessos.</t>
  </si>
  <si>
    <t>PAGAMENTO INSALUBRIDADE EM SUBSTITUIÇÃO</t>
  </si>
  <si>
    <t>Custo Unitário da categoria</t>
  </si>
  <si>
    <t>Custo Mensal da categoria</t>
  </si>
  <si>
    <t>Dias de afastamento</t>
  </si>
  <si>
    <t>Valor da Glosa do vale transporte da categoria</t>
  </si>
  <si>
    <t>Custo Homem-Mês               (sem material)</t>
  </si>
  <si>
    <t>Valor da Glosa de Atrasos e Faltas</t>
  </si>
  <si>
    <t>Custo Unitário da categoria Planilha de Férias</t>
  </si>
  <si>
    <t xml:space="preserve">Valor do Desconto Mensal </t>
  </si>
  <si>
    <t>Custo Mensal  do vale alimentação da categoria com Encargos</t>
  </si>
  <si>
    <t>Dias de Recesso e/ou ponto facultativo</t>
  </si>
  <si>
    <t>Valor da Glosa do vale alimentação da categoria</t>
  </si>
  <si>
    <t>Valor Insalubridade por dia</t>
  </si>
  <si>
    <t>Quantidade de Dias</t>
  </si>
  <si>
    <t>Valor Devido</t>
  </si>
  <si>
    <t xml:space="preserve">TOTAL DO FATURAMENTO MENSAL </t>
  </si>
  <si>
    <t>Valor para Lance - Registro de oferta</t>
  </si>
  <si>
    <t>VALOR DO MATERIAL</t>
  </si>
  <si>
    <t>TOTAL DO FATURAMENTO ANUAL</t>
  </si>
  <si>
    <t>Período:</t>
  </si>
  <si>
    <t xml:space="preserve">ÍNDICE </t>
  </si>
  <si>
    <t>IPCA/ IBGE</t>
  </si>
  <si>
    <t>DIAS</t>
  </si>
  <si>
    <t>Pró-rata</t>
  </si>
  <si>
    <t>VALOR ATUAL</t>
  </si>
  <si>
    <t>ANO</t>
  </si>
  <si>
    <t>MÊS</t>
  </si>
  <si>
    <t>ÍNDICE %</t>
  </si>
  <si>
    <t>%</t>
  </si>
  <si>
    <t>AGO</t>
  </si>
  <si>
    <t>SET</t>
  </si>
  <si>
    <t>OUT</t>
  </si>
  <si>
    <t>NOV</t>
  </si>
  <si>
    <t>DEZ</t>
  </si>
  <si>
    <t>JAN</t>
  </si>
  <si>
    <t>FEV</t>
  </si>
  <si>
    <t>MAR</t>
  </si>
  <si>
    <t>ABR</t>
  </si>
  <si>
    <t>MAI</t>
  </si>
  <si>
    <t>JUN</t>
  </si>
  <si>
    <t>JUL</t>
  </si>
  <si>
    <t>INDICE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</si>
</sst>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R$ &quot;* #,##0.00_-;&quot;-R$ &quot;* #,##0.00_-;_-&quot;R$ &quot;* \-??_-;_-@_-"/>
    <numFmt numFmtId="165" formatCode="_(* #,##0.00_);_(* \(#,##0.00\);_(* \-??_);_(@_)"/>
    <numFmt numFmtId="166" formatCode="_-* #,##0.00_-;\-* #,##0.00_-;_-* \-??_-;_-@_-"/>
    <numFmt numFmtId="167" formatCode="#,##0_ ;\-#,##0\ "/>
    <numFmt numFmtId="168" formatCode="d/m/yyyy"/>
    <numFmt numFmtId="169" formatCode="0.0000"/>
    <numFmt numFmtId="170" formatCode="_(* #,##0_);_(* \(#,##0\);_(* \-??_);_(@_)"/>
    <numFmt numFmtId="171" formatCode="* #,##0.00\ ;* \(#,##0.00\);* \-#\ ;@\ "/>
    <numFmt numFmtId="172" formatCode="00"/>
  </numFmts>
  <fonts count="66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Times New Roman"/>
      <family val="1"/>
      <charset val="1"/>
    </font>
    <font>
      <sz val="11"/>
      <color rgb="FF333333"/>
      <name val="Calibri"/>
      <family val="2"/>
      <charset val="1"/>
    </font>
    <font>
      <sz val="11"/>
      <name val="Calibri"/>
      <family val="2"/>
      <charset val="1"/>
    </font>
    <font>
      <sz val="10"/>
      <color rgb="FF333333"/>
      <name val="Calibri"/>
      <family val="2"/>
      <charset val="1"/>
    </font>
    <font>
      <b/>
      <sz val="11"/>
      <name val="Calibri"/>
      <family val="2"/>
      <charset val="1"/>
    </font>
    <font>
      <sz val="12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rgb="FFFF0000"/>
      <name val="Calibri"/>
      <family val="2"/>
      <charset val="1"/>
    </font>
    <font>
      <sz val="10"/>
      <name val="Calibri"/>
      <family val="2"/>
      <charset val="1"/>
    </font>
    <font>
      <sz val="9"/>
      <name val="Calibri"/>
      <family val="2"/>
      <charset val="1"/>
    </font>
    <font>
      <sz val="10"/>
      <color rgb="FFFF0000"/>
      <name val="Calibri"/>
      <family val="2"/>
      <charset val="1"/>
    </font>
    <font>
      <sz val="11"/>
      <color rgb="FF808080"/>
      <name val="Calibri"/>
      <family val="2"/>
      <charset val="1"/>
    </font>
    <font>
      <sz val="11"/>
      <color rgb="FFFF0000"/>
      <name val="Calibri"/>
      <family val="2"/>
      <charset val="1"/>
    </font>
    <font>
      <b/>
      <u/>
      <sz val="10"/>
      <name val="Calibri"/>
      <family val="2"/>
      <charset val="1"/>
    </font>
    <font>
      <i/>
      <sz val="11"/>
      <color rgb="FF339966"/>
      <name val="Calibri"/>
      <family val="2"/>
      <charset val="1"/>
    </font>
    <font>
      <sz val="8"/>
      <name val="Calibri"/>
      <family val="2"/>
      <charset val="1"/>
    </font>
    <font>
      <b/>
      <sz val="12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4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2"/>
      <color rgb="FF333333"/>
      <name val="Calibri"/>
      <family val="2"/>
      <charset val="1"/>
    </font>
    <font>
      <b/>
      <sz val="11"/>
      <color rgb="FF333333"/>
      <name val="Calibri"/>
      <family val="2"/>
      <charset val="1"/>
    </font>
    <font>
      <b/>
      <sz val="9"/>
      <color rgb="FF333333"/>
      <name val="Calibri"/>
      <family val="2"/>
      <charset val="1"/>
    </font>
    <font>
      <b/>
      <sz val="9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8"/>
      <name val="Calibri"/>
      <family val="2"/>
      <charset val="1"/>
    </font>
    <font>
      <b/>
      <sz val="9"/>
      <color rgb="FFFF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8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4"/>
      <name val="Calibri"/>
      <family val="2"/>
      <scheme val="minor"/>
    </font>
    <font>
      <b/>
      <sz val="6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BFBFB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7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8"/>
      <name val="Calibri"/>
      <family val="2"/>
      <scheme val="minor"/>
    </font>
    <font>
      <b/>
      <sz val="2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808080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u/>
      <sz val="10"/>
      <name val="Calibri"/>
      <family val="2"/>
      <charset val="1"/>
    </font>
    <font>
      <sz val="9"/>
      <color rgb="FF333333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8CBAD"/>
        <bgColor rgb="FFFFC7CE"/>
      </patternFill>
    </fill>
    <fill>
      <patternFill patternType="solid">
        <fgColor rgb="FFFFFFCC"/>
        <bgColor rgb="FFFFFFFF"/>
      </patternFill>
    </fill>
    <fill>
      <patternFill patternType="solid">
        <fgColor rgb="FFDCE6F2"/>
        <bgColor rgb="FFDEEBF7"/>
      </patternFill>
    </fill>
    <fill>
      <patternFill patternType="solid">
        <fgColor rgb="FFF2DCDB"/>
        <bgColor rgb="FFD9D9D9"/>
      </patternFill>
    </fill>
    <fill>
      <patternFill patternType="solid">
        <fgColor rgb="FF606060"/>
        <bgColor rgb="FF595959"/>
      </patternFill>
    </fill>
    <fill>
      <patternFill patternType="solid">
        <fgColor rgb="FF595959"/>
        <bgColor rgb="FF606060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DEEBF7"/>
      </patternFill>
    </fill>
    <fill>
      <patternFill patternType="solid">
        <fgColor rgb="FF3366CC"/>
        <bgColor rgb="FF0066CC"/>
      </patternFill>
    </fill>
    <fill>
      <patternFill patternType="solid">
        <fgColor rgb="FFD9D9D9"/>
        <bgColor rgb="FFDCE6F2"/>
      </patternFill>
    </fill>
    <fill>
      <patternFill patternType="solid">
        <fgColor rgb="FFDEEBF7"/>
        <bgColor rgb="FFDCE6F2"/>
      </patternFill>
    </fill>
    <fill>
      <patternFill patternType="solid">
        <fgColor rgb="FF10243E"/>
        <bgColor rgb="FF333333"/>
      </patternFill>
    </fill>
    <fill>
      <patternFill patternType="solid">
        <fgColor rgb="FFBDD7EE"/>
        <bgColor rgb="FFD9D9D9"/>
      </patternFill>
    </fill>
    <fill>
      <patternFill patternType="solid">
        <fgColor rgb="FFC0C0C0"/>
        <bgColor rgb="FFBFBFBF"/>
      </patternFill>
    </fill>
    <fill>
      <patternFill patternType="solid">
        <fgColor rgb="FF808080"/>
        <bgColor rgb="FF969696"/>
      </patternFill>
    </fill>
    <fill>
      <patternFill patternType="solid">
        <fgColor rgb="FFADB9CA"/>
        <bgColor rgb="FFBFBFBF"/>
      </patternFill>
    </fill>
    <fill>
      <patternFill patternType="solid">
        <fgColor rgb="FF00B0F0"/>
        <bgColor rgb="FF33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rgb="FFFFFFCC"/>
      </patternFill>
    </fill>
    <fill>
      <patternFill patternType="solid">
        <fgColor rgb="FFFFFFFF"/>
        <bgColor rgb="FFEEEEEE"/>
      </patternFill>
    </fill>
    <fill>
      <patternFill patternType="solid">
        <fgColor rgb="FFFFFF91"/>
        <bgColor rgb="FFC0C0C0"/>
      </patternFill>
    </fill>
    <fill>
      <patternFill patternType="solid">
        <fgColor rgb="FFFFFF91"/>
        <bgColor rgb="FFEEEEEE"/>
      </patternFill>
    </fill>
    <fill>
      <patternFill patternType="solid">
        <fgColor rgb="FFFFFF91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2">
    <xf numFmtId="0" fontId="0" fillId="0" borderId="0"/>
    <xf numFmtId="166" fontId="35" fillId="0" borderId="0" applyBorder="0" applyProtection="0"/>
    <xf numFmtId="164" fontId="35" fillId="0" borderId="0" applyBorder="0" applyProtection="0"/>
    <xf numFmtId="9" fontId="35" fillId="0" borderId="0" applyBorder="0" applyProtection="0"/>
    <xf numFmtId="164" fontId="1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5" fillId="0" borderId="0" applyBorder="0" applyProtection="0"/>
    <xf numFmtId="9" fontId="1" fillId="0" borderId="0" applyBorder="0" applyProtection="0"/>
    <xf numFmtId="9" fontId="1" fillId="0" borderId="0" applyBorder="0" applyProtection="0"/>
    <xf numFmtId="9" fontId="2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6" fontId="2" fillId="0" borderId="0" applyBorder="0" applyProtection="0"/>
    <xf numFmtId="165" fontId="1" fillId="0" borderId="0" applyBorder="0" applyProtection="0"/>
    <xf numFmtId="166" fontId="3" fillId="0" borderId="0" applyBorder="0" applyProtection="0"/>
    <xf numFmtId="165" fontId="2" fillId="0" borderId="0" applyBorder="0" applyProtection="0"/>
    <xf numFmtId="166" fontId="35" fillId="0" borderId="0" applyBorder="0" applyProtection="0"/>
    <xf numFmtId="0" fontId="16" fillId="0" borderId="0" applyBorder="0" applyProtection="0"/>
    <xf numFmtId="171" fontId="2" fillId="0" borderId="0" applyBorder="0" applyProtection="0"/>
    <xf numFmtId="171" fontId="2" fillId="0" borderId="0" applyBorder="0" applyProtection="0"/>
  </cellStyleXfs>
  <cellXfs count="771">
    <xf numFmtId="0" fontId="0" fillId="0" borderId="0" xfId="0"/>
    <xf numFmtId="0" fontId="4" fillId="0" borderId="0" xfId="6" applyFont="1"/>
    <xf numFmtId="0" fontId="4" fillId="0" borderId="0" xfId="6" applyFont="1" applyAlignment="1">
      <alignment horizontal="center"/>
    </xf>
    <xf numFmtId="0" fontId="4" fillId="0" borderId="0" xfId="6" applyFont="1" applyAlignment="1">
      <alignment horizontal="left" vertical="center"/>
    </xf>
    <xf numFmtId="0" fontId="7" fillId="0" borderId="0" xfId="6" applyFont="1" applyAlignment="1">
      <alignment vertical="center"/>
    </xf>
    <xf numFmtId="1" fontId="10" fillId="0" borderId="17" xfId="6" applyNumberFormat="1" applyFont="1" applyBorder="1" applyAlignment="1">
      <alignment horizontal="center" vertical="center"/>
    </xf>
    <xf numFmtId="166" fontId="13" fillId="7" borderId="4" xfId="6" applyNumberFormat="1" applyFont="1" applyFill="1" applyBorder="1" applyAlignment="1">
      <alignment horizontal="center" vertical="center"/>
    </xf>
    <xf numFmtId="0" fontId="10" fillId="0" borderId="0" xfId="6" applyFont="1" applyAlignment="1">
      <alignment vertical="center"/>
    </xf>
    <xf numFmtId="0" fontId="4" fillId="0" borderId="0" xfId="6" applyFont="1" applyAlignment="1">
      <alignment horizontal="left" vertical="center" wrapText="1"/>
    </xf>
    <xf numFmtId="0" fontId="10" fillId="0" borderId="0" xfId="6" applyFont="1" applyAlignment="1">
      <alignment horizontal="center" vertical="center"/>
    </xf>
    <xf numFmtId="0" fontId="10" fillId="0" borderId="0" xfId="0" applyFont="1"/>
    <xf numFmtId="0" fontId="4" fillId="0" borderId="18" xfId="6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7" fillId="0" borderId="1" xfId="13" applyFont="1" applyBorder="1"/>
    <xf numFmtId="0" fontId="5" fillId="0" borderId="2" xfId="9" applyFont="1" applyBorder="1" applyAlignment="1">
      <alignment vertical="center"/>
    </xf>
    <xf numFmtId="0" fontId="17" fillId="0" borderId="3" xfId="13" applyFont="1" applyBorder="1"/>
    <xf numFmtId="0" fontId="5" fillId="0" borderId="0" xfId="9" applyFont="1" applyAlignment="1">
      <alignment vertical="center"/>
    </xf>
    <xf numFmtId="0" fontId="10" fillId="0" borderId="0" xfId="9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0" fillId="2" borderId="9" xfId="0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0" fillId="2" borderId="0" xfId="0" applyFont="1" applyFill="1"/>
    <xf numFmtId="0" fontId="8" fillId="0" borderId="0" xfId="0" applyFont="1"/>
    <xf numFmtId="49" fontId="10" fillId="0" borderId="0" xfId="0" applyNumberFormat="1" applyFont="1"/>
    <xf numFmtId="0" fontId="10" fillId="10" borderId="0" xfId="0" applyFont="1" applyFill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9" fillId="11" borderId="0" xfId="0" applyFont="1" applyFill="1"/>
    <xf numFmtId="0" fontId="10" fillId="10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20" fillId="0" borderId="0" xfId="6" applyFont="1" applyAlignment="1">
      <alignment horizontal="left" vertical="center"/>
    </xf>
    <xf numFmtId="164" fontId="10" fillId="0" borderId="0" xfId="4" applyFont="1" applyBorder="1" applyProtection="1"/>
    <xf numFmtId="0" fontId="4" fillId="0" borderId="0" xfId="6" applyFont="1" applyAlignment="1">
      <alignment vertical="center"/>
    </xf>
    <xf numFmtId="168" fontId="6" fillId="0" borderId="0" xfId="6" applyNumberFormat="1" applyFont="1" applyAlignment="1">
      <alignment horizontal="left" vertical="center"/>
    </xf>
    <xf numFmtId="0" fontId="4" fillId="0" borderId="0" xfId="0" applyFont="1"/>
    <xf numFmtId="0" fontId="6" fillId="0" borderId="0" xfId="6" applyFont="1" applyAlignment="1">
      <alignment vertical="center" wrapText="1"/>
    </xf>
    <xf numFmtId="0" fontId="10" fillId="12" borderId="4" xfId="6" applyFont="1" applyFill="1" applyBorder="1" applyAlignment="1">
      <alignment horizontal="center" vertical="center" wrapText="1"/>
    </xf>
    <xf numFmtId="0" fontId="6" fillId="12" borderId="4" xfId="6" applyFont="1" applyFill="1" applyBorder="1" applyAlignment="1">
      <alignment horizontal="center" vertical="center" wrapText="1"/>
    </xf>
    <xf numFmtId="169" fontId="7" fillId="0" borderId="0" xfId="6" applyNumberFormat="1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1" fontId="4" fillId="0" borderId="4" xfId="6" applyNumberFormat="1" applyFont="1" applyBorder="1" applyAlignment="1">
      <alignment horizontal="center" vertical="center"/>
    </xf>
    <xf numFmtId="0" fontId="4" fillId="0" borderId="4" xfId="6" applyFont="1" applyBorder="1" applyAlignment="1">
      <alignment vertical="center" wrapText="1"/>
    </xf>
    <xf numFmtId="4" fontId="4" fillId="2" borderId="4" xfId="1" applyNumberFormat="1" applyFont="1" applyFill="1" applyBorder="1" applyAlignment="1" applyProtection="1">
      <alignment horizontal="center" vertical="center"/>
      <protection locked="0"/>
    </xf>
    <xf numFmtId="4" fontId="4" fillId="0" borderId="4" xfId="1" applyNumberFormat="1" applyFont="1" applyBorder="1" applyAlignment="1" applyProtection="1">
      <alignment horizontal="center" vertical="center"/>
    </xf>
    <xf numFmtId="10" fontId="4" fillId="8" borderId="4" xfId="3" applyNumberFormat="1" applyFont="1" applyFill="1" applyBorder="1" applyAlignment="1" applyProtection="1">
      <alignment horizontal="center" vertical="center"/>
    </xf>
    <xf numFmtId="4" fontId="4" fillId="8" borderId="4" xfId="1" applyNumberFormat="1" applyFont="1" applyFill="1" applyBorder="1" applyAlignment="1" applyProtection="1">
      <alignment horizontal="center" vertical="center"/>
    </xf>
    <xf numFmtId="4" fontId="6" fillId="0" borderId="4" xfId="1" applyNumberFormat="1" applyFont="1" applyBorder="1" applyAlignment="1" applyProtection="1">
      <alignment horizontal="center" vertical="center"/>
    </xf>
    <xf numFmtId="166" fontId="13" fillId="7" borderId="4" xfId="1" applyFont="1" applyFill="1" applyBorder="1" applyAlignment="1" applyProtection="1">
      <alignment horizontal="center" vertical="center"/>
    </xf>
    <xf numFmtId="10" fontId="4" fillId="8" borderId="4" xfId="6" applyNumberFormat="1" applyFont="1" applyFill="1" applyBorder="1" applyAlignment="1">
      <alignment horizontal="center" vertical="center"/>
    </xf>
    <xf numFmtId="166" fontId="4" fillId="8" borderId="4" xfId="6" applyNumberFormat="1" applyFont="1" applyFill="1" applyBorder="1" applyAlignment="1">
      <alignment horizontal="left" vertical="center"/>
    </xf>
    <xf numFmtId="166" fontId="4" fillId="9" borderId="12" xfId="6" applyNumberFormat="1" applyFont="1" applyFill="1" applyBorder="1" applyAlignment="1">
      <alignment horizontal="center" vertical="center"/>
    </xf>
    <xf numFmtId="10" fontId="4" fillId="0" borderId="4" xfId="3" applyNumberFormat="1" applyFont="1" applyBorder="1" applyAlignment="1" applyProtection="1">
      <alignment horizontal="center" vertical="center"/>
    </xf>
    <xf numFmtId="0" fontId="6" fillId="0" borderId="0" xfId="6" applyFont="1" applyAlignment="1">
      <alignment vertical="center"/>
    </xf>
    <xf numFmtId="0" fontId="6" fillId="0" borderId="12" xfId="6" applyFont="1" applyBorder="1" applyAlignment="1">
      <alignment horizontal="center" vertical="center"/>
    </xf>
    <xf numFmtId="4" fontId="6" fillId="0" borderId="12" xfId="1" applyNumberFormat="1" applyFont="1" applyBorder="1" applyAlignment="1" applyProtection="1">
      <alignment horizontal="center" vertical="center"/>
    </xf>
    <xf numFmtId="0" fontId="6" fillId="12" borderId="4" xfId="6" applyFont="1" applyFill="1" applyBorder="1" applyAlignment="1">
      <alignment horizontal="center" vertical="center"/>
    </xf>
    <xf numFmtId="0" fontId="4" fillId="0" borderId="4" xfId="6" applyFont="1" applyBorder="1" applyAlignment="1">
      <alignment horizontal="center" vertical="center"/>
    </xf>
    <xf numFmtId="0" fontId="4" fillId="0" borderId="42" xfId="6" applyFont="1" applyBorder="1" applyAlignment="1">
      <alignment vertical="center"/>
    </xf>
    <xf numFmtId="10" fontId="6" fillId="0" borderId="4" xfId="3" applyNumberFormat="1" applyFont="1" applyBorder="1" applyAlignment="1" applyProtection="1">
      <alignment horizontal="center" vertical="center"/>
    </xf>
    <xf numFmtId="10" fontId="4" fillId="2" borderId="4" xfId="3" applyNumberFormat="1" applyFont="1" applyFill="1" applyBorder="1" applyAlignment="1" applyProtection="1">
      <alignment horizontal="center" vertical="center"/>
      <protection locked="0"/>
    </xf>
    <xf numFmtId="2" fontId="4" fillId="2" borderId="4" xfId="6" applyNumberFormat="1" applyFont="1" applyFill="1" applyBorder="1" applyAlignment="1" applyProtection="1">
      <alignment horizontal="center" vertical="center"/>
      <protection locked="0"/>
    </xf>
    <xf numFmtId="0" fontId="4" fillId="0" borderId="18" xfId="6" applyFont="1" applyBorder="1" applyAlignment="1">
      <alignment vertical="center"/>
    </xf>
    <xf numFmtId="0" fontId="4" fillId="0" borderId="43" xfId="6" applyFont="1" applyBorder="1" applyAlignment="1">
      <alignment vertical="center"/>
    </xf>
    <xf numFmtId="166" fontId="4" fillId="0" borderId="21" xfId="1" applyFont="1" applyBorder="1" applyAlignment="1" applyProtection="1">
      <alignment vertical="center"/>
    </xf>
    <xf numFmtId="0" fontId="4" fillId="0" borderId="42" xfId="6" applyFont="1" applyBorder="1" applyAlignment="1">
      <alignment horizontal="center" vertical="center"/>
    </xf>
    <xf numFmtId="2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4" fontId="21" fillId="0" borderId="4" xfId="0" applyNumberFormat="1" applyFont="1" applyBorder="1" applyAlignment="1">
      <alignment horizontal="center" vertical="center"/>
    </xf>
    <xf numFmtId="10" fontId="4" fillId="2" borderId="4" xfId="19" applyNumberFormat="1" applyFont="1" applyFill="1" applyBorder="1" applyAlignment="1" applyProtection="1">
      <alignment horizontal="center" vertical="center"/>
      <protection locked="0"/>
    </xf>
    <xf numFmtId="0" fontId="4" fillId="0" borderId="0" xfId="6" applyFont="1" applyAlignment="1">
      <alignment horizontal="center" vertical="center" wrapText="1"/>
    </xf>
    <xf numFmtId="166" fontId="4" fillId="0" borderId="0" xfId="1" applyFont="1" applyBorder="1" applyProtection="1"/>
    <xf numFmtId="0" fontId="6" fillId="12" borderId="18" xfId="6" applyFont="1" applyFill="1" applyBorder="1" applyAlignment="1">
      <alignment vertical="center" wrapText="1"/>
    </xf>
    <xf numFmtId="0" fontId="6" fillId="12" borderId="0" xfId="6" applyFont="1" applyFill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  <xf numFmtId="10" fontId="14" fillId="0" borderId="4" xfId="6" applyNumberFormat="1" applyFont="1" applyBorder="1" applyAlignment="1">
      <alignment horizontal="center" vertical="center"/>
    </xf>
    <xf numFmtId="0" fontId="14" fillId="0" borderId="4" xfId="6" applyFont="1" applyBorder="1" applyAlignment="1">
      <alignment horizontal="center" vertical="center"/>
    </xf>
    <xf numFmtId="2" fontId="4" fillId="10" borderId="18" xfId="6" applyNumberFormat="1" applyFont="1" applyFill="1" applyBorder="1" applyAlignment="1">
      <alignment vertical="center"/>
    </xf>
    <xf numFmtId="168" fontId="4" fillId="0" borderId="4" xfId="6" applyNumberFormat="1" applyFont="1" applyBorder="1" applyAlignment="1">
      <alignment horizontal="center" vertical="center"/>
    </xf>
    <xf numFmtId="2" fontId="4" fillId="0" borderId="4" xfId="6" applyNumberFormat="1" applyFont="1" applyBorder="1" applyAlignment="1">
      <alignment horizontal="center" vertical="center"/>
    </xf>
    <xf numFmtId="2" fontId="4" fillId="0" borderId="0" xfId="6" applyNumberFormat="1" applyFont="1" applyAlignment="1">
      <alignment horizontal="center" vertical="center"/>
    </xf>
    <xf numFmtId="0" fontId="4" fillId="0" borderId="0" xfId="6" applyFont="1" applyAlignment="1">
      <alignment horizontal="left"/>
    </xf>
    <xf numFmtId="0" fontId="6" fillId="12" borderId="4" xfId="25" applyNumberFormat="1" applyFont="1" applyFill="1" applyBorder="1" applyAlignment="1" applyProtection="1">
      <alignment horizontal="center" vertical="center" wrapText="1"/>
    </xf>
    <xf numFmtId="0" fontId="22" fillId="12" borderId="4" xfId="25" applyNumberFormat="1" applyFont="1" applyFill="1" applyBorder="1" applyAlignment="1" applyProtection="1">
      <alignment horizontal="center" vertical="center" wrapText="1"/>
    </xf>
    <xf numFmtId="164" fontId="14" fillId="0" borderId="4" xfId="4" applyFont="1" applyBorder="1" applyAlignment="1" applyProtection="1">
      <alignment horizontal="center" vertical="center"/>
    </xf>
    <xf numFmtId="164" fontId="4" fillId="0" borderId="4" xfId="4" applyFont="1" applyBorder="1" applyAlignment="1" applyProtection="1">
      <alignment horizontal="center" vertical="center"/>
    </xf>
    <xf numFmtId="0" fontId="4" fillId="0" borderId="32" xfId="6" applyFont="1" applyBorder="1"/>
    <xf numFmtId="0" fontId="4" fillId="0" borderId="12" xfId="6" applyFont="1" applyBorder="1"/>
    <xf numFmtId="0" fontId="4" fillId="0" borderId="42" xfId="6" applyFont="1" applyBorder="1"/>
    <xf numFmtId="0" fontId="4" fillId="0" borderId="46" xfId="6" applyFont="1" applyBorder="1"/>
    <xf numFmtId="0" fontId="5" fillId="0" borderId="1" xfId="0" applyFont="1" applyBorder="1"/>
    <xf numFmtId="0" fontId="5" fillId="0" borderId="2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3" xfId="0" applyFont="1" applyBorder="1"/>
    <xf numFmtId="0" fontId="5" fillId="0" borderId="48" xfId="0" applyFont="1" applyBorder="1" applyAlignment="1">
      <alignment vertical="center"/>
    </xf>
    <xf numFmtId="0" fontId="11" fillId="0" borderId="3" xfId="0" applyFont="1" applyBorder="1"/>
    <xf numFmtId="0" fontId="24" fillId="0" borderId="17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5" fillId="12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10" fontId="11" fillId="2" borderId="19" xfId="7" applyNumberFormat="1" applyFont="1" applyFill="1" applyBorder="1" applyAlignment="1" applyProtection="1">
      <alignment horizontal="center" vertical="center"/>
      <protection locked="0"/>
    </xf>
    <xf numFmtId="10" fontId="11" fillId="0" borderId="19" xfId="7" applyNumberFormat="1" applyFont="1" applyBorder="1" applyAlignment="1">
      <alignment horizontal="center" vertical="center"/>
    </xf>
    <xf numFmtId="2" fontId="0" fillId="0" borderId="0" xfId="0" applyNumberFormat="1"/>
    <xf numFmtId="10" fontId="25" fillId="12" borderId="19" xfId="18" applyNumberFormat="1" applyFont="1" applyFill="1" applyBorder="1" applyAlignment="1" applyProtection="1">
      <alignment horizontal="center" vertical="center"/>
    </xf>
    <xf numFmtId="0" fontId="11" fillId="0" borderId="18" xfId="0" applyFont="1" applyBorder="1" applyAlignment="1">
      <alignment vertical="center"/>
    </xf>
    <xf numFmtId="10" fontId="19" fillId="14" borderId="19" xfId="3" applyNumberFormat="1" applyFont="1" applyFill="1" applyBorder="1" applyAlignment="1" applyProtection="1">
      <alignment horizontal="center" vertical="center"/>
    </xf>
    <xf numFmtId="10" fontId="26" fillId="0" borderId="19" xfId="7" applyNumberFormat="1" applyFont="1" applyBorder="1" applyAlignment="1">
      <alignment horizontal="center" vertical="center"/>
    </xf>
    <xf numFmtId="10" fontId="27" fillId="0" borderId="14" xfId="0" applyNumberFormat="1" applyFont="1" applyBorder="1" applyAlignment="1">
      <alignment horizontal="center" vertical="center"/>
    </xf>
    <xf numFmtId="10" fontId="28" fillId="0" borderId="19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center"/>
    </xf>
    <xf numFmtId="10" fontId="26" fillId="0" borderId="19" xfId="18" applyNumberFormat="1" applyFont="1" applyBorder="1" applyAlignment="1" applyProtection="1">
      <alignment horizontal="center" vertical="center"/>
    </xf>
    <xf numFmtId="0" fontId="10" fillId="15" borderId="17" xfId="5" applyFont="1" applyFill="1" applyBorder="1" applyAlignment="1">
      <alignment horizontal="center" vertical="center" wrapText="1"/>
    </xf>
    <xf numFmtId="0" fontId="10" fillId="15" borderId="4" xfId="5" applyFont="1" applyFill="1" applyBorder="1" applyAlignment="1">
      <alignment horizontal="center" vertical="center" wrapText="1"/>
    </xf>
    <xf numFmtId="0" fontId="9" fillId="15" borderId="19" xfId="5" applyFont="1" applyFill="1" applyBorder="1" applyAlignment="1">
      <alignment horizontal="center" vertical="center" wrapText="1"/>
    </xf>
    <xf numFmtId="10" fontId="10" fillId="15" borderId="4" xfId="5" applyNumberFormat="1" applyFont="1" applyFill="1" applyBorder="1" applyAlignment="1">
      <alignment horizontal="center" vertical="center" wrapText="1"/>
    </xf>
    <xf numFmtId="10" fontId="12" fillId="15" borderId="19" xfId="5" applyNumberFormat="1" applyFont="1" applyFill="1" applyBorder="1" applyAlignment="1">
      <alignment horizontal="center" vertical="center" wrapText="1"/>
    </xf>
    <xf numFmtId="0" fontId="11" fillId="0" borderId="17" xfId="5" applyFont="1" applyBorder="1" applyAlignment="1">
      <alignment horizontal="center" vertical="center" wrapText="1"/>
    </xf>
    <xf numFmtId="10" fontId="11" fillId="0" borderId="4" xfId="5" applyNumberFormat="1" applyFont="1" applyBorder="1" applyAlignment="1">
      <alignment horizontal="center" vertical="center" wrapText="1"/>
    </xf>
    <xf numFmtId="10" fontId="11" fillId="0" borderId="19" xfId="5" applyNumberFormat="1" applyFont="1" applyBorder="1" applyAlignment="1">
      <alignment horizontal="center" vertical="center" wrapText="1"/>
    </xf>
    <xf numFmtId="0" fontId="26" fillId="15" borderId="17" xfId="5" applyFont="1" applyFill="1" applyBorder="1" applyAlignment="1">
      <alignment horizontal="center" vertical="center" wrapText="1"/>
    </xf>
    <xf numFmtId="10" fontId="26" fillId="15" borderId="4" xfId="5" applyNumberFormat="1" applyFont="1" applyFill="1" applyBorder="1" applyAlignment="1">
      <alignment horizontal="center" vertical="center" wrapText="1"/>
    </xf>
    <xf numFmtId="10" fontId="26" fillId="15" borderId="19" xfId="5" applyNumberFormat="1" applyFont="1" applyFill="1" applyBorder="1" applyAlignment="1">
      <alignment horizontal="center" vertical="center" wrapText="1"/>
    </xf>
    <xf numFmtId="0" fontId="26" fillId="0" borderId="17" xfId="5" applyFont="1" applyBorder="1" applyAlignment="1">
      <alignment horizontal="center" vertical="center" wrapText="1"/>
    </xf>
    <xf numFmtId="10" fontId="26" fillId="0" borderId="4" xfId="5" applyNumberFormat="1" applyFont="1" applyBorder="1" applyAlignment="1">
      <alignment horizontal="center" vertical="center" wrapText="1"/>
    </xf>
    <xf numFmtId="10" fontId="30" fillId="0" borderId="19" xfId="5" applyNumberFormat="1" applyFont="1" applyBorder="1" applyAlignment="1">
      <alignment horizontal="center" vertical="center" wrapText="1"/>
    </xf>
    <xf numFmtId="0" fontId="19" fillId="14" borderId="3" xfId="0" applyFont="1" applyFill="1" applyBorder="1" applyAlignment="1">
      <alignment horizontal="left" vertical="center"/>
    </xf>
    <xf numFmtId="0" fontId="19" fillId="14" borderId="0" xfId="0" applyFont="1" applyFill="1"/>
    <xf numFmtId="0" fontId="19" fillId="14" borderId="48" xfId="0" applyFont="1" applyFill="1" applyBorder="1"/>
    <xf numFmtId="0" fontId="26" fillId="15" borderId="22" xfId="5" applyFont="1" applyFill="1" applyBorder="1" applyAlignment="1">
      <alignment horizontal="center" vertical="center" wrapText="1"/>
    </xf>
    <xf numFmtId="10" fontId="26" fillId="15" borderId="28" xfId="5" applyNumberFormat="1" applyFont="1" applyFill="1" applyBorder="1" applyAlignment="1">
      <alignment horizontal="center" vertical="center" wrapText="1"/>
    </xf>
    <xf numFmtId="10" fontId="30" fillId="15" borderId="29" xfId="5" applyNumberFormat="1" applyFont="1" applyFill="1" applyBorder="1" applyAlignment="1">
      <alignment horizontal="center" vertical="center" wrapText="1"/>
    </xf>
    <xf numFmtId="0" fontId="10" fillId="0" borderId="0" xfId="13" applyFont="1"/>
    <xf numFmtId="0" fontId="11" fillId="0" borderId="0" xfId="9" applyFont="1"/>
    <xf numFmtId="0" fontId="7" fillId="0" borderId="0" xfId="13" applyFont="1"/>
    <xf numFmtId="49" fontId="32" fillId="9" borderId="4" xfId="13" applyNumberFormat="1" applyFont="1" applyFill="1" applyBorder="1" applyAlignment="1" applyProtection="1">
      <alignment horizontal="center" vertical="center" wrapText="1"/>
      <protection locked="0"/>
    </xf>
    <xf numFmtId="0" fontId="26" fillId="0" borderId="4" xfId="13" applyFont="1" applyBorder="1" applyAlignment="1">
      <alignment horizontal="center" vertical="center" wrapText="1"/>
    </xf>
    <xf numFmtId="0" fontId="26" fillId="0" borderId="0" xfId="13" applyFont="1" applyAlignment="1">
      <alignment vertical="center"/>
    </xf>
    <xf numFmtId="0" fontId="28" fillId="9" borderId="4" xfId="13" applyFont="1" applyFill="1" applyBorder="1" applyAlignment="1">
      <alignment horizontal="center" vertical="center"/>
    </xf>
    <xf numFmtId="0" fontId="8" fillId="0" borderId="0" xfId="13" applyFont="1"/>
    <xf numFmtId="0" fontId="33" fillId="17" borderId="4" xfId="13" applyFont="1" applyFill="1" applyBorder="1" applyAlignment="1">
      <alignment horizontal="center" vertical="center"/>
    </xf>
    <xf numFmtId="4" fontId="33" fillId="17" borderId="4" xfId="13" applyNumberFormat="1" applyFont="1" applyFill="1" applyBorder="1" applyAlignment="1">
      <alignment vertical="center"/>
    </xf>
    <xf numFmtId="0" fontId="10" fillId="0" borderId="4" xfId="13" applyFont="1" applyBorder="1" applyAlignment="1">
      <alignment horizontal="center" vertical="center"/>
    </xf>
    <xf numFmtId="10" fontId="10" fillId="0" borderId="4" xfId="13" applyNumberFormat="1" applyFont="1" applyBorder="1" applyAlignment="1">
      <alignment horizontal="center" vertical="center"/>
    </xf>
    <xf numFmtId="4" fontId="10" fillId="9" borderId="4" xfId="30" applyNumberFormat="1" applyFont="1" applyFill="1" applyBorder="1" applyAlignment="1" applyProtection="1">
      <alignment vertical="center"/>
    </xf>
    <xf numFmtId="10" fontId="27" fillId="0" borderId="4" xfId="13" applyNumberFormat="1" applyFont="1" applyBorder="1" applyAlignment="1">
      <alignment horizontal="center" vertical="center"/>
    </xf>
    <xf numFmtId="10" fontId="28" fillId="0" borderId="4" xfId="13" applyNumberFormat="1" applyFont="1" applyBorder="1" applyAlignment="1">
      <alignment horizontal="center" vertical="center"/>
    </xf>
    <xf numFmtId="4" fontId="8" fillId="9" borderId="4" xfId="30" applyNumberFormat="1" applyFont="1" applyFill="1" applyBorder="1" applyAlignment="1" applyProtection="1">
      <alignment horizontal="right" vertical="center"/>
    </xf>
    <xf numFmtId="0" fontId="28" fillId="12" borderId="4" xfId="13" applyFont="1" applyFill="1" applyBorder="1" applyAlignment="1" applyProtection="1">
      <alignment horizontal="center" vertical="center"/>
      <protection locked="0"/>
    </xf>
    <xf numFmtId="0" fontId="28" fillId="12" borderId="4" xfId="13" applyFont="1" applyFill="1" applyBorder="1" applyAlignment="1" applyProtection="1">
      <alignment vertical="center"/>
      <protection locked="0"/>
    </xf>
    <xf numFmtId="0" fontId="10" fillId="0" borderId="4" xfId="13" applyFont="1" applyBorder="1" applyAlignment="1" applyProtection="1">
      <alignment horizontal="center" vertical="center"/>
      <protection locked="0"/>
    </xf>
    <xf numFmtId="0" fontId="10" fillId="0" borderId="4" xfId="13" applyFont="1" applyBorder="1" applyAlignment="1" applyProtection="1">
      <alignment vertical="center"/>
      <protection locked="0"/>
    </xf>
    <xf numFmtId="4" fontId="10" fillId="0" borderId="4" xfId="13" applyNumberFormat="1" applyFont="1" applyBorder="1" applyAlignment="1" applyProtection="1">
      <alignment vertical="center"/>
      <protection locked="0"/>
    </xf>
    <xf numFmtId="4" fontId="10" fillId="0" borderId="4" xfId="13" applyNumberFormat="1" applyFont="1" applyBorder="1"/>
    <xf numFmtId="4" fontId="28" fillId="0" borderId="4" xfId="13" applyNumberFormat="1" applyFont="1" applyBorder="1" applyAlignment="1" applyProtection="1">
      <alignment vertical="center"/>
      <protection locked="0"/>
    </xf>
    <xf numFmtId="10" fontId="28" fillId="12" borderId="4" xfId="13" applyNumberFormat="1" applyFont="1" applyFill="1" applyBorder="1" applyAlignment="1">
      <alignment horizontal="center" vertical="center"/>
    </xf>
    <xf numFmtId="10" fontId="10" fillId="0" borderId="4" xfId="13" applyNumberFormat="1" applyFont="1" applyBorder="1" applyAlignment="1" applyProtection="1">
      <alignment vertical="center" wrapText="1"/>
      <protection locked="0"/>
    </xf>
    <xf numFmtId="4" fontId="10" fillId="9" borderId="4" xfId="13" applyNumberFormat="1" applyFont="1" applyFill="1" applyBorder="1" applyAlignment="1">
      <alignment horizontal="right" vertical="center"/>
    </xf>
    <xf numFmtId="0" fontId="28" fillId="0" borderId="4" xfId="13" applyFont="1" applyBorder="1" applyAlignment="1" applyProtection="1">
      <alignment horizontal="center" vertical="center"/>
      <protection locked="0"/>
    </xf>
    <xf numFmtId="10" fontId="28" fillId="0" borderId="4" xfId="13" applyNumberFormat="1" applyFont="1" applyBorder="1" applyAlignment="1" applyProtection="1">
      <alignment vertical="center" wrapText="1"/>
      <protection locked="0"/>
    </xf>
    <xf numFmtId="4" fontId="28" fillId="9" borderId="4" xfId="13" applyNumberFormat="1" applyFont="1" applyFill="1" applyBorder="1" applyAlignment="1" applyProtection="1">
      <alignment horizontal="right" vertical="center"/>
      <protection locked="0"/>
    </xf>
    <xf numFmtId="0" fontId="10" fillId="9" borderId="4" xfId="13" applyFont="1" applyFill="1" applyBorder="1" applyAlignment="1" applyProtection="1">
      <alignment horizontal="center" vertical="center"/>
      <protection locked="0"/>
    </xf>
    <xf numFmtId="0" fontId="28" fillId="0" borderId="4" xfId="13" applyFont="1" applyBorder="1" applyAlignment="1" applyProtection="1">
      <alignment vertical="center"/>
      <protection locked="0"/>
    </xf>
    <xf numFmtId="0" fontId="10" fillId="0" borderId="4" xfId="13" applyFont="1" applyBorder="1" applyAlignment="1" applyProtection="1">
      <alignment vertical="center" wrapText="1"/>
      <protection locked="0"/>
    </xf>
    <xf numFmtId="4" fontId="28" fillId="0" borderId="4" xfId="13" applyNumberFormat="1" applyFont="1" applyBorder="1" applyAlignment="1" applyProtection="1">
      <alignment horizontal="right" vertical="center"/>
      <protection locked="0"/>
    </xf>
    <xf numFmtId="0" fontId="28" fillId="12" borderId="4" xfId="13" applyFont="1" applyFill="1" applyBorder="1" applyAlignment="1">
      <alignment vertical="center"/>
    </xf>
    <xf numFmtId="0" fontId="10" fillId="0" borderId="4" xfId="13" applyFont="1" applyBorder="1" applyAlignment="1">
      <alignment vertical="center"/>
    </xf>
    <xf numFmtId="4" fontId="27" fillId="9" borderId="4" xfId="13" applyNumberFormat="1" applyFont="1" applyFill="1" applyBorder="1" applyAlignment="1">
      <alignment vertical="center"/>
    </xf>
    <xf numFmtId="0" fontId="28" fillId="0" borderId="4" xfId="13" applyFont="1" applyBorder="1" applyAlignment="1">
      <alignment vertical="center"/>
    </xf>
    <xf numFmtId="4" fontId="28" fillId="9" borderId="4" xfId="13" applyNumberFormat="1" applyFont="1" applyFill="1" applyBorder="1" applyAlignment="1">
      <alignment vertical="center"/>
    </xf>
    <xf numFmtId="4" fontId="28" fillId="12" borderId="4" xfId="13" applyNumberFormat="1" applyFont="1" applyFill="1" applyBorder="1" applyAlignment="1">
      <alignment vertical="center"/>
    </xf>
    <xf numFmtId="0" fontId="5" fillId="0" borderId="2" xfId="0" applyFont="1" applyBorder="1"/>
    <xf numFmtId="0" fontId="10" fillId="0" borderId="2" xfId="0" applyFont="1" applyBorder="1"/>
    <xf numFmtId="0" fontId="10" fillId="12" borderId="22" xfId="6" applyFont="1" applyFill="1" applyBorder="1" applyAlignment="1">
      <alignment horizontal="center" vertical="center" wrapText="1"/>
    </xf>
    <xf numFmtId="0" fontId="10" fillId="12" borderId="22" xfId="6" applyFont="1" applyFill="1" applyBorder="1" applyAlignment="1">
      <alignment horizontal="center" vertical="center"/>
    </xf>
    <xf numFmtId="0" fontId="10" fillId="12" borderId="28" xfId="6" applyFont="1" applyFill="1" applyBorder="1" applyAlignment="1">
      <alignment horizontal="center" vertical="center" wrapText="1"/>
    </xf>
    <xf numFmtId="0" fontId="10" fillId="12" borderId="64" xfId="6" applyFont="1" applyFill="1" applyBorder="1" applyAlignment="1">
      <alignment horizontal="center" vertical="center" wrapText="1"/>
    </xf>
    <xf numFmtId="0" fontId="10" fillId="12" borderId="29" xfId="6" applyFont="1" applyFill="1" applyBorder="1" applyAlignment="1">
      <alignment horizontal="center" vertical="center" wrapText="1"/>
    </xf>
    <xf numFmtId="0" fontId="10" fillId="12" borderId="27" xfId="6" applyFont="1" applyFill="1" applyBorder="1" applyAlignment="1">
      <alignment horizontal="center" vertical="center" wrapText="1"/>
    </xf>
    <xf numFmtId="0" fontId="8" fillId="0" borderId="3" xfId="6" applyFont="1" applyBorder="1" applyAlignment="1">
      <alignment vertical="center"/>
    </xf>
    <xf numFmtId="0" fontId="8" fillId="0" borderId="0" xfId="6" applyFont="1" applyAlignment="1">
      <alignment vertical="center"/>
    </xf>
    <xf numFmtId="0" fontId="10" fillId="0" borderId="0" xfId="6" applyFont="1"/>
    <xf numFmtId="0" fontId="10" fillId="0" borderId="0" xfId="6" applyFont="1" applyAlignment="1">
      <alignment vertical="top"/>
    </xf>
    <xf numFmtId="4" fontId="10" fillId="0" borderId="0" xfId="9" applyNumberFormat="1" applyFont="1" applyAlignment="1">
      <alignment horizontal="center"/>
    </xf>
    <xf numFmtId="0" fontId="5" fillId="0" borderId="1" xfId="9" applyFont="1" applyBorder="1" applyAlignment="1">
      <alignment vertical="center"/>
    </xf>
    <xf numFmtId="0" fontId="10" fillId="0" borderId="2" xfId="9" applyFont="1" applyBorder="1" applyAlignment="1">
      <alignment vertical="center"/>
    </xf>
    <xf numFmtId="4" fontId="10" fillId="0" borderId="2" xfId="9" applyNumberFormat="1" applyFont="1" applyBorder="1" applyAlignment="1">
      <alignment horizontal="center" vertical="center"/>
    </xf>
    <xf numFmtId="4" fontId="10" fillId="0" borderId="2" xfId="9" applyNumberFormat="1" applyFont="1" applyBorder="1" applyAlignment="1">
      <alignment horizontal="center"/>
    </xf>
    <xf numFmtId="4" fontId="10" fillId="0" borderId="47" xfId="9" applyNumberFormat="1" applyFont="1" applyBorder="1" applyAlignment="1">
      <alignment horizontal="center"/>
    </xf>
    <xf numFmtId="0" fontId="5" fillId="0" borderId="3" xfId="9" applyFont="1" applyBorder="1" applyAlignment="1">
      <alignment vertical="center"/>
    </xf>
    <xf numFmtId="0" fontId="10" fillId="0" borderId="0" xfId="9" applyFont="1" applyAlignment="1">
      <alignment vertical="center"/>
    </xf>
    <xf numFmtId="4" fontId="10" fillId="0" borderId="0" xfId="9" applyNumberFormat="1" applyFont="1" applyAlignment="1">
      <alignment horizontal="center" vertical="center"/>
    </xf>
    <xf numFmtId="4" fontId="10" fillId="0" borderId="48" xfId="9" applyNumberFormat="1" applyFont="1" applyBorder="1" applyAlignment="1">
      <alignment horizontal="center"/>
    </xf>
    <xf numFmtId="0" fontId="11" fillId="0" borderId="3" xfId="9" applyFont="1" applyBorder="1"/>
    <xf numFmtId="0" fontId="10" fillId="12" borderId="57" xfId="9" applyFont="1" applyFill="1" applyBorder="1" applyAlignment="1">
      <alignment vertical="center" wrapText="1"/>
    </xf>
    <xf numFmtId="0" fontId="11" fillId="0" borderId="17" xfId="9" applyFont="1" applyBorder="1" applyAlignment="1">
      <alignment horizontal="center" vertical="center"/>
    </xf>
    <xf numFmtId="0" fontId="11" fillId="0" borderId="4" xfId="9" applyFont="1" applyBorder="1" applyAlignment="1">
      <alignment horizontal="center" vertical="center" wrapText="1"/>
    </xf>
    <xf numFmtId="0" fontId="11" fillId="0" borderId="71" xfId="9" applyFont="1" applyBorder="1" applyAlignment="1">
      <alignment horizontal="center" vertical="center"/>
    </xf>
    <xf numFmtId="1" fontId="10" fillId="0" borderId="4" xfId="9" applyNumberFormat="1" applyFont="1" applyBorder="1" applyAlignment="1" applyProtection="1">
      <alignment horizontal="center" vertical="center"/>
      <protection locked="0"/>
    </xf>
    <xf numFmtId="4" fontId="10" fillId="12" borderId="4" xfId="22" applyNumberFormat="1" applyFont="1" applyFill="1" applyBorder="1" applyAlignment="1" applyProtection="1">
      <alignment horizontal="center" vertical="center"/>
    </xf>
    <xf numFmtId="4" fontId="10" fillId="0" borderId="4" xfId="22" applyNumberFormat="1" applyFont="1" applyBorder="1" applyAlignment="1" applyProtection="1">
      <alignment horizontal="center" vertical="center"/>
    </xf>
    <xf numFmtId="4" fontId="10" fillId="0" borderId="19" xfId="22" applyNumberFormat="1" applyFont="1" applyBorder="1" applyAlignment="1" applyProtection="1">
      <alignment horizontal="center" vertical="center"/>
    </xf>
    <xf numFmtId="166" fontId="10" fillId="0" borderId="4" xfId="9" applyNumberFormat="1" applyFont="1" applyBorder="1" applyAlignment="1" applyProtection="1">
      <alignment horizontal="center" vertical="center"/>
      <protection locked="0"/>
    </xf>
    <xf numFmtId="0" fontId="10" fillId="0" borderId="45" xfId="9" applyFont="1" applyBorder="1" applyAlignment="1" applyProtection="1">
      <alignment vertical="center" wrapText="1"/>
      <protection locked="0"/>
    </xf>
    <xf numFmtId="10" fontId="10" fillId="0" borderId="45" xfId="9" applyNumberFormat="1" applyFont="1" applyBorder="1" applyAlignment="1" applyProtection="1">
      <alignment horizontal="center" vertical="center" wrapText="1"/>
      <protection locked="0"/>
    </xf>
    <xf numFmtId="4" fontId="10" fillId="12" borderId="45" xfId="22" applyNumberFormat="1" applyFont="1" applyFill="1" applyBorder="1" applyAlignment="1" applyProtection="1">
      <alignment horizontal="center" vertical="center"/>
    </xf>
    <xf numFmtId="4" fontId="10" fillId="0" borderId="45" xfId="22" applyNumberFormat="1" applyFont="1" applyBorder="1" applyAlignment="1" applyProtection="1">
      <alignment horizontal="center" vertical="center"/>
    </xf>
    <xf numFmtId="4" fontId="10" fillId="0" borderId="51" xfId="22" applyNumberFormat="1" applyFont="1" applyBorder="1" applyAlignment="1" applyProtection="1">
      <alignment horizontal="center" vertical="center"/>
    </xf>
    <xf numFmtId="4" fontId="8" fillId="12" borderId="4" xfId="22" applyNumberFormat="1" applyFont="1" applyFill="1" applyBorder="1" applyAlignment="1" applyProtection="1">
      <alignment horizontal="center" vertical="center"/>
    </xf>
    <xf numFmtId="4" fontId="8" fillId="12" borderId="19" xfId="22" applyNumberFormat="1" applyFont="1" applyFill="1" applyBorder="1" applyAlignment="1" applyProtection="1">
      <alignment horizontal="center" vertical="center"/>
    </xf>
    <xf numFmtId="10" fontId="10" fillId="0" borderId="12" xfId="9" applyNumberFormat="1" applyFont="1" applyBorder="1" applyAlignment="1" applyProtection="1">
      <alignment horizontal="center" vertical="center"/>
      <protection locked="0"/>
    </xf>
    <xf numFmtId="4" fontId="8" fillId="12" borderId="7" xfId="22" applyNumberFormat="1" applyFont="1" applyFill="1" applyBorder="1" applyAlignment="1" applyProtection="1">
      <alignment horizontal="center" vertical="center"/>
    </xf>
    <xf numFmtId="4" fontId="8" fillId="12" borderId="8" xfId="22" applyNumberFormat="1" applyFont="1" applyFill="1" applyBorder="1" applyAlignment="1" applyProtection="1">
      <alignment horizontal="center" vertical="center"/>
    </xf>
    <xf numFmtId="0" fontId="10" fillId="0" borderId="4" xfId="9" applyFont="1" applyBorder="1" applyAlignment="1">
      <alignment horizontal="center" vertical="center"/>
    </xf>
    <xf numFmtId="0" fontId="10" fillId="0" borderId="17" xfId="9" applyFont="1" applyBorder="1" applyAlignment="1">
      <alignment horizontal="left" vertical="center"/>
    </xf>
    <xf numFmtId="2" fontId="10" fillId="0" borderId="4" xfId="9" applyNumberFormat="1" applyFont="1" applyBorder="1" applyAlignment="1">
      <alignment horizontal="center" vertical="center"/>
    </xf>
    <xf numFmtId="2" fontId="10" fillId="0" borderId="4" xfId="1" applyNumberFormat="1" applyFont="1" applyBorder="1" applyAlignment="1" applyProtection="1">
      <alignment horizontal="center" vertical="center"/>
    </xf>
    <xf numFmtId="2" fontId="10" fillId="0" borderId="4" xfId="22" applyNumberFormat="1" applyFont="1" applyBorder="1" applyAlignment="1" applyProtection="1">
      <alignment horizontal="center" vertical="center"/>
    </xf>
    <xf numFmtId="10" fontId="10" fillId="0" borderId="4" xfId="3" applyNumberFormat="1" applyFont="1" applyBorder="1" applyAlignment="1" applyProtection="1">
      <alignment horizontal="center" vertical="center"/>
    </xf>
    <xf numFmtId="4" fontId="10" fillId="0" borderId="4" xfId="1" applyNumberFormat="1" applyFont="1" applyBorder="1" applyAlignment="1" applyProtection="1">
      <alignment horizontal="center" vertical="center"/>
      <protection locked="0"/>
    </xf>
    <xf numFmtId="165" fontId="10" fillId="0" borderId="0" xfId="22" applyFont="1" applyBorder="1" applyAlignment="1" applyProtection="1">
      <alignment vertical="center"/>
    </xf>
    <xf numFmtId="0" fontId="10" fillId="0" borderId="4" xfId="9" applyFont="1" applyBorder="1" applyAlignment="1">
      <alignment horizontal="left" vertical="center"/>
    </xf>
    <xf numFmtId="2" fontId="10" fillId="0" borderId="45" xfId="1" applyNumberFormat="1" applyFont="1" applyBorder="1" applyAlignment="1" applyProtection="1">
      <alignment horizontal="center" vertical="center"/>
    </xf>
    <xf numFmtId="2" fontId="10" fillId="0" borderId="45" xfId="22" applyNumberFormat="1" applyFont="1" applyBorder="1" applyAlignment="1" applyProtection="1">
      <alignment horizontal="center" vertical="center"/>
    </xf>
    <xf numFmtId="0" fontId="10" fillId="0" borderId="18" xfId="9" applyFont="1" applyBorder="1" applyAlignment="1">
      <alignment horizontal="center" vertical="center" wrapText="1"/>
    </xf>
    <xf numFmtId="0" fontId="10" fillId="0" borderId="37" xfId="9" applyFont="1" applyBorder="1" applyAlignment="1">
      <alignment vertical="center"/>
    </xf>
    <xf numFmtId="0" fontId="10" fillId="0" borderId="35" xfId="9" applyFont="1" applyBorder="1" applyAlignment="1">
      <alignment vertical="center"/>
    </xf>
    <xf numFmtId="10" fontId="10" fillId="0" borderId="4" xfId="9" applyNumberFormat="1" applyFont="1" applyBorder="1" applyAlignment="1">
      <alignment horizontal="center" vertical="center"/>
    </xf>
    <xf numFmtId="4" fontId="10" fillId="0" borderId="35" xfId="9" applyNumberFormat="1" applyFont="1" applyBorder="1" applyAlignment="1">
      <alignment vertical="center"/>
    </xf>
    <xf numFmtId="0" fontId="10" fillId="0" borderId="53" xfId="9" applyFont="1" applyBorder="1" applyAlignment="1">
      <alignment vertical="center"/>
    </xf>
    <xf numFmtId="0" fontId="10" fillId="0" borderId="30" xfId="9" applyFont="1" applyBorder="1" applyAlignment="1">
      <alignment vertical="center"/>
    </xf>
    <xf numFmtId="10" fontId="10" fillId="0" borderId="45" xfId="9" applyNumberFormat="1" applyFont="1" applyBorder="1" applyAlignment="1">
      <alignment horizontal="center" vertical="center"/>
    </xf>
    <xf numFmtId="4" fontId="10" fillId="0" borderId="30" xfId="9" applyNumberFormat="1" applyFont="1" applyBorder="1" applyAlignment="1">
      <alignment vertical="center"/>
    </xf>
    <xf numFmtId="0" fontId="8" fillId="12" borderId="59" xfId="9" applyFont="1" applyFill="1" applyBorder="1" applyAlignment="1">
      <alignment vertical="center"/>
    </xf>
    <xf numFmtId="0" fontId="8" fillId="12" borderId="60" xfId="9" applyFont="1" applyFill="1" applyBorder="1" applyAlignment="1">
      <alignment vertical="center"/>
    </xf>
    <xf numFmtId="10" fontId="8" fillId="12" borderId="7" xfId="9" applyNumberFormat="1" applyFont="1" applyFill="1" applyBorder="1" applyAlignment="1">
      <alignment horizontal="center" vertical="center"/>
    </xf>
    <xf numFmtId="4" fontId="8" fillId="12" borderId="7" xfId="9" applyNumberFormat="1" applyFont="1" applyFill="1" applyBorder="1" applyAlignment="1">
      <alignment vertical="center"/>
    </xf>
    <xf numFmtId="4" fontId="8" fillId="12" borderId="67" xfId="22" applyNumberFormat="1" applyFont="1" applyFill="1" applyBorder="1" applyAlignment="1" applyProtection="1">
      <alignment horizontal="center" vertical="center"/>
    </xf>
    <xf numFmtId="4" fontId="8" fillId="12" borderId="25" xfId="22" applyNumberFormat="1" applyFont="1" applyFill="1" applyBorder="1" applyAlignment="1" applyProtection="1">
      <alignment horizontal="center" vertical="center"/>
    </xf>
    <xf numFmtId="4" fontId="10" fillId="0" borderId="4" xfId="9" applyNumberFormat="1" applyFont="1" applyBorder="1" applyAlignment="1">
      <alignment horizontal="center" vertical="center"/>
    </xf>
    <xf numFmtId="10" fontId="8" fillId="12" borderId="45" xfId="9" applyNumberFormat="1" applyFont="1" applyFill="1" applyBorder="1" applyAlignment="1">
      <alignment horizontal="center" vertical="center"/>
    </xf>
    <xf numFmtId="4" fontId="8" fillId="12" borderId="45" xfId="9" applyNumberFormat="1" applyFont="1" applyFill="1" applyBorder="1" applyAlignment="1">
      <alignment horizontal="center" vertical="center"/>
    </xf>
    <xf numFmtId="4" fontId="8" fillId="12" borderId="52" xfId="22" applyNumberFormat="1" applyFont="1" applyFill="1" applyBorder="1" applyAlignment="1" applyProtection="1">
      <alignment horizontal="center" vertical="center"/>
    </xf>
    <xf numFmtId="4" fontId="8" fillId="12" borderId="72" xfId="22" applyNumberFormat="1" applyFont="1" applyFill="1" applyBorder="1" applyAlignment="1" applyProtection="1">
      <alignment horizontal="center" vertical="center"/>
    </xf>
    <xf numFmtId="4" fontId="18" fillId="12" borderId="4" xfId="22" applyNumberFormat="1" applyFont="1" applyFill="1" applyBorder="1" applyAlignment="1" applyProtection="1">
      <alignment horizontal="center" vertical="center"/>
    </xf>
    <xf numFmtId="4" fontId="18" fillId="12" borderId="19" xfId="22" applyNumberFormat="1" applyFont="1" applyFill="1" applyBorder="1" applyAlignment="1" applyProtection="1">
      <alignment horizontal="center" vertical="center"/>
    </xf>
    <xf numFmtId="166" fontId="10" fillId="0" borderId="0" xfId="9" applyNumberFormat="1" applyFont="1"/>
    <xf numFmtId="2" fontId="18" fillId="12" borderId="28" xfId="17" applyNumberFormat="1" applyFont="1" applyFill="1" applyBorder="1" applyAlignment="1" applyProtection="1">
      <alignment horizontal="center" vertical="center"/>
    </xf>
    <xf numFmtId="164" fontId="8" fillId="13" borderId="29" xfId="2" applyFont="1" applyFill="1" applyBorder="1" applyAlignment="1" applyProtection="1">
      <alignment horizontal="center" vertical="center"/>
    </xf>
    <xf numFmtId="10" fontId="10" fillId="0" borderId="4" xfId="9" applyNumberFormat="1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>
      <alignment horizontal="right" vertical="center"/>
    </xf>
    <xf numFmtId="0" fontId="8" fillId="16" borderId="4" xfId="0" applyFont="1" applyFill="1" applyBorder="1" applyAlignment="1">
      <alignment horizontal="center" vertical="center" wrapText="1"/>
    </xf>
    <xf numFmtId="0" fontId="29" fillId="16" borderId="4" xfId="0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0" fontId="29" fillId="0" borderId="4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10" fontId="29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10" fontId="34" fillId="9" borderId="4" xfId="16" applyNumberFormat="1" applyFont="1" applyFill="1" applyBorder="1" applyAlignment="1" applyProtection="1">
      <alignment horizontal="center" vertical="center"/>
    </xf>
    <xf numFmtId="170" fontId="38" fillId="0" borderId="35" xfId="28" applyNumberFormat="1" applyFont="1" applyBorder="1" applyAlignment="1" applyProtection="1">
      <alignment horizontal="center" vertical="center"/>
    </xf>
    <xf numFmtId="10" fontId="4" fillId="21" borderId="4" xfId="6" applyNumberFormat="1" applyFont="1" applyFill="1" applyBorder="1" applyAlignment="1">
      <alignment horizontal="center" vertical="center"/>
    </xf>
    <xf numFmtId="166" fontId="4" fillId="21" borderId="4" xfId="6" applyNumberFormat="1" applyFont="1" applyFill="1" applyBorder="1" applyAlignment="1">
      <alignment horizontal="left" vertical="center"/>
    </xf>
    <xf numFmtId="170" fontId="37" fillId="0" borderId="37" xfId="28" applyNumberFormat="1" applyFont="1" applyBorder="1" applyAlignment="1" applyProtection="1">
      <alignment horizontal="center" vertical="center"/>
    </xf>
    <xf numFmtId="10" fontId="4" fillId="0" borderId="4" xfId="6" applyNumberFormat="1" applyFont="1" applyBorder="1" applyAlignment="1">
      <alignment horizontal="center" vertical="center"/>
    </xf>
    <xf numFmtId="166" fontId="4" fillId="0" borderId="4" xfId="6" applyNumberFormat="1" applyFont="1" applyBorder="1" applyAlignment="1">
      <alignment horizontal="left" vertical="center"/>
    </xf>
    <xf numFmtId="0" fontId="39" fillId="0" borderId="1" xfId="9" applyFont="1" applyBorder="1"/>
    <xf numFmtId="0" fontId="40" fillId="0" borderId="2" xfId="0" applyFont="1" applyBorder="1" applyAlignment="1">
      <alignment vertical="center"/>
    </xf>
    <xf numFmtId="0" fontId="39" fillId="0" borderId="2" xfId="15" applyFont="1" applyBorder="1"/>
    <xf numFmtId="0" fontId="39" fillId="0" borderId="2" xfId="15" applyFont="1" applyBorder="1" applyAlignment="1">
      <alignment horizontal="center" vertical="center"/>
    </xf>
    <xf numFmtId="0" fontId="39" fillId="0" borderId="47" xfId="15" applyFont="1" applyBorder="1"/>
    <xf numFmtId="0" fontId="39" fillId="0" borderId="0" xfId="15" applyFont="1"/>
    <xf numFmtId="0" fontId="39" fillId="0" borderId="3" xfId="9" applyFont="1" applyBorder="1"/>
    <xf numFmtId="0" fontId="40" fillId="0" borderId="0" xfId="0" applyFont="1" applyAlignment="1">
      <alignment vertical="center"/>
    </xf>
    <xf numFmtId="0" fontId="39" fillId="0" borderId="0" xfId="15" applyFont="1" applyAlignment="1">
      <alignment horizontal="center" vertical="center"/>
    </xf>
    <xf numFmtId="0" fontId="39" fillId="0" borderId="48" xfId="15" applyFont="1" applyBorder="1"/>
    <xf numFmtId="0" fontId="41" fillId="0" borderId="0" xfId="9" applyFont="1" applyAlignment="1">
      <alignment horizontal="center" vertical="center"/>
    </xf>
    <xf numFmtId="0" fontId="38" fillId="0" borderId="0" xfId="15" applyFont="1"/>
    <xf numFmtId="0" fontId="37" fillId="0" borderId="0" xfId="15" applyFont="1" applyAlignment="1">
      <alignment horizontal="center" vertical="center"/>
    </xf>
    <xf numFmtId="0" fontId="36" fillId="12" borderId="4" xfId="15" applyFont="1" applyFill="1" applyBorder="1" applyAlignment="1">
      <alignment horizontal="center" vertical="center" wrapText="1"/>
    </xf>
    <xf numFmtId="0" fontId="36" fillId="0" borderId="0" xfId="15" applyFont="1" applyAlignment="1">
      <alignment horizontal="center" vertical="center" wrapText="1"/>
    </xf>
    <xf numFmtId="0" fontId="43" fillId="12" borderId="4" xfId="15" applyFont="1" applyFill="1" applyBorder="1" applyAlignment="1">
      <alignment horizontal="center" vertical="center" wrapText="1"/>
    </xf>
    <xf numFmtId="0" fontId="36" fillId="16" borderId="12" xfId="15" applyFont="1" applyFill="1" applyBorder="1" applyAlignment="1">
      <alignment horizontal="center" vertical="center" wrapText="1"/>
    </xf>
    <xf numFmtId="0" fontId="36" fillId="16" borderId="13" xfId="15" applyFont="1" applyFill="1" applyBorder="1" applyAlignment="1">
      <alignment horizontal="center" vertical="center" wrapText="1"/>
    </xf>
    <xf numFmtId="1" fontId="40" fillId="0" borderId="17" xfId="12" applyNumberFormat="1" applyFont="1" applyBorder="1" applyAlignment="1">
      <alignment horizontal="center" vertical="center" wrapText="1"/>
    </xf>
    <xf numFmtId="0" fontId="39" fillId="0" borderId="4" xfId="0" applyFont="1" applyBorder="1" applyAlignment="1">
      <alignment vertical="center" wrapText="1"/>
    </xf>
    <xf numFmtId="0" fontId="39" fillId="0" borderId="4" xfId="0" applyFont="1" applyBorder="1" applyAlignment="1">
      <alignment horizontal="center" vertical="center"/>
    </xf>
    <xf numFmtId="0" fontId="39" fillId="0" borderId="4" xfId="15" applyFont="1" applyBorder="1" applyAlignment="1">
      <alignment horizontal="center" vertical="center" wrapText="1"/>
    </xf>
    <xf numFmtId="2" fontId="39" fillId="23" borderId="4" xfId="0" applyNumberFormat="1" applyFont="1" applyFill="1" applyBorder="1" applyAlignment="1">
      <alignment horizontal="center" vertical="center" wrapText="1"/>
    </xf>
    <xf numFmtId="4" fontId="39" fillId="0" borderId="4" xfId="20" applyNumberFormat="1" applyFont="1" applyBorder="1" applyAlignment="1" applyProtection="1">
      <alignment horizontal="center" vertical="center"/>
    </xf>
    <xf numFmtId="0" fontId="39" fillId="2" borderId="19" xfId="15" applyFont="1" applyFill="1" applyBorder="1" applyAlignment="1" applyProtection="1">
      <alignment vertical="center" wrapText="1"/>
      <protection locked="0"/>
    </xf>
    <xf numFmtId="1" fontId="39" fillId="0" borderId="4" xfId="0" applyNumberFormat="1" applyFont="1" applyBorder="1" applyAlignment="1">
      <alignment horizontal="center" vertical="center" wrapText="1"/>
    </xf>
    <xf numFmtId="2" fontId="39" fillId="0" borderId="4" xfId="0" applyNumberFormat="1" applyFont="1" applyBorder="1" applyAlignment="1">
      <alignment horizontal="center" vertical="center" wrapText="1"/>
    </xf>
    <xf numFmtId="0" fontId="39" fillId="0" borderId="4" xfId="15" applyFont="1" applyBorder="1" applyAlignment="1">
      <alignment horizontal="center" vertical="center"/>
    </xf>
    <xf numFmtId="0" fontId="39" fillId="22" borderId="4" xfId="0" applyFont="1" applyFill="1" applyBorder="1" applyAlignment="1">
      <alignment vertical="center" wrapText="1"/>
    </xf>
    <xf numFmtId="0" fontId="39" fillId="22" borderId="4" xfId="0" applyFont="1" applyFill="1" applyBorder="1" applyAlignment="1">
      <alignment horizontal="center" vertical="center"/>
    </xf>
    <xf numFmtId="0" fontId="39" fillId="2" borderId="19" xfId="15" applyFont="1" applyFill="1" applyBorder="1" applyAlignment="1" applyProtection="1">
      <alignment vertical="center"/>
      <protection locked="0"/>
    </xf>
    <xf numFmtId="1" fontId="40" fillId="9" borderId="17" xfId="12" applyNumberFormat="1" applyFont="1" applyFill="1" applyBorder="1" applyAlignment="1">
      <alignment horizontal="center" vertical="center" wrapText="1"/>
    </xf>
    <xf numFmtId="172" fontId="39" fillId="22" borderId="4" xfId="15" applyNumberFormat="1" applyFont="1" applyFill="1" applyBorder="1" applyAlignment="1">
      <alignment horizontal="left" vertical="center" wrapText="1"/>
    </xf>
    <xf numFmtId="172" fontId="39" fillId="22" borderId="4" xfId="15" applyNumberFormat="1" applyFont="1" applyFill="1" applyBorder="1" applyAlignment="1">
      <alignment horizontal="center" vertical="center" wrapText="1"/>
    </xf>
    <xf numFmtId="4" fontId="36" fillId="12" borderId="28" xfId="1" applyNumberFormat="1" applyFont="1" applyFill="1" applyBorder="1" applyAlignment="1" applyProtection="1">
      <alignment horizontal="center" vertical="center"/>
    </xf>
    <xf numFmtId="165" fontId="36" fillId="12" borderId="29" xfId="15" applyNumberFormat="1" applyFont="1" applyFill="1" applyBorder="1" applyAlignment="1">
      <alignment vertical="center"/>
    </xf>
    <xf numFmtId="0" fontId="39" fillId="0" borderId="0" xfId="15" applyFont="1" applyAlignment="1">
      <alignment vertical="center"/>
    </xf>
    <xf numFmtId="0" fontId="44" fillId="0" borderId="0" xfId="15" applyFont="1" applyAlignment="1">
      <alignment vertical="center"/>
    </xf>
    <xf numFmtId="0" fontId="45" fillId="0" borderId="0" xfId="0" applyFont="1"/>
    <xf numFmtId="0" fontId="39" fillId="0" borderId="3" xfId="15" applyFont="1" applyBorder="1" applyAlignment="1">
      <alignment horizontal="center" vertical="center"/>
    </xf>
    <xf numFmtId="0" fontId="45" fillId="0" borderId="48" xfId="0" applyFont="1" applyBorder="1"/>
    <xf numFmtId="0" fontId="36" fillId="0" borderId="3" xfId="15" applyFont="1" applyBorder="1" applyAlignment="1">
      <alignment horizontal="center" vertical="center"/>
    </xf>
    <xf numFmtId="0" fontId="36" fillId="0" borderId="0" xfId="15" applyFont="1" applyAlignment="1">
      <alignment horizontal="center" vertical="center"/>
    </xf>
    <xf numFmtId="0" fontId="36" fillId="0" borderId="48" xfId="15" applyFont="1" applyBorder="1" applyAlignment="1">
      <alignment horizontal="center" vertical="center"/>
    </xf>
    <xf numFmtId="0" fontId="43" fillId="16" borderId="12" xfId="15" applyFont="1" applyFill="1" applyBorder="1" applyAlignment="1">
      <alignment horizontal="center" vertical="center"/>
    </xf>
    <xf numFmtId="0" fontId="43" fillId="16" borderId="12" xfId="15" applyFont="1" applyFill="1" applyBorder="1" applyAlignment="1">
      <alignment horizontal="center" vertical="center" wrapText="1"/>
    </xf>
    <xf numFmtId="1" fontId="39" fillId="0" borderId="17" xfId="29" applyNumberFormat="1" applyFont="1" applyBorder="1" applyAlignment="1" applyProtection="1">
      <alignment horizontal="center" vertical="center" wrapText="1"/>
    </xf>
    <xf numFmtId="0" fontId="39" fillId="0" borderId="4" xfId="0" applyFont="1" applyBorder="1"/>
    <xf numFmtId="0" fontId="39" fillId="0" borderId="4" xfId="0" applyFont="1" applyBorder="1" applyAlignment="1">
      <alignment horizontal="center"/>
    </xf>
    <xf numFmtId="0" fontId="39" fillId="23" borderId="4" xfId="0" applyFont="1" applyFill="1" applyBorder="1" applyAlignment="1">
      <alignment horizontal="center"/>
    </xf>
    <xf numFmtId="0" fontId="36" fillId="2" borderId="19" xfId="15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>
      <alignment wrapText="1"/>
    </xf>
    <xf numFmtId="0" fontId="39" fillId="0" borderId="4" xfId="0" applyFont="1" applyBorder="1" applyAlignment="1">
      <alignment vertical="center"/>
    </xf>
    <xf numFmtId="0" fontId="40" fillId="0" borderId="1" xfId="0" applyFont="1" applyBorder="1"/>
    <xf numFmtId="0" fontId="46" fillId="0" borderId="2" xfId="9" applyFont="1" applyBorder="1" applyAlignment="1">
      <alignment horizontal="center"/>
    </xf>
    <xf numFmtId="0" fontId="46" fillId="0" borderId="2" xfId="9" applyFont="1" applyBorder="1"/>
    <xf numFmtId="0" fontId="46" fillId="0" borderId="47" xfId="9" applyFont="1" applyBorder="1"/>
    <xf numFmtId="0" fontId="40" fillId="0" borderId="3" xfId="0" applyFont="1" applyBorder="1"/>
    <xf numFmtId="0" fontId="46" fillId="0" borderId="0" xfId="9" applyFont="1" applyAlignment="1">
      <alignment horizontal="center"/>
    </xf>
    <xf numFmtId="0" fontId="46" fillId="0" borderId="0" xfId="9" applyFont="1"/>
    <xf numFmtId="0" fontId="46" fillId="0" borderId="48" xfId="9" applyFont="1" applyBorder="1"/>
    <xf numFmtId="0" fontId="47" fillId="0" borderId="3" xfId="0" applyFont="1" applyBorder="1"/>
    <xf numFmtId="0" fontId="44" fillId="0" borderId="3" xfId="9" applyFont="1" applyBorder="1" applyAlignment="1">
      <alignment horizontal="center" vertical="center"/>
    </xf>
    <xf numFmtId="0" fontId="44" fillId="0" borderId="0" xfId="9" applyFont="1" applyAlignment="1">
      <alignment horizontal="center" vertical="center"/>
    </xf>
    <xf numFmtId="9" fontId="48" fillId="0" borderId="48" xfId="9" applyNumberFormat="1" applyFont="1" applyBorder="1" applyAlignment="1">
      <alignment horizontal="center" vertical="center"/>
    </xf>
    <xf numFmtId="0" fontId="36" fillId="12" borderId="17" xfId="9" applyFont="1" applyFill="1" applyBorder="1" applyAlignment="1">
      <alignment horizontal="center" vertical="center" wrapText="1"/>
    </xf>
    <xf numFmtId="0" fontId="36" fillId="12" borderId="4" xfId="9" applyFont="1" applyFill="1" applyBorder="1" applyAlignment="1">
      <alignment horizontal="center" vertical="center" wrapText="1"/>
    </xf>
    <xf numFmtId="4" fontId="36" fillId="12" borderId="4" xfId="9" applyNumberFormat="1" applyFont="1" applyFill="1" applyBorder="1" applyAlignment="1">
      <alignment horizontal="center" vertical="center" wrapText="1"/>
    </xf>
    <xf numFmtId="4" fontId="36" fillId="12" borderId="19" xfId="9" applyNumberFormat="1" applyFont="1" applyFill="1" applyBorder="1" applyAlignment="1">
      <alignment horizontal="center" vertical="center" wrapText="1"/>
    </xf>
    <xf numFmtId="170" fontId="39" fillId="0" borderId="17" xfId="28" applyNumberFormat="1" applyFont="1" applyBorder="1" applyAlignment="1" applyProtection="1">
      <alignment horizontal="center" vertical="center"/>
    </xf>
    <xf numFmtId="0" fontId="49" fillId="0" borderId="4" xfId="0" applyFont="1" applyBorder="1"/>
    <xf numFmtId="170" fontId="39" fillId="9" borderId="4" xfId="28" applyNumberFormat="1" applyFont="1" applyFill="1" applyBorder="1" applyAlignment="1" applyProtection="1">
      <alignment horizontal="center" vertical="center"/>
    </xf>
    <xf numFmtId="4" fontId="39" fillId="0" borderId="4" xfId="1" applyNumberFormat="1" applyFont="1" applyBorder="1" applyAlignment="1" applyProtection="1">
      <alignment horizontal="center" vertical="center"/>
    </xf>
    <xf numFmtId="4" fontId="39" fillId="0" borderId="19" xfId="1" applyNumberFormat="1" applyFont="1" applyBorder="1" applyAlignment="1" applyProtection="1">
      <alignment horizontal="center" vertical="center"/>
    </xf>
    <xf numFmtId="0" fontId="49" fillId="0" borderId="4" xfId="0" applyFont="1" applyBorder="1" applyAlignment="1">
      <alignment wrapText="1"/>
    </xf>
    <xf numFmtId="4" fontId="36" fillId="20" borderId="19" xfId="1" applyNumberFormat="1" applyFont="1" applyFill="1" applyBorder="1" applyAlignment="1" applyProtection="1">
      <alignment horizontal="center" vertical="center"/>
    </xf>
    <xf numFmtId="4" fontId="36" fillId="0" borderId="55" xfId="1" applyNumberFormat="1" applyFont="1" applyBorder="1" applyAlignment="1" applyProtection="1">
      <alignment horizontal="center" vertical="center"/>
    </xf>
    <xf numFmtId="0" fontId="49" fillId="0" borderId="4" xfId="0" applyFont="1" applyBorder="1" applyAlignment="1">
      <alignment vertical="center"/>
    </xf>
    <xf numFmtId="4" fontId="39" fillId="2" borderId="4" xfId="1" applyNumberFormat="1" applyFont="1" applyFill="1" applyBorder="1" applyAlignment="1" applyProtection="1">
      <alignment horizontal="center" vertical="center"/>
      <protection locked="0"/>
    </xf>
    <xf numFmtId="4" fontId="50" fillId="12" borderId="29" xfId="1" applyNumberFormat="1" applyFont="1" applyFill="1" applyBorder="1" applyAlignment="1" applyProtection="1">
      <alignment horizontal="center" vertical="center"/>
    </xf>
    <xf numFmtId="0" fontId="39" fillId="0" borderId="3" xfId="15" applyFont="1" applyBorder="1"/>
    <xf numFmtId="0" fontId="51" fillId="0" borderId="53" xfId="9" applyFont="1" applyBorder="1" applyAlignment="1">
      <alignment horizontal="left" vertical="center"/>
    </xf>
    <xf numFmtId="0" fontId="51" fillId="0" borderId="30" xfId="9" applyFont="1" applyBorder="1" applyAlignment="1">
      <alignment horizontal="left"/>
    </xf>
    <xf numFmtId="1" fontId="51" fillId="0" borderId="30" xfId="9" applyNumberFormat="1" applyFont="1" applyBorder="1" applyAlignment="1">
      <alignment horizontal="center"/>
    </xf>
    <xf numFmtId="0" fontId="51" fillId="0" borderId="30" xfId="9" applyFont="1" applyBorder="1"/>
    <xf numFmtId="0" fontId="38" fillId="0" borderId="30" xfId="9" applyFont="1" applyBorder="1"/>
    <xf numFmtId="1" fontId="38" fillId="0" borderId="30" xfId="9" applyNumberFormat="1" applyFont="1" applyBorder="1" applyAlignment="1">
      <alignment horizontal="center"/>
    </xf>
    <xf numFmtId="2" fontId="38" fillId="0" borderId="30" xfId="9" applyNumberFormat="1" applyFont="1" applyBorder="1" applyAlignment="1">
      <alignment horizontal="center"/>
    </xf>
    <xf numFmtId="4" fontId="38" fillId="0" borderId="54" xfId="9" applyNumberFormat="1" applyFont="1" applyBorder="1" applyAlignment="1">
      <alignment horizontal="center"/>
    </xf>
    <xf numFmtId="0" fontId="38" fillId="0" borderId="0" xfId="9" applyFont="1"/>
    <xf numFmtId="0" fontId="51" fillId="0" borderId="3" xfId="9" applyFont="1" applyBorder="1" applyAlignment="1">
      <alignment horizontal="left" vertical="center"/>
    </xf>
    <xf numFmtId="0" fontId="51" fillId="0" borderId="0" xfId="9" applyFont="1" applyAlignment="1">
      <alignment horizontal="left"/>
    </xf>
    <xf numFmtId="1" fontId="51" fillId="0" borderId="0" xfId="9" applyNumberFormat="1" applyFont="1" applyAlignment="1">
      <alignment horizontal="center"/>
    </xf>
    <xf numFmtId="0" fontId="51" fillId="0" borderId="0" xfId="9" applyFont="1"/>
    <xf numFmtId="1" fontId="38" fillId="0" borderId="0" xfId="9" applyNumberFormat="1" applyFont="1" applyAlignment="1">
      <alignment horizontal="center"/>
    </xf>
    <xf numFmtId="2" fontId="38" fillId="0" borderId="0" xfId="9" applyNumberFormat="1" applyFont="1" applyAlignment="1">
      <alignment horizontal="center"/>
    </xf>
    <xf numFmtId="4" fontId="38" fillId="0" borderId="48" xfId="9" applyNumberFormat="1" applyFont="1" applyBorder="1" applyAlignment="1">
      <alignment horizontal="center"/>
    </xf>
    <xf numFmtId="0" fontId="51" fillId="0" borderId="0" xfId="9" applyFont="1" applyAlignment="1">
      <alignment horizontal="left" vertical="center"/>
    </xf>
    <xf numFmtId="1" fontId="51" fillId="0" borderId="0" xfId="9" applyNumberFormat="1" applyFont="1" applyAlignment="1">
      <alignment horizontal="center" vertical="center"/>
    </xf>
    <xf numFmtId="0" fontId="51" fillId="0" borderId="0" xfId="9" applyFont="1" applyAlignment="1">
      <alignment vertical="center"/>
    </xf>
    <xf numFmtId="0" fontId="38" fillId="0" borderId="0" xfId="9" applyFont="1" applyAlignment="1">
      <alignment vertical="center"/>
    </xf>
    <xf numFmtId="1" fontId="38" fillId="0" borderId="0" xfId="9" applyNumberFormat="1" applyFont="1" applyAlignment="1">
      <alignment horizontal="center" vertical="center"/>
    </xf>
    <xf numFmtId="2" fontId="38" fillId="0" borderId="0" xfId="9" applyNumberFormat="1" applyFont="1" applyAlignment="1">
      <alignment horizontal="center" vertical="center"/>
    </xf>
    <xf numFmtId="4" fontId="38" fillId="0" borderId="48" xfId="9" applyNumberFormat="1" applyFont="1" applyBorder="1" applyAlignment="1">
      <alignment horizontal="center" vertical="center"/>
    </xf>
    <xf numFmtId="0" fontId="36" fillId="5" borderId="4" xfId="25" applyNumberFormat="1" applyFont="1" applyFill="1" applyBorder="1" applyAlignment="1" applyProtection="1">
      <alignment horizontal="center" vertical="center" wrapText="1"/>
    </xf>
    <xf numFmtId="0" fontId="38" fillId="0" borderId="37" xfId="9" applyFont="1" applyBorder="1" applyAlignment="1">
      <alignment horizontal="center" vertical="center"/>
    </xf>
    <xf numFmtId="0" fontId="38" fillId="0" borderId="35" xfId="9" applyFont="1" applyBorder="1" applyAlignment="1">
      <alignment horizontal="left" vertical="center"/>
    </xf>
    <xf numFmtId="1" fontId="38" fillId="0" borderId="35" xfId="9" applyNumberFormat="1" applyFont="1" applyBorder="1" applyAlignment="1">
      <alignment horizontal="center" vertical="center"/>
    </xf>
    <xf numFmtId="2" fontId="38" fillId="0" borderId="35" xfId="9" applyNumberFormat="1" applyFont="1" applyBorder="1" applyAlignment="1">
      <alignment horizontal="center" vertical="center"/>
    </xf>
    <xf numFmtId="4" fontId="38" fillId="0" borderId="55" xfId="9" applyNumberFormat="1" applyFont="1" applyBorder="1" applyAlignment="1">
      <alignment horizontal="center" vertical="center"/>
    </xf>
    <xf numFmtId="0" fontId="36" fillId="0" borderId="17" xfId="9" applyFont="1" applyBorder="1" applyAlignment="1">
      <alignment horizontal="center" vertical="center"/>
    </xf>
    <xf numFmtId="0" fontId="36" fillId="0" borderId="4" xfId="9" applyFont="1" applyBorder="1" applyAlignment="1">
      <alignment horizontal="center" vertical="center"/>
    </xf>
    <xf numFmtId="1" fontId="53" fillId="0" borderId="4" xfId="9" applyNumberFormat="1" applyFont="1" applyBorder="1" applyAlignment="1">
      <alignment horizontal="center" vertical="center" wrapText="1"/>
    </xf>
    <xf numFmtId="2" fontId="36" fillId="0" borderId="4" xfId="9" applyNumberFormat="1" applyFont="1" applyBorder="1" applyAlignment="1">
      <alignment horizontal="center" vertical="center" wrapText="1"/>
    </xf>
    <xf numFmtId="4" fontId="36" fillId="0" borderId="19" xfId="9" applyNumberFormat="1" applyFont="1" applyBorder="1" applyAlignment="1">
      <alignment horizontal="center" vertical="center"/>
    </xf>
    <xf numFmtId="0" fontId="38" fillId="0" borderId="0" xfId="6" applyFont="1" applyAlignment="1">
      <alignment horizontal="left"/>
    </xf>
    <xf numFmtId="0" fontId="39" fillId="0" borderId="17" xfId="9" applyFont="1" applyBorder="1" applyAlignment="1">
      <alignment horizontal="center" vertical="center" wrapText="1"/>
    </xf>
    <xf numFmtId="0" fontId="39" fillId="22" borderId="4" xfId="9" applyFont="1" applyFill="1" applyBorder="1" applyAlignment="1">
      <alignment horizontal="left" vertical="center"/>
    </xf>
    <xf numFmtId="0" fontId="39" fillId="22" borderId="4" xfId="9" applyFont="1" applyFill="1" applyBorder="1" applyAlignment="1">
      <alignment vertical="center" wrapText="1"/>
    </xf>
    <xf numFmtId="0" fontId="39" fillId="22" borderId="4" xfId="9" applyFont="1" applyFill="1" applyBorder="1" applyAlignment="1">
      <alignment horizontal="center" vertical="center" wrapText="1"/>
    </xf>
    <xf numFmtId="1" fontId="39" fillId="0" borderId="4" xfId="1" applyNumberFormat="1" applyFont="1" applyBorder="1" applyAlignment="1" applyProtection="1">
      <alignment horizontal="center" vertical="center"/>
    </xf>
    <xf numFmtId="164" fontId="54" fillId="0" borderId="4" xfId="4" applyFont="1" applyBorder="1" applyAlignment="1" applyProtection="1">
      <alignment horizontal="center" vertical="center"/>
    </xf>
    <xf numFmtId="164" fontId="39" fillId="0" borderId="4" xfId="4" applyFont="1" applyBorder="1" applyAlignment="1" applyProtection="1">
      <alignment horizontal="center" vertical="center"/>
    </xf>
    <xf numFmtId="0" fontId="38" fillId="0" borderId="0" xfId="6" applyFont="1" applyAlignment="1">
      <alignment horizontal="center" vertical="center"/>
    </xf>
    <xf numFmtId="0" fontId="39" fillId="22" borderId="12" xfId="9" applyFont="1" applyFill="1" applyBorder="1" applyAlignment="1">
      <alignment horizontal="center" vertical="center" wrapText="1"/>
    </xf>
    <xf numFmtId="0" fontId="39" fillId="0" borderId="4" xfId="9" applyFont="1" applyBorder="1" applyAlignment="1">
      <alignment vertical="center" wrapText="1"/>
    </xf>
    <xf numFmtId="0" fontId="39" fillId="0" borderId="12" xfId="9" applyFont="1" applyBorder="1" applyAlignment="1">
      <alignment horizontal="center" vertical="center" wrapText="1"/>
    </xf>
    <xf numFmtId="1" fontId="55" fillId="0" borderId="11" xfId="9" applyNumberFormat="1" applyFont="1" applyBorder="1" applyAlignment="1">
      <alignment horizontal="center" vertical="center"/>
    </xf>
    <xf numFmtId="0" fontId="39" fillId="0" borderId="4" xfId="9" applyFont="1" applyBorder="1" applyAlignment="1">
      <alignment vertical="center"/>
    </xf>
    <xf numFmtId="4" fontId="36" fillId="0" borderId="19" xfId="1" applyNumberFormat="1" applyFont="1" applyBorder="1" applyAlignment="1" applyProtection="1">
      <alignment horizontal="center" vertical="center"/>
    </xf>
    <xf numFmtId="0" fontId="38" fillId="0" borderId="0" xfId="9" applyFont="1" applyAlignment="1">
      <alignment horizontal="center" vertical="center"/>
    </xf>
    <xf numFmtId="2" fontId="44" fillId="12" borderId="57" xfId="9" applyNumberFormat="1" applyFont="1" applyFill="1" applyBorder="1" applyAlignment="1">
      <alignment horizontal="center" vertical="center"/>
    </xf>
    <xf numFmtId="4" fontId="44" fillId="12" borderId="25" xfId="1" applyNumberFormat="1" applyFont="1" applyFill="1" applyBorder="1" applyAlignment="1" applyProtection="1">
      <alignment horizontal="center" vertical="center"/>
    </xf>
    <xf numFmtId="0" fontId="39" fillId="0" borderId="3" xfId="9" applyFont="1" applyBorder="1" applyAlignment="1">
      <alignment horizontal="center" vertical="center" wrapText="1"/>
    </xf>
    <xf numFmtId="0" fontId="39" fillId="0" borderId="0" xfId="9" applyFont="1" applyAlignment="1">
      <alignment horizontal="left" vertical="center"/>
    </xf>
    <xf numFmtId="1" fontId="39" fillId="0" borderId="0" xfId="1" applyNumberFormat="1" applyFont="1" applyBorder="1" applyAlignment="1" applyProtection="1">
      <alignment horizontal="center" vertical="center"/>
    </xf>
    <xf numFmtId="0" fontId="39" fillId="0" borderId="0" xfId="9" applyFont="1" applyAlignment="1">
      <alignment vertical="center" wrapText="1"/>
    </xf>
    <xf numFmtId="2" fontId="39" fillId="0" borderId="0" xfId="1" applyNumberFormat="1" applyFont="1" applyBorder="1" applyAlignment="1" applyProtection="1">
      <alignment horizontal="center" vertical="center"/>
    </xf>
    <xf numFmtId="4" fontId="39" fillId="0" borderId="48" xfId="1" applyNumberFormat="1" applyFont="1" applyBorder="1" applyAlignment="1" applyProtection="1">
      <alignment horizontal="center" vertical="center"/>
    </xf>
    <xf numFmtId="0" fontId="52" fillId="5" borderId="45" xfId="25" applyNumberFormat="1" applyFont="1" applyFill="1" applyBorder="1" applyAlignment="1" applyProtection="1">
      <alignment horizontal="center" vertical="center" wrapText="1"/>
    </xf>
    <xf numFmtId="0" fontId="36" fillId="5" borderId="45" xfId="25" applyNumberFormat="1" applyFont="1" applyFill="1" applyBorder="1" applyAlignment="1" applyProtection="1">
      <alignment horizontal="center" vertical="center" wrapText="1"/>
    </xf>
    <xf numFmtId="0" fontId="39" fillId="0" borderId="36" xfId="9" applyFont="1" applyBorder="1" applyAlignment="1">
      <alignment horizontal="center" vertical="center" wrapText="1"/>
    </xf>
    <xf numFmtId="0" fontId="39" fillId="22" borderId="12" xfId="9" applyFont="1" applyFill="1" applyBorder="1" applyAlignment="1">
      <alignment horizontal="left" vertical="center"/>
    </xf>
    <xf numFmtId="0" fontId="39" fillId="22" borderId="12" xfId="9" applyFont="1" applyFill="1" applyBorder="1" applyAlignment="1">
      <alignment vertical="center" wrapText="1"/>
    </xf>
    <xf numFmtId="1" fontId="36" fillId="0" borderId="12" xfId="9" applyNumberFormat="1" applyFont="1" applyBorder="1" applyAlignment="1">
      <alignment horizontal="center" vertical="center" wrapText="1"/>
    </xf>
    <xf numFmtId="0" fontId="39" fillId="0" borderId="4" xfId="9" applyFont="1" applyBorder="1" applyAlignment="1">
      <alignment horizontal="center" vertical="center" wrapText="1"/>
    </xf>
    <xf numFmtId="1" fontId="36" fillId="0" borderId="4" xfId="9" applyNumberFormat="1" applyFont="1" applyBorder="1" applyAlignment="1">
      <alignment horizontal="center" vertical="center" wrapText="1"/>
    </xf>
    <xf numFmtId="1" fontId="55" fillId="0" borderId="11" xfId="9" applyNumberFormat="1" applyFont="1" applyBorder="1" applyAlignment="1">
      <alignment horizontal="center" vertical="center" wrapText="1"/>
    </xf>
    <xf numFmtId="4" fontId="36" fillId="0" borderId="29" xfId="1" applyNumberFormat="1" applyFont="1" applyBorder="1" applyAlignment="1" applyProtection="1">
      <alignment horizontal="center" vertical="center"/>
    </xf>
    <xf numFmtId="0" fontId="44" fillId="0" borderId="0" xfId="9" applyFont="1" applyAlignment="1">
      <alignment horizontal="left" vertical="center"/>
    </xf>
    <xf numFmtId="1" fontId="44" fillId="0" borderId="0" xfId="9" applyNumberFormat="1" applyFont="1" applyAlignment="1">
      <alignment horizontal="center" vertical="center"/>
    </xf>
    <xf numFmtId="2" fontId="44" fillId="0" borderId="0" xfId="9" applyNumberFormat="1" applyFont="1" applyAlignment="1">
      <alignment horizontal="center" vertical="center"/>
    </xf>
    <xf numFmtId="4" fontId="44" fillId="0" borderId="48" xfId="1" applyNumberFormat="1" applyFont="1" applyBorder="1" applyAlignment="1" applyProtection="1">
      <alignment horizontal="center" vertical="center"/>
    </xf>
    <xf numFmtId="0" fontId="36" fillId="0" borderId="45" xfId="9" applyFont="1" applyBorder="1" applyAlignment="1">
      <alignment horizontal="center" vertical="center"/>
    </xf>
    <xf numFmtId="2" fontId="36" fillId="0" borderId="45" xfId="9" applyNumberFormat="1" applyFont="1" applyBorder="1" applyAlignment="1">
      <alignment horizontal="center" vertical="center" wrapText="1"/>
    </xf>
    <xf numFmtId="1" fontId="56" fillId="0" borderId="17" xfId="9" applyNumberFormat="1" applyFont="1" applyBorder="1" applyAlignment="1">
      <alignment horizontal="center" vertical="center"/>
    </xf>
    <xf numFmtId="4" fontId="36" fillId="0" borderId="25" xfId="1" applyNumberFormat="1" applyFont="1" applyBorder="1" applyAlignment="1" applyProtection="1">
      <alignment horizontal="center" vertical="center"/>
    </xf>
    <xf numFmtId="0" fontId="45" fillId="0" borderId="0" xfId="0" applyFont="1" applyAlignment="1">
      <alignment horizontal="center"/>
    </xf>
    <xf numFmtId="1" fontId="53" fillId="0" borderId="45" xfId="9" applyNumberFormat="1" applyFont="1" applyBorder="1" applyAlignment="1">
      <alignment horizontal="center" vertical="center" wrapText="1"/>
    </xf>
    <xf numFmtId="0" fontId="39" fillId="22" borderId="4" xfId="9" applyFont="1" applyFill="1" applyBorder="1" applyAlignment="1">
      <alignment horizontal="center" vertical="center"/>
    </xf>
    <xf numFmtId="0" fontId="38" fillId="0" borderId="0" xfId="9" applyFont="1" applyAlignment="1">
      <alignment horizontal="center"/>
    </xf>
    <xf numFmtId="4" fontId="38" fillId="0" borderId="0" xfId="9" applyNumberFormat="1" applyFont="1" applyAlignment="1">
      <alignment horizontal="center"/>
    </xf>
    <xf numFmtId="0" fontId="38" fillId="0" borderId="1" xfId="6" applyFont="1" applyBorder="1"/>
    <xf numFmtId="0" fontId="38" fillId="0" borderId="0" xfId="6" applyFont="1"/>
    <xf numFmtId="0" fontId="38" fillId="0" borderId="0" xfId="6" applyFont="1" applyAlignment="1">
      <alignment horizontal="center"/>
    </xf>
    <xf numFmtId="0" fontId="55" fillId="0" borderId="0" xfId="6" applyFont="1" applyAlignment="1">
      <alignment vertical="center"/>
    </xf>
    <xf numFmtId="0" fontId="38" fillId="0" borderId="3" xfId="6" applyFont="1" applyBorder="1" applyAlignment="1">
      <alignment vertical="top"/>
    </xf>
    <xf numFmtId="0" fontId="55" fillId="0" borderId="0" xfId="6" applyFont="1" applyAlignment="1">
      <alignment vertical="top"/>
    </xf>
    <xf numFmtId="0" fontId="38" fillId="0" borderId="0" xfId="6" applyFont="1" applyAlignment="1">
      <alignment horizontal="center" vertical="top"/>
    </xf>
    <xf numFmtId="0" fontId="38" fillId="0" borderId="0" xfId="6" applyFont="1" applyAlignment="1">
      <alignment vertical="top"/>
    </xf>
    <xf numFmtId="0" fontId="38" fillId="0" borderId="0" xfId="6" applyFont="1" applyAlignment="1">
      <alignment horizontal="left" vertical="center"/>
    </xf>
    <xf numFmtId="0" fontId="55" fillId="0" borderId="0" xfId="6" applyFont="1" applyAlignment="1">
      <alignment horizontal="center" vertical="center" wrapText="1"/>
    </xf>
    <xf numFmtId="0" fontId="46" fillId="0" borderId="0" xfId="6" applyFont="1" applyAlignment="1">
      <alignment vertical="center" wrapText="1"/>
    </xf>
    <xf numFmtId="0" fontId="46" fillId="0" borderId="0" xfId="6" applyFont="1" applyAlignment="1">
      <alignment vertical="center"/>
    </xf>
    <xf numFmtId="0" fontId="46" fillId="0" borderId="0" xfId="6" applyFont="1" applyAlignment="1">
      <alignment horizontal="center" vertical="center"/>
    </xf>
    <xf numFmtId="0" fontId="37" fillId="2" borderId="4" xfId="6" applyFont="1" applyFill="1" applyBorder="1" applyAlignment="1">
      <alignment horizontal="center" vertical="center" wrapText="1"/>
    </xf>
    <xf numFmtId="0" fontId="38" fillId="0" borderId="4" xfId="6" applyFont="1" applyBorder="1" applyAlignment="1">
      <alignment horizontal="center" vertical="center" wrapText="1"/>
    </xf>
    <xf numFmtId="0" fontId="36" fillId="5" borderId="11" xfId="25" applyNumberFormat="1" applyFont="1" applyFill="1" applyBorder="1" applyAlignment="1" applyProtection="1">
      <alignment horizontal="center" vertical="center" wrapText="1"/>
    </xf>
    <xf numFmtId="0" fontId="36" fillId="5" borderId="12" xfId="25" applyNumberFormat="1" applyFont="1" applyFill="1" applyBorder="1" applyAlignment="1" applyProtection="1">
      <alignment horizontal="center" vertical="center" wrapText="1"/>
    </xf>
    <xf numFmtId="0" fontId="36" fillId="5" borderId="13" xfId="25" applyNumberFormat="1" applyFont="1" applyFill="1" applyBorder="1" applyAlignment="1" applyProtection="1">
      <alignment horizontal="center" vertical="center" wrapText="1"/>
    </xf>
    <xf numFmtId="0" fontId="36" fillId="5" borderId="14" xfId="25" applyNumberFormat="1" applyFont="1" applyFill="1" applyBorder="1" applyAlignment="1" applyProtection="1">
      <alignment horizontal="center" vertical="center" wrapText="1"/>
    </xf>
    <xf numFmtId="0" fontId="36" fillId="5" borderId="15" xfId="25" applyNumberFormat="1" applyFont="1" applyFill="1" applyBorder="1" applyAlignment="1" applyProtection="1">
      <alignment horizontal="center" vertical="center" wrapText="1"/>
    </xf>
    <xf numFmtId="0" fontId="36" fillId="5" borderId="16" xfId="25" applyNumberFormat="1" applyFont="1" applyFill="1" applyBorder="1" applyAlignment="1" applyProtection="1">
      <alignment horizontal="center" vertical="center" wrapText="1"/>
    </xf>
    <xf numFmtId="1" fontId="39" fillId="0" borderId="17" xfId="6" applyNumberFormat="1" applyFont="1" applyBorder="1" applyAlignment="1">
      <alignment horizontal="center" vertical="center"/>
    </xf>
    <xf numFmtId="0" fontId="39" fillId="0" borderId="4" xfId="6" applyFont="1" applyBorder="1" applyAlignment="1">
      <alignment vertical="center" wrapText="1"/>
    </xf>
    <xf numFmtId="1" fontId="39" fillId="0" borderId="4" xfId="6" applyNumberFormat="1" applyFont="1" applyBorder="1" applyAlignment="1">
      <alignment horizontal="center" vertical="center"/>
    </xf>
    <xf numFmtId="0" fontId="60" fillId="6" borderId="18" xfId="25" applyNumberFormat="1" applyFont="1" applyFill="1" applyBorder="1" applyAlignment="1" applyProtection="1">
      <alignment horizontal="center" vertical="center"/>
      <protection locked="0"/>
    </xf>
    <xf numFmtId="0" fontId="60" fillId="6" borderId="4" xfId="25" applyNumberFormat="1" applyFont="1" applyFill="1" applyBorder="1" applyAlignment="1" applyProtection="1">
      <alignment horizontal="center" vertical="center"/>
      <protection locked="0"/>
    </xf>
    <xf numFmtId="2" fontId="60" fillId="6" borderId="17" xfId="25" applyNumberFormat="1" applyFont="1" applyFill="1" applyBorder="1" applyAlignment="1" applyProtection="1">
      <alignment horizontal="center" vertical="center"/>
      <protection locked="0"/>
    </xf>
    <xf numFmtId="2" fontId="39" fillId="0" borderId="19" xfId="25" applyNumberFormat="1" applyFont="1" applyBorder="1" applyAlignment="1" applyProtection="1">
      <alignment horizontal="center" vertical="center"/>
    </xf>
    <xf numFmtId="0" fontId="60" fillId="6" borderId="20" xfId="25" applyNumberFormat="1" applyFont="1" applyFill="1" applyBorder="1" applyAlignment="1" applyProtection="1">
      <alignment horizontal="center" vertical="center"/>
      <protection locked="0"/>
    </xf>
    <xf numFmtId="166" fontId="61" fillId="7" borderId="20" xfId="6" applyNumberFormat="1" applyFont="1" applyFill="1" applyBorder="1" applyAlignment="1">
      <alignment horizontal="center" vertical="center"/>
    </xf>
    <xf numFmtId="164" fontId="39" fillId="0" borderId="21" xfId="4" applyFont="1" applyBorder="1" applyAlignment="1" applyProtection="1">
      <alignment horizontal="center" vertical="center"/>
    </xf>
    <xf numFmtId="166" fontId="61" fillId="7" borderId="4" xfId="6" applyNumberFormat="1" applyFont="1" applyFill="1" applyBorder="1" applyAlignment="1">
      <alignment horizontal="center" vertical="center"/>
    </xf>
    <xf numFmtId="164" fontId="39" fillId="0" borderId="19" xfId="4" applyFont="1" applyBorder="1" applyAlignment="1" applyProtection="1">
      <alignment vertical="center"/>
    </xf>
    <xf numFmtId="0" fontId="39" fillId="0" borderId="4" xfId="6" applyFont="1" applyBorder="1" applyAlignment="1">
      <alignment horizontal="center" vertical="center"/>
    </xf>
    <xf numFmtId="164" fontId="39" fillId="0" borderId="4" xfId="2" applyFont="1" applyBorder="1" applyAlignment="1" applyProtection="1">
      <alignment horizontal="center" vertical="center"/>
    </xf>
    <xf numFmtId="164" fontId="39" fillId="0" borderId="19" xfId="2" applyFont="1" applyBorder="1" applyAlignment="1" applyProtection="1">
      <alignment horizontal="center" vertical="center"/>
    </xf>
    <xf numFmtId="0" fontId="60" fillId="8" borderId="20" xfId="25" applyNumberFormat="1" applyFont="1" applyFill="1" applyBorder="1" applyAlignment="1" applyProtection="1">
      <alignment horizontal="center" vertical="center"/>
      <protection locked="0"/>
    </xf>
    <xf numFmtId="164" fontId="39" fillId="8" borderId="4" xfId="4" applyFont="1" applyFill="1" applyBorder="1" applyAlignment="1" applyProtection="1">
      <alignment horizontal="center" vertical="center"/>
    </xf>
    <xf numFmtId="164" fontId="36" fillId="5" borderId="23" xfId="4" applyFont="1" applyFill="1" applyBorder="1" applyAlignment="1" applyProtection="1">
      <alignment horizontal="center" vertical="center" wrapText="1"/>
    </xf>
    <xf numFmtId="164" fontId="36" fillId="5" borderId="25" xfId="4" applyFont="1" applyFill="1" applyBorder="1" applyAlignment="1" applyProtection="1">
      <alignment horizontal="center" vertical="center" wrapText="1"/>
    </xf>
    <xf numFmtId="164" fontId="36" fillId="5" borderId="9" xfId="4" applyFont="1" applyFill="1" applyBorder="1" applyAlignment="1" applyProtection="1">
      <alignment horizontal="center" vertical="center" wrapText="1"/>
    </xf>
    <xf numFmtId="164" fontId="36" fillId="5" borderId="26" xfId="4" applyFont="1" applyFill="1" applyBorder="1" applyAlignment="1" applyProtection="1">
      <alignment horizontal="center" vertical="center" wrapText="1"/>
    </xf>
    <xf numFmtId="164" fontId="36" fillId="5" borderId="27" xfId="4" applyFont="1" applyFill="1" applyBorder="1" applyAlignment="1" applyProtection="1">
      <alignment horizontal="center" vertical="center" wrapText="1"/>
    </xf>
    <xf numFmtId="164" fontId="36" fillId="5" borderId="28" xfId="4" applyFont="1" applyFill="1" applyBorder="1" applyAlignment="1" applyProtection="1">
      <alignment horizontal="center" vertical="center" wrapText="1"/>
    </xf>
    <xf numFmtId="164" fontId="36" fillId="5" borderId="29" xfId="4" applyFont="1" applyFill="1" applyBorder="1" applyAlignment="1" applyProtection="1">
      <alignment horizontal="center" vertical="center" wrapText="1"/>
    </xf>
    <xf numFmtId="164" fontId="36" fillId="5" borderId="22" xfId="4" applyFont="1" applyFill="1" applyBorder="1" applyAlignment="1" applyProtection="1">
      <alignment vertical="center" wrapText="1"/>
    </xf>
    <xf numFmtId="0" fontId="39" fillId="0" borderId="0" xfId="6" applyFont="1" applyAlignment="1">
      <alignment vertical="center"/>
    </xf>
    <xf numFmtId="0" fontId="62" fillId="0" borderId="0" xfId="6" applyFont="1" applyAlignment="1">
      <alignment horizontal="left" vertical="center"/>
    </xf>
    <xf numFmtId="0" fontId="38" fillId="0" borderId="0" xfId="6" applyFont="1" applyAlignment="1">
      <alignment horizontal="left" vertical="center" wrapText="1"/>
    </xf>
    <xf numFmtId="0" fontId="39" fillId="0" borderId="0" xfId="6" applyFont="1" applyAlignment="1">
      <alignment horizontal="left" vertical="center"/>
    </xf>
    <xf numFmtId="0" fontId="57" fillId="0" borderId="0" xfId="6" applyFont="1" applyAlignment="1">
      <alignment horizontal="left" vertical="center" wrapText="1"/>
    </xf>
    <xf numFmtId="0" fontId="39" fillId="0" borderId="0" xfId="6" applyFont="1" applyAlignment="1">
      <alignment horizontal="center" vertical="center"/>
    </xf>
    <xf numFmtId="0" fontId="39" fillId="0" borderId="4" xfId="6" applyFont="1" applyBorder="1" applyAlignment="1" applyProtection="1">
      <alignment horizontal="center" vertical="center"/>
      <protection locked="0"/>
    </xf>
    <xf numFmtId="2" fontId="39" fillId="0" borderId="4" xfId="6" applyNumberFormat="1" applyFont="1" applyBorder="1" applyAlignment="1" applyProtection="1">
      <alignment horizontal="center" vertical="center"/>
      <protection locked="0"/>
    </xf>
    <xf numFmtId="0" fontId="36" fillId="5" borderId="19" xfId="25" applyNumberFormat="1" applyFont="1" applyFill="1" applyBorder="1" applyAlignment="1" applyProtection="1">
      <alignment horizontal="center" vertical="center" wrapText="1"/>
    </xf>
    <xf numFmtId="0" fontId="36" fillId="5" borderId="17" xfId="25" applyNumberFormat="1" applyFont="1" applyFill="1" applyBorder="1" applyAlignment="1" applyProtection="1">
      <alignment horizontal="center" vertical="center" wrapText="1"/>
    </xf>
    <xf numFmtId="0" fontId="59" fillId="5" borderId="17" xfId="25" applyNumberFormat="1" applyFont="1" applyFill="1" applyBorder="1" applyAlignment="1" applyProtection="1">
      <alignment horizontal="center" vertical="center" wrapText="1"/>
    </xf>
    <xf numFmtId="0" fontId="60" fillId="6" borderId="12" xfId="25" applyNumberFormat="1" applyFont="1" applyFill="1" applyBorder="1" applyAlignment="1" applyProtection="1">
      <alignment horizontal="center" vertical="center"/>
      <protection locked="0"/>
    </xf>
    <xf numFmtId="165" fontId="39" fillId="0" borderId="14" xfId="20" applyFont="1" applyBorder="1" applyAlignment="1" applyProtection="1">
      <alignment vertical="center"/>
    </xf>
    <xf numFmtId="0" fontId="39" fillId="0" borderId="11" xfId="0" applyFont="1" applyBorder="1" applyAlignment="1">
      <alignment horizontal="center" vertical="center" wrapText="1"/>
    </xf>
    <xf numFmtId="167" fontId="39" fillId="0" borderId="12" xfId="15" applyNumberFormat="1" applyFont="1" applyBorder="1" applyAlignment="1">
      <alignment horizontal="center" vertical="center" wrapText="1"/>
    </xf>
    <xf numFmtId="0" fontId="39" fillId="0" borderId="18" xfId="15" applyFont="1" applyBorder="1" applyAlignment="1">
      <alignment horizontal="center" vertical="center" wrapText="1"/>
    </xf>
    <xf numFmtId="0" fontId="39" fillId="0" borderId="19" xfId="15" applyFont="1" applyBorder="1" applyAlignment="1">
      <alignment horizontal="center" vertical="center"/>
    </xf>
    <xf numFmtId="164" fontId="39" fillId="0" borderId="19" xfId="4" applyFont="1" applyBorder="1" applyAlignment="1" applyProtection="1">
      <alignment horizontal="center" vertical="center"/>
    </xf>
    <xf numFmtId="164" fontId="36" fillId="5" borderId="14" xfId="2" applyFont="1" applyFill="1" applyBorder="1" applyAlignment="1" applyProtection="1">
      <alignment horizontal="center" vertical="center" wrapText="1"/>
    </xf>
    <xf numFmtId="0" fontId="39" fillId="0" borderId="0" xfId="0" applyFont="1"/>
    <xf numFmtId="10" fontId="36" fillId="5" borderId="21" xfId="25" applyNumberFormat="1" applyFont="1" applyFill="1" applyBorder="1" applyAlignment="1" applyProtection="1">
      <alignment horizontal="center" vertical="center" wrapText="1"/>
    </xf>
    <xf numFmtId="164" fontId="36" fillId="5" borderId="19" xfId="2" applyFont="1" applyFill="1" applyBorder="1" applyAlignment="1" applyProtection="1">
      <alignment horizontal="center" vertical="center" wrapText="1"/>
    </xf>
    <xf numFmtId="164" fontId="36" fillId="5" borderId="29" xfId="2" applyFont="1" applyFill="1" applyBorder="1" applyAlignment="1" applyProtection="1">
      <alignment horizontal="center" vertical="center" wrapText="1"/>
    </xf>
    <xf numFmtId="0" fontId="36" fillId="5" borderId="31" xfId="25" applyNumberFormat="1" applyFont="1" applyFill="1" applyBorder="1" applyAlignment="1" applyProtection="1">
      <alignment horizontal="center" vertical="center" wrapText="1"/>
    </xf>
    <xf numFmtId="0" fontId="36" fillId="5" borderId="32" xfId="25" applyNumberFormat="1" applyFont="1" applyFill="1" applyBorder="1" applyAlignment="1" applyProtection="1">
      <alignment horizontal="center" vertical="center" wrapText="1"/>
    </xf>
    <xf numFmtId="0" fontId="36" fillId="5" borderId="41" xfId="25" applyNumberFormat="1" applyFont="1" applyFill="1" applyBorder="1" applyAlignment="1" applyProtection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" fontId="39" fillId="0" borderId="4" xfId="14" applyNumberFormat="1" applyFont="1" applyBorder="1" applyAlignment="1">
      <alignment horizontal="center" vertical="center" wrapText="1"/>
    </xf>
    <xf numFmtId="0" fontId="39" fillId="0" borderId="4" xfId="29" applyFont="1" applyBorder="1" applyAlignment="1" applyProtection="1">
      <alignment horizontal="center" vertical="center" wrapText="1"/>
    </xf>
    <xf numFmtId="0" fontId="39" fillId="0" borderId="18" xfId="15" applyFont="1" applyBorder="1" applyAlignment="1">
      <alignment horizontal="center" vertical="center"/>
    </xf>
    <xf numFmtId="164" fontId="36" fillId="5" borderId="33" xfId="2" applyFont="1" applyFill="1" applyBorder="1" applyAlignment="1" applyProtection="1">
      <alignment horizontal="center" vertical="center" wrapText="1"/>
    </xf>
    <xf numFmtId="0" fontId="38" fillId="0" borderId="4" xfId="6" applyFont="1" applyBorder="1"/>
    <xf numFmtId="3" fontId="38" fillId="0" borderId="18" xfId="6" applyNumberFormat="1" applyFont="1" applyBorder="1" applyAlignment="1">
      <alignment horizontal="center" vertical="center"/>
    </xf>
    <xf numFmtId="0" fontId="38" fillId="0" borderId="18" xfId="6" applyFont="1" applyBorder="1" applyAlignment="1">
      <alignment horizontal="center" vertical="center"/>
    </xf>
    <xf numFmtId="0" fontId="38" fillId="0" borderId="4" xfId="6" applyFont="1" applyBorder="1" applyAlignment="1">
      <alignment horizontal="left"/>
    </xf>
    <xf numFmtId="0" fontId="10" fillId="0" borderId="1" xfId="6" applyFont="1" applyBorder="1"/>
    <xf numFmtId="0" fontId="10" fillId="0" borderId="2" xfId="6" applyFont="1" applyBorder="1"/>
    <xf numFmtId="0" fontId="10" fillId="0" borderId="47" xfId="6" applyFont="1" applyBorder="1"/>
    <xf numFmtId="0" fontId="27" fillId="0" borderId="0" xfId="0" applyFont="1"/>
    <xf numFmtId="0" fontId="10" fillId="0" borderId="3" xfId="6" applyFont="1" applyBorder="1"/>
    <xf numFmtId="0" fontId="10" fillId="0" borderId="48" xfId="6" applyFont="1" applyBorder="1"/>
    <xf numFmtId="0" fontId="10" fillId="12" borderId="59" xfId="6" applyFont="1" applyFill="1" applyBorder="1" applyAlignment="1">
      <alignment vertical="center"/>
    </xf>
    <xf numFmtId="0" fontId="8" fillId="12" borderId="60" xfId="6" applyFont="1" applyFill="1" applyBorder="1" applyAlignment="1">
      <alignment vertical="center" wrapText="1"/>
    </xf>
    <xf numFmtId="0" fontId="8" fillId="12" borderId="60" xfId="6" applyFont="1" applyFill="1" applyBorder="1" applyAlignment="1">
      <alignment vertical="center"/>
    </xf>
    <xf numFmtId="0" fontId="10" fillId="12" borderId="60" xfId="6" applyFont="1" applyFill="1" applyBorder="1" applyAlignment="1">
      <alignment vertical="center"/>
    </xf>
    <xf numFmtId="0" fontId="8" fillId="12" borderId="2" xfId="6" applyFont="1" applyFill="1" applyBorder="1" applyAlignment="1">
      <alignment horizontal="center" vertical="center" wrapText="1"/>
    </xf>
    <xf numFmtId="0" fontId="10" fillId="0" borderId="16" xfId="6" applyFont="1" applyBorder="1" applyAlignment="1">
      <alignment vertical="center" wrapText="1"/>
    </xf>
    <xf numFmtId="1" fontId="10" fillId="0" borderId="12" xfId="6" applyNumberFormat="1" applyFont="1" applyBorder="1" applyAlignment="1">
      <alignment horizontal="center" vertical="center"/>
    </xf>
    <xf numFmtId="1" fontId="10" fillId="0" borderId="11" xfId="6" applyNumberFormat="1" applyFont="1" applyBorder="1" applyAlignment="1">
      <alignment horizontal="center" vertical="center"/>
    </xf>
    <xf numFmtId="4" fontId="10" fillId="0" borderId="12" xfId="6" applyNumberFormat="1" applyFont="1" applyBorder="1" applyAlignment="1">
      <alignment horizontal="center" vertical="center"/>
    </xf>
    <xf numFmtId="4" fontId="10" fillId="0" borderId="13" xfId="6" applyNumberFormat="1" applyFont="1" applyBorder="1" applyAlignment="1">
      <alignment horizontal="center" vertical="center"/>
    </xf>
    <xf numFmtId="4" fontId="10" fillId="0" borderId="40" xfId="6" applyNumberFormat="1" applyFont="1" applyBorder="1" applyAlignment="1">
      <alignment horizontal="center" vertical="center"/>
    </xf>
    <xf numFmtId="166" fontId="8" fillId="0" borderId="12" xfId="1" applyFont="1" applyBorder="1" applyAlignment="1" applyProtection="1">
      <alignment horizontal="center" vertical="center"/>
    </xf>
    <xf numFmtId="166" fontId="8" fillId="0" borderId="33" xfId="1" applyFont="1" applyBorder="1" applyAlignment="1" applyProtection="1">
      <alignment horizontal="center" vertical="center"/>
    </xf>
    <xf numFmtId="4" fontId="10" fillId="0" borderId="16" xfId="6" applyNumberFormat="1" applyFont="1" applyBorder="1" applyAlignment="1">
      <alignment horizontal="center" vertical="center"/>
    </xf>
    <xf numFmtId="166" fontId="8" fillId="0" borderId="13" xfId="1" applyFont="1" applyBorder="1" applyAlignment="1" applyProtection="1">
      <alignment horizontal="center" vertical="center"/>
    </xf>
    <xf numFmtId="166" fontId="10" fillId="0" borderId="11" xfId="1" applyFont="1" applyBorder="1" applyAlignment="1" applyProtection="1">
      <alignment horizontal="center" vertical="center"/>
    </xf>
    <xf numFmtId="166" fontId="10" fillId="0" borderId="12" xfId="1" applyFont="1" applyBorder="1" applyAlignment="1" applyProtection="1">
      <alignment horizontal="center" vertical="center"/>
    </xf>
    <xf numFmtId="166" fontId="8" fillId="0" borderId="65" xfId="1" applyFont="1" applyBorder="1" applyAlignment="1" applyProtection="1">
      <alignment horizontal="center" vertical="center"/>
    </xf>
    <xf numFmtId="166" fontId="10" fillId="12" borderId="11" xfId="1" applyFont="1" applyFill="1" applyBorder="1" applyAlignment="1" applyProtection="1">
      <alignment horizontal="center" vertical="center"/>
    </xf>
    <xf numFmtId="166" fontId="10" fillId="12" borderId="4" xfId="1" applyFont="1" applyFill="1" applyBorder="1" applyAlignment="1" applyProtection="1">
      <alignment horizontal="center" vertical="center"/>
    </xf>
    <xf numFmtId="166" fontId="10" fillId="12" borderId="19" xfId="1" applyFont="1" applyFill="1" applyBorder="1" applyAlignment="1" applyProtection="1">
      <alignment horizontal="center" vertical="center"/>
    </xf>
    <xf numFmtId="164" fontId="10" fillId="0" borderId="66" xfId="2" applyFont="1" applyBorder="1" applyAlignment="1" applyProtection="1">
      <alignment horizontal="right" vertical="center"/>
    </xf>
    <xf numFmtId="4" fontId="10" fillId="0" borderId="4" xfId="6" applyNumberFormat="1" applyFont="1" applyBorder="1" applyAlignment="1">
      <alignment horizontal="center" vertical="center"/>
    </xf>
    <xf numFmtId="4" fontId="10" fillId="0" borderId="14" xfId="6" applyNumberFormat="1" applyFont="1" applyBorder="1" applyAlignment="1">
      <alignment horizontal="center" vertical="center"/>
    </xf>
    <xf numFmtId="4" fontId="10" fillId="0" borderId="35" xfId="6" applyNumberFormat="1" applyFont="1" applyBorder="1" applyAlignment="1">
      <alignment horizontal="center" vertical="center"/>
    </xf>
    <xf numFmtId="166" fontId="8" fillId="0" borderId="4" xfId="1" applyFont="1" applyBorder="1" applyAlignment="1" applyProtection="1">
      <alignment horizontal="center" vertical="center"/>
    </xf>
    <xf numFmtId="166" fontId="8" fillId="0" borderId="19" xfId="1" applyFont="1" applyBorder="1" applyAlignment="1" applyProtection="1">
      <alignment horizontal="center" vertical="center"/>
    </xf>
    <xf numFmtId="4" fontId="10" fillId="0" borderId="21" xfId="6" applyNumberFormat="1" applyFont="1" applyBorder="1" applyAlignment="1">
      <alignment horizontal="center" vertical="center"/>
    </xf>
    <xf numFmtId="166" fontId="8" fillId="0" borderId="14" xfId="1" applyFont="1" applyBorder="1" applyAlignment="1" applyProtection="1">
      <alignment horizontal="center" vertical="center"/>
    </xf>
    <xf numFmtId="166" fontId="10" fillId="0" borderId="21" xfId="1" applyFont="1" applyBorder="1" applyAlignment="1" applyProtection="1">
      <alignment horizontal="center" vertical="center"/>
    </xf>
    <xf numFmtId="166" fontId="8" fillId="0" borderId="15" xfId="1" applyFont="1" applyBorder="1" applyAlignment="1" applyProtection="1">
      <alignment horizontal="center" vertical="center"/>
    </xf>
    <xf numFmtId="166" fontId="8" fillId="9" borderId="21" xfId="1" applyFont="1" applyFill="1" applyBorder="1" applyAlignment="1" applyProtection="1">
      <alignment horizontal="center" vertical="center"/>
    </xf>
    <xf numFmtId="166" fontId="8" fillId="9" borderId="4" xfId="1" applyFont="1" applyFill="1" applyBorder="1" applyAlignment="1" applyProtection="1">
      <alignment horizontal="center" vertical="center"/>
    </xf>
    <xf numFmtId="166" fontId="8" fillId="9" borderId="19" xfId="1" applyFont="1" applyFill="1" applyBorder="1" applyAlignment="1" applyProtection="1">
      <alignment horizontal="center" vertical="center"/>
    </xf>
    <xf numFmtId="166" fontId="8" fillId="12" borderId="21" xfId="1" applyFont="1" applyFill="1" applyBorder="1" applyAlignment="1" applyProtection="1">
      <alignment horizontal="center" vertical="center"/>
    </xf>
    <xf numFmtId="166" fontId="8" fillId="12" borderId="4" xfId="1" applyFont="1" applyFill="1" applyBorder="1" applyAlignment="1" applyProtection="1">
      <alignment horizontal="center" vertical="center"/>
    </xf>
    <xf numFmtId="166" fontId="8" fillId="12" borderId="19" xfId="1" applyFont="1" applyFill="1" applyBorder="1" applyAlignment="1" applyProtection="1">
      <alignment horizontal="center" vertical="center"/>
    </xf>
    <xf numFmtId="1" fontId="8" fillId="12" borderId="24" xfId="6" applyNumberFormat="1" applyFont="1" applyFill="1" applyBorder="1" applyAlignment="1">
      <alignment horizontal="center" vertical="center"/>
    </xf>
    <xf numFmtId="4" fontId="8" fillId="12" borderId="67" xfId="6" applyNumberFormat="1" applyFont="1" applyFill="1" applyBorder="1" applyAlignment="1">
      <alignment horizontal="center" vertical="center"/>
    </xf>
    <xf numFmtId="4" fontId="8" fillId="12" borderId="23" xfId="6" applyNumberFormat="1" applyFont="1" applyFill="1" applyBorder="1" applyAlignment="1">
      <alignment horizontal="center" vertical="center"/>
    </xf>
    <xf numFmtId="4" fontId="8" fillId="12" borderId="24" xfId="6" applyNumberFormat="1" applyFont="1" applyFill="1" applyBorder="1" applyAlignment="1">
      <alignment horizontal="center" vertical="center"/>
    </xf>
    <xf numFmtId="4" fontId="8" fillId="12" borderId="25" xfId="6" applyNumberFormat="1" applyFont="1" applyFill="1" applyBorder="1" applyAlignment="1">
      <alignment horizontal="center" vertical="center"/>
    </xf>
    <xf numFmtId="166" fontId="8" fillId="12" borderId="69" xfId="1" applyFont="1" applyFill="1" applyBorder="1" applyAlignment="1" applyProtection="1">
      <alignment horizontal="center" vertical="center"/>
    </xf>
    <xf numFmtId="4" fontId="8" fillId="12" borderId="69" xfId="6" applyNumberFormat="1" applyFont="1" applyFill="1" applyBorder="1" applyAlignment="1">
      <alignment horizontal="center" vertical="center"/>
    </xf>
    <xf numFmtId="166" fontId="8" fillId="12" borderId="50" xfId="1" applyFont="1" applyFill="1" applyBorder="1" applyAlignment="1" applyProtection="1">
      <alignment horizontal="center" vertical="center"/>
    </xf>
    <xf numFmtId="164" fontId="8" fillId="19" borderId="68" xfId="2" applyFont="1" applyFill="1" applyBorder="1" applyAlignment="1" applyProtection="1">
      <alignment horizontal="center" vertical="center"/>
    </xf>
    <xf numFmtId="164" fontId="10" fillId="12" borderId="50" xfId="2" applyFont="1" applyFill="1" applyBorder="1" applyAlignment="1" applyProtection="1">
      <alignment vertical="center"/>
    </xf>
    <xf numFmtId="164" fontId="8" fillId="12" borderId="9" xfId="2" applyFont="1" applyFill="1" applyBorder="1" applyAlignment="1" applyProtection="1">
      <alignment vertical="center"/>
    </xf>
    <xf numFmtId="0" fontId="65" fillId="0" borderId="2" xfId="0" applyFont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left" vertical="top"/>
    </xf>
    <xf numFmtId="1" fontId="36" fillId="0" borderId="4" xfId="9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39" fillId="23" borderId="4" xfId="0" applyNumberFormat="1" applyFont="1" applyFill="1" applyBorder="1" applyAlignment="1" applyProtection="1">
      <alignment horizontal="center" vertical="center" wrapText="1"/>
      <protection locked="0"/>
    </xf>
    <xf numFmtId="0" fontId="39" fillId="23" borderId="4" xfId="0" applyFont="1" applyFill="1" applyBorder="1" applyAlignment="1" applyProtection="1">
      <alignment horizontal="center"/>
      <protection locked="0"/>
    </xf>
    <xf numFmtId="0" fontId="39" fillId="23" borderId="4" xfId="0" applyFont="1" applyFill="1" applyBorder="1" applyAlignment="1" applyProtection="1">
      <alignment horizontal="center" vertical="center"/>
      <protection locked="0"/>
    </xf>
    <xf numFmtId="4" fontId="39" fillId="24" borderId="45" xfId="9" applyNumberFormat="1" applyFont="1" applyFill="1" applyBorder="1" applyAlignment="1" applyProtection="1">
      <alignment horizontal="right" vertical="center" wrapText="1"/>
      <protection locked="0"/>
    </xf>
    <xf numFmtId="171" fontId="39" fillId="25" borderId="4" xfId="31" applyFont="1" applyFill="1" applyBorder="1" applyAlignment="1" applyProtection="1">
      <alignment horizontal="center" vertical="center"/>
      <protection locked="0"/>
    </xf>
    <xf numFmtId="171" fontId="39" fillId="24" borderId="4" xfId="31" applyFont="1" applyFill="1" applyBorder="1" applyAlignment="1" applyProtection="1">
      <alignment horizontal="center" vertical="center"/>
      <protection locked="0"/>
    </xf>
    <xf numFmtId="171" fontId="39" fillId="24" borderId="12" xfId="31" applyFont="1" applyFill="1" applyBorder="1" applyAlignment="1" applyProtection="1">
      <alignment horizontal="center" vertical="center"/>
      <protection locked="0"/>
    </xf>
    <xf numFmtId="0" fontId="55" fillId="0" borderId="0" xfId="6" applyFont="1" applyAlignment="1">
      <alignment horizontal="center" vertical="top"/>
    </xf>
    <xf numFmtId="0" fontId="58" fillId="2" borderId="4" xfId="6" applyFont="1" applyFill="1" applyBorder="1" applyAlignment="1">
      <alignment horizontal="center" vertical="center" wrapText="1"/>
    </xf>
    <xf numFmtId="0" fontId="37" fillId="2" borderId="4" xfId="6" applyFont="1" applyFill="1" applyBorder="1" applyAlignment="1">
      <alignment horizontal="center" vertical="center" wrapText="1"/>
    </xf>
    <xf numFmtId="0" fontId="36" fillId="3" borderId="5" xfId="25" applyNumberFormat="1" applyFont="1" applyFill="1" applyBorder="1" applyAlignment="1" applyProtection="1">
      <alignment horizontal="center" vertical="center" wrapText="1"/>
    </xf>
    <xf numFmtId="0" fontId="39" fillId="3" borderId="6" xfId="25" applyNumberFormat="1" applyFont="1" applyFill="1" applyBorder="1" applyAlignment="1" applyProtection="1">
      <alignment horizontal="center" vertical="center" wrapText="1"/>
    </xf>
    <xf numFmtId="0" fontId="39" fillId="3" borderId="5" xfId="25" applyNumberFormat="1" applyFont="1" applyFill="1" applyBorder="1" applyAlignment="1" applyProtection="1">
      <alignment horizontal="center" vertical="center" wrapText="1"/>
    </xf>
    <xf numFmtId="0" fontId="39" fillId="3" borderId="7" xfId="25" applyNumberFormat="1" applyFont="1" applyFill="1" applyBorder="1" applyAlignment="1" applyProtection="1">
      <alignment horizontal="center" vertical="center" wrapText="1"/>
    </xf>
    <xf numFmtId="0" fontId="39" fillId="3" borderId="8" xfId="25" applyNumberFormat="1" applyFont="1" applyFill="1" applyBorder="1" applyAlignment="1" applyProtection="1">
      <alignment horizontal="center" vertical="center" wrapText="1"/>
    </xf>
    <xf numFmtId="0" fontId="39" fillId="3" borderId="9" xfId="25" applyNumberFormat="1" applyFont="1" applyFill="1" applyBorder="1" applyAlignment="1" applyProtection="1">
      <alignment horizontal="center" vertical="center" wrapText="1"/>
    </xf>
    <xf numFmtId="0" fontId="47" fillId="3" borderId="9" xfId="25" applyNumberFormat="1" applyFont="1" applyFill="1" applyBorder="1" applyAlignment="1" applyProtection="1">
      <alignment horizontal="center" vertical="center" wrapText="1"/>
    </xf>
    <xf numFmtId="0" fontId="39" fillId="3" borderId="10" xfId="25" applyNumberFormat="1" applyFont="1" applyFill="1" applyBorder="1" applyAlignment="1" applyProtection="1">
      <alignment horizontal="center" vertical="center" wrapText="1"/>
    </xf>
    <xf numFmtId="0" fontId="37" fillId="4" borderId="8" xfId="25" applyNumberFormat="1" applyFont="1" applyFill="1" applyBorder="1" applyAlignment="1" applyProtection="1">
      <alignment horizontal="center" vertical="center" wrapText="1"/>
    </xf>
    <xf numFmtId="0" fontId="36" fillId="5" borderId="22" xfId="25" applyNumberFormat="1" applyFont="1" applyFill="1" applyBorder="1" applyAlignment="1" applyProtection="1">
      <alignment horizontal="center" vertical="center" wrapText="1"/>
    </xf>
    <xf numFmtId="164" fontId="36" fillId="5" borderId="24" xfId="4" applyFont="1" applyFill="1" applyBorder="1" applyAlignment="1" applyProtection="1">
      <alignment horizontal="center" vertical="center" wrapText="1"/>
    </xf>
    <xf numFmtId="0" fontId="36" fillId="5" borderId="4" xfId="25" applyNumberFormat="1" applyFont="1" applyFill="1" applyBorder="1" applyAlignment="1" applyProtection="1">
      <alignment horizontal="center" vertical="center" wrapText="1"/>
    </xf>
    <xf numFmtId="0" fontId="39" fillId="0" borderId="30" xfId="6" applyFont="1" applyBorder="1" applyAlignment="1">
      <alignment horizontal="left" vertical="center" wrapText="1"/>
    </xf>
    <xf numFmtId="0" fontId="36" fillId="5" borderId="31" xfId="25" applyNumberFormat="1" applyFont="1" applyFill="1" applyBorder="1" applyAlignment="1" applyProtection="1">
      <alignment horizontal="center" vertical="center" wrapText="1"/>
    </xf>
    <xf numFmtId="0" fontId="36" fillId="5" borderId="32" xfId="25" applyNumberFormat="1" applyFont="1" applyFill="1" applyBorder="1" applyAlignment="1" applyProtection="1">
      <alignment horizontal="center" vertical="center" wrapText="1"/>
    </xf>
    <xf numFmtId="0" fontId="36" fillId="5" borderId="33" xfId="25" applyNumberFormat="1" applyFont="1" applyFill="1" applyBorder="1" applyAlignment="1" applyProtection="1">
      <alignment horizontal="center" vertical="center" wrapText="1"/>
    </xf>
    <xf numFmtId="0" fontId="63" fillId="4" borderId="34" xfId="15" applyFont="1" applyFill="1" applyBorder="1" applyAlignment="1">
      <alignment horizontal="center" vertical="center" wrapText="1"/>
    </xf>
    <xf numFmtId="0" fontId="36" fillId="5" borderId="34" xfId="25" applyNumberFormat="1" applyFont="1" applyFill="1" applyBorder="1" applyAlignment="1" applyProtection="1">
      <alignment horizontal="center" vertical="center" wrapText="1"/>
    </xf>
    <xf numFmtId="0" fontId="39" fillId="0" borderId="18" xfId="0" applyFont="1" applyBorder="1" applyAlignment="1">
      <alignment horizontal="left" vertical="center"/>
    </xf>
    <xf numFmtId="0" fontId="39" fillId="0" borderId="35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36" fillId="0" borderId="20" xfId="15" applyFont="1" applyBorder="1" applyAlignment="1">
      <alignment horizontal="center" vertical="center" wrapText="1"/>
    </xf>
    <xf numFmtId="0" fontId="39" fillId="22" borderId="18" xfId="0" applyFont="1" applyFill="1" applyBorder="1" applyAlignment="1">
      <alignment horizontal="left" vertical="center"/>
    </xf>
    <xf numFmtId="0" fontId="39" fillId="22" borderId="35" xfId="0" applyFont="1" applyFill="1" applyBorder="1" applyAlignment="1">
      <alignment horizontal="left" vertical="center"/>
    </xf>
    <xf numFmtId="0" fontId="39" fillId="22" borderId="21" xfId="0" applyFont="1" applyFill="1" applyBorder="1" applyAlignment="1">
      <alignment horizontal="left" vertical="center"/>
    </xf>
    <xf numFmtId="172" fontId="39" fillId="22" borderId="18" xfId="15" applyNumberFormat="1" applyFont="1" applyFill="1" applyBorder="1" applyAlignment="1">
      <alignment horizontal="left" vertical="center" wrapText="1"/>
    </xf>
    <xf numFmtId="172" fontId="39" fillId="22" borderId="35" xfId="15" applyNumberFormat="1" applyFont="1" applyFill="1" applyBorder="1" applyAlignment="1">
      <alignment horizontal="left" vertical="center" wrapText="1"/>
    </xf>
    <xf numFmtId="172" fontId="39" fillId="22" borderId="21" xfId="15" applyNumberFormat="1" applyFont="1" applyFill="1" applyBorder="1" applyAlignment="1">
      <alignment horizontal="left" vertical="center" wrapText="1"/>
    </xf>
    <xf numFmtId="0" fontId="36" fillId="5" borderId="11" xfId="25" applyNumberFormat="1" applyFont="1" applyFill="1" applyBorder="1" applyAlignment="1" applyProtection="1">
      <alignment horizontal="center" vertical="center" wrapText="1"/>
    </xf>
    <xf numFmtId="0" fontId="36" fillId="5" borderId="37" xfId="25" applyNumberFormat="1" applyFont="1" applyFill="1" applyBorder="1" applyAlignment="1" applyProtection="1">
      <alignment horizontal="right" vertical="center" wrapText="1"/>
    </xf>
    <xf numFmtId="0" fontId="36" fillId="5" borderId="22" xfId="25" applyNumberFormat="1" applyFont="1" applyFill="1" applyBorder="1" applyAlignment="1" applyProtection="1">
      <alignment horizontal="right" vertical="center" wrapText="1"/>
    </xf>
    <xf numFmtId="0" fontId="36" fillId="5" borderId="38" xfId="25" applyNumberFormat="1" applyFont="1" applyFill="1" applyBorder="1" applyAlignment="1" applyProtection="1">
      <alignment horizontal="center" vertical="center" wrapText="1"/>
    </xf>
    <xf numFmtId="0" fontId="36" fillId="5" borderId="39" xfId="25" applyNumberFormat="1" applyFont="1" applyFill="1" applyBorder="1" applyAlignment="1" applyProtection="1">
      <alignment horizontal="center" vertical="center" wrapText="1"/>
    </xf>
    <xf numFmtId="0" fontId="38" fillId="0" borderId="4" xfId="6" applyFont="1" applyBorder="1" applyAlignment="1">
      <alignment horizontal="center"/>
    </xf>
    <xf numFmtId="0" fontId="36" fillId="5" borderId="40" xfId="25" applyNumberFormat="1" applyFont="1" applyFill="1" applyBorder="1" applyAlignment="1" applyProtection="1">
      <alignment horizontal="center" vertical="center" wrapText="1"/>
    </xf>
    <xf numFmtId="0" fontId="39" fillId="0" borderId="64" xfId="0" applyFont="1" applyBorder="1" applyAlignment="1">
      <alignment horizontal="left"/>
    </xf>
    <xf numFmtId="0" fontId="39" fillId="0" borderId="73" xfId="0" applyFont="1" applyBorder="1" applyAlignment="1">
      <alignment horizontal="left"/>
    </xf>
    <xf numFmtId="0" fontId="39" fillId="0" borderId="27" xfId="0" applyFont="1" applyBorder="1" applyAlignment="1">
      <alignment horizontal="left"/>
    </xf>
    <xf numFmtId="0" fontId="39" fillId="0" borderId="18" xfId="0" applyFont="1" applyBorder="1" applyAlignment="1">
      <alignment horizontal="left"/>
    </xf>
    <xf numFmtId="0" fontId="39" fillId="0" borderId="35" xfId="0" applyFont="1" applyBorder="1" applyAlignment="1">
      <alignment horizontal="left"/>
    </xf>
    <xf numFmtId="0" fontId="39" fillId="0" borderId="21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0" fillId="12" borderId="4" xfId="6" applyFont="1" applyFill="1" applyBorder="1" applyAlignment="1">
      <alignment horizontal="center" vertical="center" wrapText="1"/>
    </xf>
    <xf numFmtId="0" fontId="6" fillId="12" borderId="4" xfId="6" applyFont="1" applyFill="1" applyBorder="1" applyAlignment="1">
      <alignment horizontal="center" vertical="center" wrapText="1"/>
    </xf>
    <xf numFmtId="0" fontId="6" fillId="0" borderId="4" xfId="6" applyFont="1" applyBorder="1" applyAlignment="1">
      <alignment horizontal="center" vertical="center" textRotation="90"/>
    </xf>
    <xf numFmtId="0" fontId="6" fillId="12" borderId="4" xfId="6" applyFont="1" applyFill="1" applyBorder="1" applyAlignment="1">
      <alignment horizontal="center" vertical="center"/>
    </xf>
    <xf numFmtId="0" fontId="4" fillId="0" borderId="4" xfId="6" applyFont="1" applyBorder="1" applyAlignment="1">
      <alignment horizontal="left" vertical="center"/>
    </xf>
    <xf numFmtId="0" fontId="6" fillId="2" borderId="4" xfId="6" applyFont="1" applyFill="1" applyBorder="1" applyAlignment="1" applyProtection="1">
      <alignment horizontal="center" vertical="center"/>
      <protection locked="0"/>
    </xf>
    <xf numFmtId="0" fontId="4" fillId="0" borderId="4" xfId="6" applyFont="1" applyBorder="1" applyAlignment="1">
      <alignment horizontal="center" vertical="center"/>
    </xf>
    <xf numFmtId="0" fontId="4" fillId="0" borderId="18" xfId="6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2" borderId="4" xfId="6" applyFont="1" applyFill="1" applyBorder="1" applyAlignment="1" applyProtection="1">
      <alignment horizontal="left" vertical="center"/>
      <protection locked="0"/>
    </xf>
    <xf numFmtId="0" fontId="6" fillId="12" borderId="28" xfId="6" applyFont="1" applyFill="1" applyBorder="1" applyAlignment="1">
      <alignment horizontal="center" vertical="center" wrapText="1"/>
    </xf>
    <xf numFmtId="0" fontId="6" fillId="0" borderId="32" xfId="6" applyFont="1" applyBorder="1" applyAlignment="1">
      <alignment horizontal="left" vertical="center"/>
    </xf>
    <xf numFmtId="0" fontId="4" fillId="0" borderId="44" xfId="6" applyFont="1" applyBorder="1" applyAlignment="1">
      <alignment horizontal="center"/>
    </xf>
    <xf numFmtId="0" fontId="4" fillId="0" borderId="28" xfId="6" applyFont="1" applyBorder="1" applyAlignment="1">
      <alignment horizontal="left" vertical="center"/>
    </xf>
    <xf numFmtId="0" fontId="4" fillId="0" borderId="45" xfId="6" applyFont="1" applyBorder="1" applyAlignment="1">
      <alignment horizontal="left" vertical="center"/>
    </xf>
    <xf numFmtId="0" fontId="6" fillId="0" borderId="12" xfId="6" applyFont="1" applyBorder="1" applyAlignment="1">
      <alignment horizontal="left" vertical="center"/>
    </xf>
    <xf numFmtId="0" fontId="23" fillId="12" borderId="49" xfId="0" applyFont="1" applyFill="1" applyBorder="1" applyAlignment="1">
      <alignment horizontal="center" vertical="center"/>
    </xf>
    <xf numFmtId="0" fontId="8" fillId="13" borderId="15" xfId="0" applyFont="1" applyFill="1" applyBorder="1" applyAlignment="1">
      <alignment horizontal="center" wrapText="1"/>
    </xf>
    <xf numFmtId="0" fontId="8" fillId="12" borderId="20" xfId="0" applyFont="1" applyFill="1" applyBorder="1" applyAlignment="1">
      <alignment horizontal="center" vertical="center"/>
    </xf>
    <xf numFmtId="0" fontId="25" fillId="12" borderId="19" xfId="0" applyFont="1" applyFill="1" applyBorder="1" applyAlignment="1">
      <alignment horizontal="left" vertical="center"/>
    </xf>
    <xf numFmtId="0" fontId="25" fillId="12" borderId="17" xfId="0" applyFont="1" applyFill="1" applyBorder="1" applyAlignment="1">
      <alignment horizontal="left" vertical="center"/>
    </xf>
    <xf numFmtId="0" fontId="25" fillId="12" borderId="20" xfId="0" applyFont="1" applyFill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9" fillId="15" borderId="34" xfId="5" applyFont="1" applyFill="1" applyBorder="1" applyAlignment="1">
      <alignment horizontal="center" vertical="center" wrapText="1"/>
    </xf>
    <xf numFmtId="0" fontId="17" fillId="0" borderId="17" xfId="5" applyFont="1" applyBorder="1" applyAlignment="1">
      <alignment horizontal="center" vertical="center" wrapText="1"/>
    </xf>
    <xf numFmtId="0" fontId="17" fillId="0" borderId="19" xfId="5" applyFont="1" applyBorder="1" applyAlignment="1">
      <alignment horizontal="center" vertical="center" wrapText="1"/>
    </xf>
    <xf numFmtId="0" fontId="25" fillId="12" borderId="20" xfId="0" applyFont="1" applyFill="1" applyBorder="1" applyAlignment="1">
      <alignment horizontal="center" vertical="center"/>
    </xf>
    <xf numFmtId="0" fontId="25" fillId="12" borderId="36" xfId="0" applyFont="1" applyFill="1" applyBorder="1" applyAlignment="1">
      <alignment horizontal="left" vertical="center"/>
    </xf>
    <xf numFmtId="0" fontId="19" fillId="14" borderId="50" xfId="0" applyFont="1" applyFill="1" applyBorder="1" applyAlignment="1">
      <alignment horizontal="justify" wrapText="1"/>
    </xf>
    <xf numFmtId="0" fontId="36" fillId="16" borderId="4" xfId="15" applyFont="1" applyFill="1" applyBorder="1" applyAlignment="1">
      <alignment horizontal="center" vertical="center" wrapText="1"/>
    </xf>
    <xf numFmtId="0" fontId="44" fillId="12" borderId="22" xfId="15" applyFont="1" applyFill="1" applyBorder="1" applyAlignment="1">
      <alignment horizontal="center" vertical="center"/>
    </xf>
    <xf numFmtId="0" fontId="41" fillId="12" borderId="49" xfId="9" applyFont="1" applyFill="1" applyBorder="1" applyAlignment="1">
      <alignment horizontal="center" vertical="center"/>
    </xf>
    <xf numFmtId="0" fontId="37" fillId="13" borderId="15" xfId="0" applyFont="1" applyFill="1" applyBorder="1" applyAlignment="1">
      <alignment horizontal="center" vertical="center" wrapText="1"/>
    </xf>
    <xf numFmtId="0" fontId="42" fillId="12" borderId="17" xfId="15" applyFont="1" applyFill="1" applyBorder="1" applyAlignment="1">
      <alignment horizontal="center" vertical="center" wrapText="1"/>
    </xf>
    <xf numFmtId="0" fontId="36" fillId="12" borderId="4" xfId="15" applyFont="1" applyFill="1" applyBorder="1" applyAlignment="1">
      <alignment horizontal="center" vertical="center" wrapText="1"/>
    </xf>
    <xf numFmtId="0" fontId="36" fillId="12" borderId="4" xfId="15" applyFont="1" applyFill="1" applyBorder="1" applyAlignment="1">
      <alignment horizontal="center" vertical="center"/>
    </xf>
    <xf numFmtId="0" fontId="36" fillId="12" borderId="19" xfId="15" applyFont="1" applyFill="1" applyBorder="1" applyAlignment="1">
      <alignment horizontal="center" vertical="center" wrapText="1"/>
    </xf>
    <xf numFmtId="49" fontId="37" fillId="12" borderId="22" xfId="15" applyNumberFormat="1" applyFont="1" applyFill="1" applyBorder="1" applyAlignment="1">
      <alignment horizontal="left" vertical="center" wrapText="1"/>
    </xf>
    <xf numFmtId="49" fontId="37" fillId="12" borderId="28" xfId="15" applyNumberFormat="1" applyFont="1" applyFill="1" applyBorder="1" applyAlignment="1">
      <alignment horizontal="left" vertical="center" wrapText="1"/>
    </xf>
    <xf numFmtId="170" fontId="37" fillId="20" borderId="37" xfId="28" applyNumberFormat="1" applyFont="1" applyFill="1" applyBorder="1" applyAlignment="1" applyProtection="1">
      <alignment horizontal="left" vertical="center"/>
    </xf>
    <xf numFmtId="170" fontId="38" fillId="20" borderId="35" xfId="28" applyNumberFormat="1" applyFont="1" applyFill="1" applyBorder="1" applyAlignment="1" applyProtection="1">
      <alignment horizontal="left" vertical="center"/>
    </xf>
    <xf numFmtId="170" fontId="38" fillId="20" borderId="21" xfId="28" applyNumberFormat="1" applyFont="1" applyFill="1" applyBorder="1" applyAlignment="1" applyProtection="1">
      <alignment horizontal="left" vertical="center"/>
    </xf>
    <xf numFmtId="170" fontId="36" fillId="20" borderId="37" xfId="28" applyNumberFormat="1" applyFont="1" applyFill="1" applyBorder="1" applyAlignment="1" applyProtection="1">
      <alignment horizontal="center" vertical="center"/>
    </xf>
    <xf numFmtId="170" fontId="36" fillId="20" borderId="35" xfId="28" applyNumberFormat="1" applyFont="1" applyFill="1" applyBorder="1" applyAlignment="1" applyProtection="1">
      <alignment horizontal="center" vertical="center"/>
    </xf>
    <xf numFmtId="170" fontId="36" fillId="20" borderId="55" xfId="28" applyNumberFormat="1" applyFont="1" applyFill="1" applyBorder="1" applyAlignment="1" applyProtection="1">
      <alignment horizontal="center" vertical="center"/>
    </xf>
    <xf numFmtId="0" fontId="44" fillId="0" borderId="49" xfId="9" applyFont="1" applyBorder="1" applyAlignment="1">
      <alignment horizontal="center" vertical="center"/>
    </xf>
    <xf numFmtId="0" fontId="36" fillId="13" borderId="34" xfId="0" applyFont="1" applyFill="1" applyBorder="1" applyAlignment="1">
      <alignment horizontal="center" vertical="center" wrapText="1"/>
    </xf>
    <xf numFmtId="0" fontId="36" fillId="0" borderId="20" xfId="15" applyFont="1" applyBorder="1" applyAlignment="1">
      <alignment horizontal="center" vertical="center"/>
    </xf>
    <xf numFmtId="0" fontId="39" fillId="0" borderId="17" xfId="9" applyFont="1" applyBorder="1" applyAlignment="1">
      <alignment horizontal="center" vertical="center" wrapText="1"/>
    </xf>
    <xf numFmtId="4" fontId="36" fillId="0" borderId="17" xfId="9" applyNumberFormat="1" applyFont="1" applyBorder="1" applyAlignment="1">
      <alignment horizontal="center" vertical="center"/>
    </xf>
    <xf numFmtId="0" fontId="44" fillId="12" borderId="56" xfId="9" applyFont="1" applyFill="1" applyBorder="1" applyAlignment="1">
      <alignment horizontal="left" vertical="center"/>
    </xf>
    <xf numFmtId="4" fontId="36" fillId="0" borderId="24" xfId="0" applyNumberFormat="1" applyFont="1" applyBorder="1" applyAlignment="1">
      <alignment horizontal="center" vertical="center"/>
    </xf>
    <xf numFmtId="0" fontId="36" fillId="13" borderId="4" xfId="15" applyFont="1" applyFill="1" applyBorder="1" applyAlignment="1">
      <alignment horizontal="center" vertical="center" wrapText="1"/>
    </xf>
    <xf numFmtId="0" fontId="44" fillId="12" borderId="9" xfId="9" applyFont="1" applyFill="1" applyBorder="1" applyAlignment="1">
      <alignment horizontal="center" vertical="center"/>
    </xf>
    <xf numFmtId="0" fontId="36" fillId="13" borderId="15" xfId="0" applyFont="1" applyFill="1" applyBorder="1" applyAlignment="1">
      <alignment horizontal="center" vertical="center" wrapText="1"/>
    </xf>
    <xf numFmtId="0" fontId="52" fillId="5" borderId="4" xfId="25" applyNumberFormat="1" applyFont="1" applyFill="1" applyBorder="1" applyAlignment="1" applyProtection="1">
      <alignment horizontal="center" vertical="center" wrapText="1"/>
    </xf>
    <xf numFmtId="0" fontId="38" fillId="0" borderId="20" xfId="9" applyFont="1" applyBorder="1" applyAlignment="1">
      <alignment horizontal="left" vertical="center"/>
    </xf>
    <xf numFmtId="4" fontId="36" fillId="0" borderId="22" xfId="0" applyNumberFormat="1" applyFont="1" applyBorder="1" applyAlignment="1">
      <alignment horizontal="center" vertical="center"/>
    </xf>
    <xf numFmtId="0" fontId="31" fillId="12" borderId="4" xfId="13" applyFont="1" applyFill="1" applyBorder="1" applyAlignment="1">
      <alignment horizontal="center" vertical="center" wrapText="1"/>
    </xf>
    <xf numFmtId="0" fontId="26" fillId="9" borderId="4" xfId="13" applyFont="1" applyFill="1" applyBorder="1" applyAlignment="1">
      <alignment horizontal="center" vertical="center"/>
    </xf>
    <xf numFmtId="10" fontId="28" fillId="9" borderId="4" xfId="13" applyNumberFormat="1" applyFont="1" applyFill="1" applyBorder="1" applyAlignment="1">
      <alignment horizontal="center" vertical="center"/>
    </xf>
    <xf numFmtId="0" fontId="28" fillId="9" borderId="4" xfId="13" applyFont="1" applyFill="1" applyBorder="1" applyAlignment="1">
      <alignment horizontal="left" vertical="center" wrapText="1"/>
    </xf>
    <xf numFmtId="0" fontId="32" fillId="9" borderId="4" xfId="13" applyFont="1" applyFill="1" applyBorder="1" applyAlignment="1" applyProtection="1">
      <alignment horizontal="center" vertical="center"/>
      <protection locked="0"/>
    </xf>
    <xf numFmtId="0" fontId="33" fillId="17" borderId="4" xfId="13" applyFont="1" applyFill="1" applyBorder="1" applyAlignment="1">
      <alignment horizontal="left" vertical="center"/>
    </xf>
    <xf numFmtId="0" fontId="10" fillId="0" borderId="4" xfId="13" applyFont="1" applyBorder="1" applyAlignment="1">
      <alignment horizontal="left" vertical="center"/>
    </xf>
    <xf numFmtId="0" fontId="28" fillId="0" borderId="4" xfId="13" applyFont="1" applyBorder="1" applyAlignment="1">
      <alignment horizontal="left" vertical="center" wrapText="1"/>
    </xf>
    <xf numFmtId="0" fontId="28" fillId="12" borderId="4" xfId="13" applyFont="1" applyFill="1" applyBorder="1" applyAlignment="1" applyProtection="1">
      <alignment horizontal="center" vertical="center"/>
      <protection locked="0"/>
    </xf>
    <xf numFmtId="0" fontId="10" fillId="0" borderId="4" xfId="13" applyFont="1" applyBorder="1" applyAlignment="1" applyProtection="1">
      <alignment horizontal="left" vertical="center"/>
      <protection locked="0"/>
    </xf>
    <xf numFmtId="0" fontId="28" fillId="0" borderId="4" xfId="13" applyFont="1" applyBorder="1" applyAlignment="1" applyProtection="1">
      <alignment horizontal="left" vertical="center"/>
      <protection locked="0"/>
    </xf>
    <xf numFmtId="0" fontId="28" fillId="12" borderId="4" xfId="13" applyFont="1" applyFill="1" applyBorder="1" applyAlignment="1" applyProtection="1">
      <alignment horizontal="left" vertical="center" wrapText="1"/>
      <protection locked="0"/>
    </xf>
    <xf numFmtId="0" fontId="10" fillId="0" borderId="4" xfId="13" applyFont="1" applyBorder="1" applyAlignment="1" applyProtection="1">
      <alignment horizontal="left" vertical="center" wrapText="1"/>
      <protection locked="0"/>
    </xf>
    <xf numFmtId="0" fontId="8" fillId="0" borderId="4" xfId="13" applyFont="1" applyBorder="1" applyAlignment="1" applyProtection="1">
      <alignment horizontal="left" vertical="center" wrapText="1"/>
      <protection locked="0"/>
    </xf>
    <xf numFmtId="0" fontId="28" fillId="0" borderId="4" xfId="13" applyFont="1" applyBorder="1" applyAlignment="1">
      <alignment horizontal="left" vertical="center"/>
    </xf>
    <xf numFmtId="0" fontId="28" fillId="12" borderId="4" xfId="13" applyFont="1" applyFill="1" applyBorder="1" applyAlignment="1">
      <alignment horizontal="center" vertical="center"/>
    </xf>
    <xf numFmtId="0" fontId="28" fillId="9" borderId="4" xfId="13" applyFont="1" applyFill="1" applyBorder="1" applyAlignment="1">
      <alignment horizontal="center" vertical="center"/>
    </xf>
    <xf numFmtId="0" fontId="18" fillId="12" borderId="9" xfId="9" applyFont="1" applyFill="1" applyBorder="1" applyAlignment="1">
      <alignment horizontal="center" vertical="center" wrapText="1"/>
    </xf>
    <xf numFmtId="0" fontId="18" fillId="12" borderId="49" xfId="9" applyFont="1" applyFill="1" applyBorder="1" applyAlignment="1">
      <alignment horizontal="center" vertical="center"/>
    </xf>
    <xf numFmtId="0" fontId="5" fillId="0" borderId="50" xfId="9" applyFont="1" applyBorder="1" applyAlignment="1">
      <alignment horizontal="left" vertical="center" wrapText="1"/>
    </xf>
    <xf numFmtId="0" fontId="8" fillId="0" borderId="34" xfId="9" applyFont="1" applyBorder="1" applyAlignment="1">
      <alignment horizontal="left" vertical="center" wrapText="1"/>
    </xf>
    <xf numFmtId="4" fontId="26" fillId="12" borderId="9" xfId="9" applyNumberFormat="1" applyFont="1" applyFill="1" applyBorder="1" applyAlignment="1">
      <alignment horizontal="center" vertical="center" wrapText="1"/>
    </xf>
    <xf numFmtId="0" fontId="8" fillId="12" borderId="70" xfId="9" applyFont="1" applyFill="1" applyBorder="1" applyAlignment="1">
      <alignment horizontal="left" vertical="center" wrapText="1"/>
    </xf>
    <xf numFmtId="0" fontId="8" fillId="12" borderId="34" xfId="9" applyFont="1" applyFill="1" applyBorder="1" applyAlignment="1">
      <alignment horizontal="center" vertical="center"/>
    </xf>
    <xf numFmtId="0" fontId="11" fillId="0" borderId="4" xfId="9" applyFont="1" applyBorder="1" applyAlignment="1">
      <alignment horizontal="center" vertical="center"/>
    </xf>
    <xf numFmtId="4" fontId="11" fillId="0" borderId="19" xfId="9" applyNumberFormat="1" applyFont="1" applyBorder="1" applyAlignment="1">
      <alignment horizontal="center" vertical="center" wrapText="1"/>
    </xf>
    <xf numFmtId="0" fontId="10" fillId="0" borderId="36" xfId="9" applyFont="1" applyBorder="1" applyAlignment="1">
      <alignment horizontal="center" vertical="center"/>
    </xf>
    <xf numFmtId="0" fontId="10" fillId="0" borderId="4" xfId="9" applyFont="1" applyBorder="1" applyAlignment="1" applyProtection="1">
      <alignment horizontal="left" vertical="center" wrapText="1"/>
      <protection locked="0"/>
    </xf>
    <xf numFmtId="0" fontId="8" fillId="12" borderId="4" xfId="9" applyFont="1" applyFill="1" applyBorder="1" applyAlignment="1">
      <alignment horizontal="left" vertical="center"/>
    </xf>
    <xf numFmtId="0" fontId="10" fillId="0" borderId="52" xfId="9" applyFont="1" applyBorder="1" applyAlignment="1">
      <alignment horizontal="left" vertical="center"/>
    </xf>
    <xf numFmtId="9" fontId="8" fillId="12" borderId="59" xfId="17" applyFont="1" applyFill="1" applyBorder="1" applyAlignment="1" applyProtection="1">
      <alignment horizontal="left" vertical="center"/>
    </xf>
    <xf numFmtId="0" fontId="8" fillId="12" borderId="15" xfId="9" applyFont="1" applyFill="1" applyBorder="1" applyAlignment="1">
      <alignment horizontal="center" vertical="center"/>
    </xf>
    <xf numFmtId="0" fontId="10" fillId="0" borderId="17" xfId="9" applyFont="1" applyBorder="1" applyAlignment="1">
      <alignment horizontal="center" vertical="center"/>
    </xf>
    <xf numFmtId="0" fontId="10" fillId="0" borderId="4" xfId="9" applyFont="1" applyBorder="1" applyAlignment="1">
      <alignment horizontal="center" vertical="center"/>
    </xf>
    <xf numFmtId="4" fontId="10" fillId="0" borderId="19" xfId="9" applyNumberFormat="1" applyFont="1" applyBorder="1" applyAlignment="1">
      <alignment horizontal="center" vertical="center"/>
    </xf>
    <xf numFmtId="0" fontId="10" fillId="0" borderId="17" xfId="9" applyFont="1" applyBorder="1" applyAlignment="1">
      <alignment horizontal="left" vertical="center"/>
    </xf>
    <xf numFmtId="0" fontId="10" fillId="0" borderId="17" xfId="9" applyFont="1" applyBorder="1" applyAlignment="1">
      <alignment horizontal="left" vertical="center" wrapText="1"/>
    </xf>
    <xf numFmtId="0" fontId="10" fillId="0" borderId="36" xfId="9" applyFont="1" applyBorder="1" applyAlignment="1">
      <alignment horizontal="left" vertical="center"/>
    </xf>
    <xf numFmtId="0" fontId="8" fillId="12" borderId="5" xfId="9" applyFont="1" applyFill="1" applyBorder="1" applyAlignment="1">
      <alignment horizontal="left" vertical="center"/>
    </xf>
    <xf numFmtId="4" fontId="10" fillId="0" borderId="55" xfId="9" applyNumberFormat="1" applyFont="1" applyBorder="1" applyAlignment="1">
      <alignment horizontal="center" vertical="center" wrapText="1"/>
    </xf>
    <xf numFmtId="0" fontId="10" fillId="0" borderId="17" xfId="9" applyFont="1" applyBorder="1" applyAlignment="1">
      <alignment vertical="center"/>
    </xf>
    <xf numFmtId="0" fontId="8" fillId="12" borderId="56" xfId="9" applyFont="1" applyFill="1" applyBorder="1" applyAlignment="1">
      <alignment horizontal="left" vertical="center"/>
    </xf>
    <xf numFmtId="0" fontId="8" fillId="12" borderId="62" xfId="9" applyFont="1" applyFill="1" applyBorder="1" applyAlignment="1">
      <alignment horizontal="center" vertical="center"/>
    </xf>
    <xf numFmtId="4" fontId="8" fillId="13" borderId="28" xfId="17" applyNumberFormat="1" applyFont="1" applyFill="1" applyBorder="1" applyAlignment="1" applyProtection="1">
      <alignment horizontal="center" vertical="center" wrapText="1"/>
    </xf>
    <xf numFmtId="0" fontId="8" fillId="12" borderId="36" xfId="9" applyFont="1" applyFill="1" applyBorder="1" applyAlignment="1">
      <alignment horizontal="center" vertical="center"/>
    </xf>
    <xf numFmtId="0" fontId="8" fillId="12" borderId="17" xfId="9" applyFont="1" applyFill="1" applyBorder="1" applyAlignment="1">
      <alignment vertical="center"/>
    </xf>
    <xf numFmtId="0" fontId="8" fillId="12" borderId="17" xfId="9" applyFont="1" applyFill="1" applyBorder="1" applyAlignment="1">
      <alignment vertical="center" wrapText="1"/>
    </xf>
    <xf numFmtId="0" fontId="8" fillId="12" borderId="22" xfId="0" applyFont="1" applyFill="1" applyBorder="1" applyAlignment="1">
      <alignment vertical="center"/>
    </xf>
    <xf numFmtId="0" fontId="8" fillId="18" borderId="20" xfId="6" applyFont="1" applyFill="1" applyBorder="1" applyAlignment="1">
      <alignment horizontal="center" vertical="center" wrapText="1"/>
    </xf>
    <xf numFmtId="0" fontId="8" fillId="0" borderId="20" xfId="6" applyFont="1" applyBorder="1" applyAlignment="1">
      <alignment horizontal="center" vertical="center" wrapText="1"/>
    </xf>
    <xf numFmtId="0" fontId="10" fillId="9" borderId="58" xfId="6" applyFont="1" applyFill="1" applyBorder="1" applyAlignment="1">
      <alignment horizontal="center" vertical="center"/>
    </xf>
    <xf numFmtId="0" fontId="8" fillId="12" borderId="61" xfId="6" applyFont="1" applyFill="1" applyBorder="1" applyAlignment="1">
      <alignment horizontal="center" vertical="center" wrapText="1"/>
    </xf>
    <xf numFmtId="0" fontId="8" fillId="12" borderId="50" xfId="6" applyFont="1" applyFill="1" applyBorder="1" applyAlignment="1">
      <alignment horizontal="center" vertical="center" textRotation="90"/>
    </xf>
    <xf numFmtId="0" fontId="8" fillId="12" borderId="49" xfId="6" applyFont="1" applyFill="1" applyBorder="1" applyAlignment="1">
      <alignment horizontal="center" vertical="center" wrapText="1"/>
    </xf>
    <xf numFmtId="0" fontId="8" fillId="12" borderId="56" xfId="6" applyFont="1" applyFill="1" applyBorder="1" applyAlignment="1">
      <alignment horizontal="center" vertical="center"/>
    </xf>
    <xf numFmtId="0" fontId="8" fillId="12" borderId="50" xfId="6" applyFont="1" applyFill="1" applyBorder="1" applyAlignment="1">
      <alignment horizontal="center" vertical="center" wrapText="1"/>
    </xf>
    <xf numFmtId="0" fontId="8" fillId="12" borderId="40" xfId="6" applyFont="1" applyFill="1" applyBorder="1" applyAlignment="1">
      <alignment horizontal="center" vertical="center" wrapText="1"/>
    </xf>
    <xf numFmtId="0" fontId="8" fillId="12" borderId="9" xfId="6" applyFont="1" applyFill="1" applyBorder="1" applyAlignment="1">
      <alignment horizontal="center" vertical="center" wrapText="1"/>
    </xf>
    <xf numFmtId="0" fontId="8" fillId="12" borderId="62" xfId="6" applyFont="1" applyFill="1" applyBorder="1" applyAlignment="1">
      <alignment horizontal="center" vertical="center" wrapText="1"/>
    </xf>
    <xf numFmtId="0" fontId="10" fillId="12" borderId="37" xfId="6" applyFont="1" applyFill="1" applyBorder="1" applyAlignment="1">
      <alignment horizontal="center" vertical="center" wrapText="1"/>
    </xf>
    <xf numFmtId="0" fontId="10" fillId="12" borderId="63" xfId="6" applyFont="1" applyFill="1" applyBorder="1" applyAlignment="1">
      <alignment horizontal="center" vertical="center" wrapText="1"/>
    </xf>
    <xf numFmtId="0" fontId="10" fillId="12" borderId="33" xfId="6" applyFont="1" applyFill="1" applyBorder="1" applyAlignment="1">
      <alignment horizontal="center" vertical="center" wrapText="1"/>
    </xf>
    <xf numFmtId="0" fontId="10" fillId="12" borderId="43" xfId="6" applyFont="1" applyFill="1" applyBorder="1" applyAlignment="1">
      <alignment horizontal="center" vertical="center" wrapText="1"/>
    </xf>
    <xf numFmtId="0" fontId="10" fillId="12" borderId="40" xfId="6" applyFont="1" applyFill="1" applyBorder="1" applyAlignment="1">
      <alignment horizontal="center" vertical="center" wrapText="1"/>
    </xf>
    <xf numFmtId="0" fontId="10" fillId="12" borderId="34" xfId="6" applyFont="1" applyFill="1" applyBorder="1" applyAlignment="1">
      <alignment horizontal="center" vertical="center" wrapText="1"/>
    </xf>
    <xf numFmtId="0" fontId="10" fillId="12" borderId="59" xfId="6" applyFont="1" applyFill="1" applyBorder="1" applyAlignment="1">
      <alignment horizontal="center" vertical="center" wrapText="1"/>
    </xf>
    <xf numFmtId="0" fontId="10" fillId="0" borderId="49" xfId="6" applyFont="1" applyBorder="1" applyAlignment="1">
      <alignment horizontal="left" vertical="center" wrapText="1"/>
    </xf>
    <xf numFmtId="0" fontId="10" fillId="0" borderId="50" xfId="6" applyFont="1" applyBorder="1" applyAlignment="1">
      <alignment horizontal="left" vertical="top" wrapText="1"/>
    </xf>
    <xf numFmtId="0" fontId="10" fillId="0" borderId="3" xfId="6" applyFont="1" applyBorder="1" applyAlignment="1">
      <alignment horizontal="left" vertical="center" wrapText="1"/>
    </xf>
    <xf numFmtId="0" fontId="8" fillId="0" borderId="62" xfId="6" applyFont="1" applyBorder="1" applyAlignment="1">
      <alignment horizontal="center" vertical="center" textRotation="90"/>
    </xf>
    <xf numFmtId="0" fontId="8" fillId="0" borderId="49" xfId="6" applyFont="1" applyBorder="1" applyAlignment="1">
      <alignment horizontal="center" vertical="center" textRotation="90"/>
    </xf>
    <xf numFmtId="0" fontId="8" fillId="0" borderId="50" xfId="6" applyFont="1" applyBorder="1" applyAlignment="1">
      <alignment horizontal="center" vertical="center" textRotation="90"/>
    </xf>
    <xf numFmtId="0" fontId="8" fillId="12" borderId="9" xfId="6" applyFont="1" applyFill="1" applyBorder="1" applyAlignment="1">
      <alignment horizontal="left" vertical="center"/>
    </xf>
    <xf numFmtId="0" fontId="64" fillId="0" borderId="49" xfId="6" applyFont="1" applyBorder="1" applyAlignment="1">
      <alignment horizontal="left"/>
    </xf>
    <xf numFmtId="0" fontId="18" fillId="16" borderId="4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left" vertical="center"/>
    </xf>
    <xf numFmtId="0" fontId="8" fillId="16" borderId="4" xfId="0" applyFont="1" applyFill="1" applyBorder="1" applyAlignment="1">
      <alignment horizontal="center" vertical="center" wrapText="1"/>
    </xf>
    <xf numFmtId="0" fontId="29" fillId="16" borderId="4" xfId="0" applyFont="1" applyFill="1" applyBorder="1" applyAlignment="1">
      <alignment horizontal="center" vertical="center"/>
    </xf>
  </cellXfs>
  <cellStyles count="32">
    <cellStyle name="Excel Built-in Explanatory Text" xfId="29" xr:uid="{00000000-0005-0000-0000-000000000000}"/>
    <cellStyle name="Excel Built-in Explanatory Text 2" xfId="30" xr:uid="{00000000-0005-0000-0000-000001000000}"/>
    <cellStyle name="Moeda" xfId="2" builtinId="4"/>
    <cellStyle name="Moeda 8" xfId="4" xr:uid="{00000000-0005-0000-0000-000003000000}"/>
    <cellStyle name="Normal" xfId="0" builtinId="0"/>
    <cellStyle name="Normal 12" xfId="5" xr:uid="{00000000-0005-0000-0000-000005000000}"/>
    <cellStyle name="Normal 2" xfId="6" xr:uid="{00000000-0005-0000-0000-000006000000}"/>
    <cellStyle name="Normal 2 2" xfId="7" xr:uid="{00000000-0005-0000-0000-000007000000}"/>
    <cellStyle name="Normal 2 2 2" xfId="8" xr:uid="{00000000-0005-0000-0000-000008000000}"/>
    <cellStyle name="Normal 3" xfId="9" xr:uid="{00000000-0005-0000-0000-000009000000}"/>
    <cellStyle name="Normal 3 3" xfId="10" xr:uid="{00000000-0005-0000-0000-00000A000000}"/>
    <cellStyle name="Normal 4" xfId="11" xr:uid="{00000000-0005-0000-0000-00000B000000}"/>
    <cellStyle name="Normal 7 2" xfId="12" xr:uid="{00000000-0005-0000-0000-00000C000000}"/>
    <cellStyle name="Normal 8" xfId="13" xr:uid="{00000000-0005-0000-0000-00000D000000}"/>
    <cellStyle name="Normal 9" xfId="14" xr:uid="{00000000-0005-0000-0000-00000E000000}"/>
    <cellStyle name="Normal_Plan1" xfId="15" xr:uid="{00000000-0005-0000-0000-00000F000000}"/>
    <cellStyle name="Porcentagem" xfId="3" builtinId="5"/>
    <cellStyle name="Porcentagem 12" xfId="16" xr:uid="{00000000-0005-0000-0000-000011000000}"/>
    <cellStyle name="Porcentagem 2" xfId="17" xr:uid="{00000000-0005-0000-0000-000012000000}"/>
    <cellStyle name="Porcentagem 4" xfId="18" xr:uid="{00000000-0005-0000-0000-000013000000}"/>
    <cellStyle name="Porcentagem 4 3" xfId="19" xr:uid="{00000000-0005-0000-0000-000014000000}"/>
    <cellStyle name="Separador de milhares 2" xfId="31" xr:uid="{00000000-0005-0000-0000-000016000000}"/>
    <cellStyle name="Separador de milhares 2 2" xfId="20" xr:uid="{00000000-0005-0000-0000-000017000000}"/>
    <cellStyle name="Separador de milhares 2 2 2" xfId="21" xr:uid="{00000000-0005-0000-0000-000018000000}"/>
    <cellStyle name="Separador de milhares 3" xfId="22" xr:uid="{00000000-0005-0000-0000-000019000000}"/>
    <cellStyle name="Separador de milhares 3 3" xfId="23" xr:uid="{00000000-0005-0000-0000-00001A000000}"/>
    <cellStyle name="Separador de milhares 4 3" xfId="24" xr:uid="{00000000-0005-0000-0000-00001B000000}"/>
    <cellStyle name="Texto Explicativo 4" xfId="25" xr:uid="{00000000-0005-0000-0000-00001C000000}"/>
    <cellStyle name="Vírgula" xfId="1" builtinId="3"/>
    <cellStyle name="Vírgula 2" xfId="26" xr:uid="{00000000-0005-0000-0000-00001D000000}"/>
    <cellStyle name="Vírgula 4" xfId="27" xr:uid="{00000000-0005-0000-0000-00001E000000}"/>
    <cellStyle name="Vírgula 5" xfId="28" xr:uid="{00000000-0005-0000-0000-00001F000000}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2F2F2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D9D9D9"/>
      <rgbColor rgb="FF993366"/>
      <rgbColor rgb="FFFFFF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B0F0"/>
      <rgbColor rgb="FFDCE6F2"/>
      <rgbColor rgb="FFC6EFCE"/>
      <rgbColor rgb="FFFFFF99"/>
      <rgbColor rgb="FFADB9CA"/>
      <rgbColor rgb="FFFFC7CE"/>
      <rgbColor rgb="FFBFBFBF"/>
      <rgbColor rgb="FFF8CBAD"/>
      <rgbColor rgb="FF3366CC"/>
      <rgbColor rgb="FF33CCCC"/>
      <rgbColor rgb="FF99CC00"/>
      <rgbColor rgb="FFF2DCDB"/>
      <rgbColor rgb="FFFF9900"/>
      <rgbColor rgb="FFFF6600"/>
      <rgbColor rgb="FF606060"/>
      <rgbColor rgb="FF969696"/>
      <rgbColor rgb="FF10243E"/>
      <rgbColor rgb="FF339966"/>
      <rgbColor rgb="FF003300"/>
      <rgbColor rgb="FF333300"/>
      <rgbColor rgb="FF993300"/>
      <rgbColor rgb="FF993366"/>
      <rgbColor rgb="FF59595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38160</xdr:colOff>
      <xdr:row>0</xdr:row>
      <xdr:rowOff>76320</xdr:rowOff>
    </xdr:from>
    <xdr:to>
      <xdr:col>1</xdr:col>
      <xdr:colOff>1800</xdr:colOff>
      <xdr:row>2</xdr:row>
      <xdr:rowOff>83520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8160" y="76320"/>
          <a:ext cx="407160" cy="473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171360</xdr:colOff>
      <xdr:row>0</xdr:row>
      <xdr:rowOff>38160</xdr:rowOff>
    </xdr:from>
    <xdr:to>
      <xdr:col>0</xdr:col>
      <xdr:colOff>578880</xdr:colOff>
      <xdr:row>2</xdr:row>
      <xdr:rowOff>131400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71360" y="38160"/>
          <a:ext cx="407520" cy="474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171360</xdr:colOff>
      <xdr:row>0</xdr:row>
      <xdr:rowOff>38160</xdr:rowOff>
    </xdr:from>
    <xdr:to>
      <xdr:col>0</xdr:col>
      <xdr:colOff>578880</xdr:colOff>
      <xdr:row>2</xdr:row>
      <xdr:rowOff>131400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71360" y="38160"/>
          <a:ext cx="407520" cy="474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171360</xdr:colOff>
      <xdr:row>0</xdr:row>
      <xdr:rowOff>38160</xdr:rowOff>
    </xdr:from>
    <xdr:to>
      <xdr:col>0</xdr:col>
      <xdr:colOff>578880</xdr:colOff>
      <xdr:row>2</xdr:row>
      <xdr:rowOff>131400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71360" y="38160"/>
          <a:ext cx="407520" cy="474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257040</xdr:colOff>
      <xdr:row>0</xdr:row>
      <xdr:rowOff>66600</xdr:rowOff>
    </xdr:from>
    <xdr:to>
      <xdr:col>0</xdr:col>
      <xdr:colOff>664560</xdr:colOff>
      <xdr:row>2</xdr:row>
      <xdr:rowOff>102600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57040" y="66600"/>
          <a:ext cx="407520" cy="4168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142920</xdr:colOff>
      <xdr:row>0</xdr:row>
      <xdr:rowOff>38160</xdr:rowOff>
    </xdr:from>
    <xdr:to>
      <xdr:col>0</xdr:col>
      <xdr:colOff>455040</xdr:colOff>
      <xdr:row>2</xdr:row>
      <xdr:rowOff>131400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42920" y="38160"/>
          <a:ext cx="312120" cy="474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95400</xdr:colOff>
      <xdr:row>0</xdr:row>
      <xdr:rowOff>57240</xdr:rowOff>
    </xdr:from>
    <xdr:to>
      <xdr:col>0</xdr:col>
      <xdr:colOff>401040</xdr:colOff>
      <xdr:row>2</xdr:row>
      <xdr:rowOff>26640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5400" y="57240"/>
          <a:ext cx="305640" cy="350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112680</xdr:colOff>
      <xdr:row>0</xdr:row>
      <xdr:rowOff>56160</xdr:rowOff>
    </xdr:from>
    <xdr:to>
      <xdr:col>0</xdr:col>
      <xdr:colOff>569520</xdr:colOff>
      <xdr:row>2</xdr:row>
      <xdr:rowOff>202680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12680" y="56160"/>
          <a:ext cx="456840" cy="5274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47520</xdr:colOff>
      <xdr:row>0</xdr:row>
      <xdr:rowOff>0</xdr:rowOff>
    </xdr:from>
    <xdr:to>
      <xdr:col>0</xdr:col>
      <xdr:colOff>455040</xdr:colOff>
      <xdr:row>2</xdr:row>
      <xdr:rowOff>93240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7520" y="0"/>
          <a:ext cx="407520" cy="474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67320</xdr:colOff>
      <xdr:row>0</xdr:row>
      <xdr:rowOff>111960</xdr:rowOff>
    </xdr:from>
    <xdr:to>
      <xdr:col>1</xdr:col>
      <xdr:colOff>22680</xdr:colOff>
      <xdr:row>2</xdr:row>
      <xdr:rowOff>42480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7320" y="111960"/>
          <a:ext cx="308160" cy="3398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38160</xdr:colOff>
      <xdr:row>0</xdr:row>
      <xdr:rowOff>85680</xdr:rowOff>
    </xdr:from>
    <xdr:to>
      <xdr:col>0</xdr:col>
      <xdr:colOff>360000</xdr:colOff>
      <xdr:row>2</xdr:row>
      <xdr:rowOff>102600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8160" y="85680"/>
          <a:ext cx="321840" cy="3024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264600</xdr:colOff>
      <xdr:row>0</xdr:row>
      <xdr:rowOff>52200</xdr:rowOff>
    </xdr:from>
    <xdr:to>
      <xdr:col>0</xdr:col>
      <xdr:colOff>636840</xdr:colOff>
      <xdr:row>2</xdr:row>
      <xdr:rowOff>80640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64600" y="52200"/>
          <a:ext cx="372240" cy="3520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95400</xdr:colOff>
      <xdr:row>0</xdr:row>
      <xdr:rowOff>57240</xdr:rowOff>
    </xdr:from>
    <xdr:to>
      <xdr:col>0</xdr:col>
      <xdr:colOff>398160</xdr:colOff>
      <xdr:row>2</xdr:row>
      <xdr:rowOff>26640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5400" y="57240"/>
          <a:ext cx="302760" cy="350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171360</xdr:colOff>
      <xdr:row>0</xdr:row>
      <xdr:rowOff>38160</xdr:rowOff>
    </xdr:from>
    <xdr:to>
      <xdr:col>0</xdr:col>
      <xdr:colOff>578880</xdr:colOff>
      <xdr:row>2</xdr:row>
      <xdr:rowOff>131400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71360" y="38160"/>
          <a:ext cx="407520" cy="4741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96"/>
  <sheetViews>
    <sheetView showGridLines="0" zoomScaleNormal="100" workbookViewId="0">
      <selection activeCell="H5" sqref="H5"/>
    </sheetView>
  </sheetViews>
  <sheetFormatPr defaultColWidth="9.140625" defaultRowHeight="15"/>
  <cols>
    <col min="1" max="1" width="6.28515625" style="440" customWidth="1"/>
    <col min="2" max="2" width="36.140625" style="440" customWidth="1"/>
    <col min="3" max="3" width="7.85546875" style="440" customWidth="1"/>
    <col min="4" max="4" width="12.5703125" style="440" customWidth="1"/>
    <col min="5" max="5" width="16.140625" style="440" customWidth="1"/>
    <col min="6" max="7" width="16.28515625" style="440" customWidth="1"/>
    <col min="8" max="8" width="13.28515625" style="440" customWidth="1"/>
    <col min="9" max="10" width="16.28515625" style="440" customWidth="1"/>
    <col min="11" max="12" width="13.85546875" style="441" customWidth="1"/>
    <col min="13" max="13" width="14.28515625" style="441" customWidth="1"/>
    <col min="14" max="14" width="16.7109375" style="440" customWidth="1"/>
    <col min="15" max="15" width="12.85546875" style="440" customWidth="1"/>
    <col min="16" max="16" width="18.42578125" style="440" customWidth="1"/>
    <col min="17" max="17" width="13.7109375" style="440" customWidth="1"/>
    <col min="18" max="18" width="15.85546875" style="400" customWidth="1"/>
    <col min="19" max="19" width="9.42578125" style="400" customWidth="1"/>
    <col min="20" max="20" width="13.28515625" style="400" customWidth="1"/>
    <col min="21" max="21" width="13.85546875" style="400" customWidth="1"/>
    <col min="22" max="22" width="15.85546875" style="400" customWidth="1"/>
    <col min="23" max="23" width="12.28515625" style="400" customWidth="1"/>
    <col min="24" max="256" width="9.140625" style="440"/>
    <col min="257" max="257" width="6.28515625" style="440" customWidth="1"/>
    <col min="258" max="258" width="41.42578125" style="440" customWidth="1"/>
    <col min="259" max="259" width="7.85546875" style="440" customWidth="1"/>
    <col min="260" max="260" width="16.28515625" style="440" customWidth="1"/>
    <col min="261" max="261" width="12.85546875" style="440" customWidth="1"/>
    <col min="262" max="263" width="16.28515625" style="440" customWidth="1"/>
    <col min="264" max="264" width="13.28515625" style="440" customWidth="1"/>
    <col min="265" max="266" width="16.28515625" style="440" customWidth="1"/>
    <col min="267" max="268" width="13.85546875" style="440" customWidth="1"/>
    <col min="269" max="269" width="13" style="440" customWidth="1"/>
    <col min="270" max="270" width="13.5703125" style="440" customWidth="1"/>
    <col min="271" max="271" width="12.85546875" style="440" customWidth="1"/>
    <col min="272" max="272" width="14.140625" style="440" customWidth="1"/>
    <col min="273" max="273" width="12" style="440" customWidth="1"/>
    <col min="274" max="274" width="13" style="440" customWidth="1"/>
    <col min="275" max="275" width="11.85546875" style="440" customWidth="1"/>
    <col min="276" max="276" width="13.28515625" style="440" customWidth="1"/>
    <col min="277" max="277" width="12.28515625" style="440" customWidth="1"/>
    <col min="278" max="278" width="12.42578125" style="440" customWidth="1"/>
    <col min="279" max="279" width="10.5703125" style="440" customWidth="1"/>
    <col min="280" max="512" width="9.140625" style="440"/>
    <col min="513" max="513" width="6.28515625" style="440" customWidth="1"/>
    <col min="514" max="514" width="41.42578125" style="440" customWidth="1"/>
    <col min="515" max="515" width="7.85546875" style="440" customWidth="1"/>
    <col min="516" max="516" width="16.28515625" style="440" customWidth="1"/>
    <col min="517" max="517" width="12.85546875" style="440" customWidth="1"/>
    <col min="518" max="519" width="16.28515625" style="440" customWidth="1"/>
    <col min="520" max="520" width="13.28515625" style="440" customWidth="1"/>
    <col min="521" max="522" width="16.28515625" style="440" customWidth="1"/>
    <col min="523" max="524" width="13.85546875" style="440" customWidth="1"/>
    <col min="525" max="525" width="13" style="440" customWidth="1"/>
    <col min="526" max="526" width="13.5703125" style="440" customWidth="1"/>
    <col min="527" max="527" width="12.85546875" style="440" customWidth="1"/>
    <col min="528" max="528" width="14.140625" style="440" customWidth="1"/>
    <col min="529" max="529" width="12" style="440" customWidth="1"/>
    <col min="530" max="530" width="13" style="440" customWidth="1"/>
    <col min="531" max="531" width="11.85546875" style="440" customWidth="1"/>
    <col min="532" max="532" width="13.28515625" style="440" customWidth="1"/>
    <col min="533" max="533" width="12.28515625" style="440" customWidth="1"/>
    <col min="534" max="534" width="12.42578125" style="440" customWidth="1"/>
    <col min="535" max="535" width="10.5703125" style="440" customWidth="1"/>
    <col min="536" max="768" width="9.140625" style="440"/>
    <col min="769" max="769" width="6.28515625" style="440" customWidth="1"/>
    <col min="770" max="770" width="41.42578125" style="440" customWidth="1"/>
    <col min="771" max="771" width="7.85546875" style="440" customWidth="1"/>
    <col min="772" max="772" width="16.28515625" style="440" customWidth="1"/>
    <col min="773" max="773" width="12.85546875" style="440" customWidth="1"/>
    <col min="774" max="775" width="16.28515625" style="440" customWidth="1"/>
    <col min="776" max="776" width="13.28515625" style="440" customWidth="1"/>
    <col min="777" max="778" width="16.28515625" style="440" customWidth="1"/>
    <col min="779" max="780" width="13.85546875" style="440" customWidth="1"/>
    <col min="781" max="781" width="13" style="440" customWidth="1"/>
    <col min="782" max="782" width="13.5703125" style="440" customWidth="1"/>
    <col min="783" max="783" width="12.85546875" style="440" customWidth="1"/>
    <col min="784" max="784" width="14.140625" style="440" customWidth="1"/>
    <col min="785" max="785" width="12" style="440" customWidth="1"/>
    <col min="786" max="786" width="13" style="440" customWidth="1"/>
    <col min="787" max="787" width="11.85546875" style="440" customWidth="1"/>
    <col min="788" max="788" width="13.28515625" style="440" customWidth="1"/>
    <col min="789" max="789" width="12.28515625" style="440" customWidth="1"/>
    <col min="790" max="790" width="12.42578125" style="440" customWidth="1"/>
    <col min="791" max="791" width="10.5703125" style="440" customWidth="1"/>
    <col min="792" max="1024" width="9.140625" style="440"/>
    <col min="1025" max="16384" width="9.140625" style="315"/>
  </cols>
  <sheetData>
    <row r="1" spans="1:23" ht="17.25" customHeight="1">
      <c r="A1" s="439"/>
      <c r="B1" s="574" t="str">
        <f>INSTRUÇÕES!B1</f>
        <v>Tribunal Regional Federal da 6ª Região</v>
      </c>
      <c r="T1" s="442"/>
      <c r="U1" s="442"/>
      <c r="V1" s="442"/>
    </row>
    <row r="2" spans="1:23" s="446" customFormat="1" ht="19.5" customHeight="1">
      <c r="A2" s="443"/>
      <c r="B2" s="575" t="str">
        <f>INSTRUÇÕES!B2</f>
        <v>Seção Judiciária de Minas Gerais</v>
      </c>
      <c r="C2" s="586" t="s">
        <v>0</v>
      </c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444"/>
      <c r="U2" s="444"/>
      <c r="V2" s="444"/>
      <c r="W2" s="445"/>
    </row>
    <row r="3" spans="1:23" s="446" customFormat="1" ht="21.75" customHeight="1">
      <c r="A3" s="443"/>
      <c r="B3" s="576" t="str">
        <f>INSTRUÇÕES!B3</f>
        <v>Subseção Judiciária de Ituiutaba</v>
      </c>
      <c r="C3" s="586" t="s">
        <v>1</v>
      </c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W3" s="445"/>
    </row>
    <row r="4" spans="1:23" s="450" customFormat="1" ht="30.75" customHeight="1">
      <c r="A4" s="587" t="s">
        <v>2</v>
      </c>
      <c r="B4" s="587"/>
      <c r="C4" s="587"/>
      <c r="D4" s="588" t="s">
        <v>3</v>
      </c>
      <c r="E4" s="588"/>
      <c r="F4" s="447"/>
      <c r="G4" s="447"/>
      <c r="H4" s="447"/>
      <c r="I4" s="447"/>
      <c r="J4" s="448"/>
      <c r="K4" s="448"/>
      <c r="L4" s="448"/>
      <c r="M4" s="448"/>
      <c r="N4" s="448"/>
      <c r="O4" s="449"/>
      <c r="R4" s="451"/>
      <c r="S4" s="451"/>
      <c r="T4" s="451"/>
      <c r="U4" s="451"/>
      <c r="V4" s="451"/>
      <c r="W4" s="451"/>
    </row>
    <row r="5" spans="1:23" s="450" customFormat="1" ht="23.25" customHeight="1">
      <c r="A5" s="587" t="s">
        <v>4</v>
      </c>
      <c r="B5" s="587"/>
      <c r="C5" s="587"/>
      <c r="D5" s="452" t="s">
        <v>5</v>
      </c>
      <c r="E5" s="453">
        <f>VLOOKUP(D5,B78:C81,2,FALSE())</f>
        <v>30</v>
      </c>
      <c r="F5" s="447" t="str">
        <f>VLOOKUP(D5,B79:D81,3,FALSE())</f>
        <v>Obs: Desconto atualmente aplicado (30 dias corridos).</v>
      </c>
      <c r="G5" s="447"/>
      <c r="H5" s="447"/>
      <c r="I5" s="447"/>
      <c r="J5" s="448"/>
      <c r="K5" s="448"/>
      <c r="L5" s="448"/>
      <c r="M5" s="448"/>
      <c r="N5" s="448"/>
      <c r="O5" s="449"/>
      <c r="R5" s="451"/>
      <c r="S5" s="451"/>
      <c r="T5" s="451"/>
      <c r="U5" s="451"/>
      <c r="V5" s="451"/>
      <c r="W5" s="451"/>
    </row>
    <row r="6" spans="1:23" s="450" customFormat="1" ht="23.25">
      <c r="A6" s="448"/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9"/>
      <c r="R6" s="451"/>
      <c r="S6" s="451"/>
      <c r="T6" s="451"/>
      <c r="U6" s="451"/>
      <c r="V6" s="451"/>
      <c r="W6" s="451"/>
    </row>
    <row r="7" spans="1:23" s="450" customFormat="1" ht="15.75" customHeight="1">
      <c r="A7" s="589" t="s">
        <v>6</v>
      </c>
      <c r="B7" s="589"/>
      <c r="C7" s="589"/>
      <c r="D7" s="590" t="s">
        <v>7</v>
      </c>
      <c r="E7" s="591" t="s">
        <v>8</v>
      </c>
      <c r="F7" s="592" t="s">
        <v>9</v>
      </c>
      <c r="G7" s="592" t="s">
        <v>10</v>
      </c>
      <c r="H7" s="590" t="s">
        <v>11</v>
      </c>
      <c r="I7" s="591" t="s">
        <v>12</v>
      </c>
      <c r="J7" s="592" t="s">
        <v>13</v>
      </c>
      <c r="K7" s="593" t="s">
        <v>14</v>
      </c>
      <c r="L7" s="594" t="s">
        <v>15</v>
      </c>
      <c r="M7" s="594" t="s">
        <v>16</v>
      </c>
      <c r="N7" s="595" t="s">
        <v>17</v>
      </c>
      <c r="O7" s="596" t="s">
        <v>18</v>
      </c>
      <c r="P7" s="592" t="s">
        <v>19</v>
      </c>
      <c r="Q7" s="592" t="s">
        <v>20</v>
      </c>
      <c r="R7" s="593" t="s">
        <v>21</v>
      </c>
      <c r="S7" s="591" t="s">
        <v>22</v>
      </c>
      <c r="T7" s="597" t="s">
        <v>23</v>
      </c>
      <c r="U7" s="597"/>
      <c r="V7" s="597"/>
      <c r="W7" s="597"/>
    </row>
    <row r="8" spans="1:23" s="450" customFormat="1" ht="15.75">
      <c r="A8" s="589"/>
      <c r="B8" s="589"/>
      <c r="C8" s="589"/>
      <c r="D8" s="590"/>
      <c r="E8" s="591"/>
      <c r="F8" s="592"/>
      <c r="G8" s="592"/>
      <c r="H8" s="590"/>
      <c r="I8" s="591"/>
      <c r="J8" s="592"/>
      <c r="K8" s="593"/>
      <c r="L8" s="594"/>
      <c r="M8" s="594"/>
      <c r="N8" s="595"/>
      <c r="O8" s="596"/>
      <c r="P8" s="592"/>
      <c r="Q8" s="592"/>
      <c r="R8" s="593"/>
      <c r="S8" s="591"/>
      <c r="T8" s="597"/>
      <c r="U8" s="597"/>
      <c r="V8" s="597"/>
      <c r="W8" s="597"/>
    </row>
    <row r="9" spans="1:23" s="450" customFormat="1" ht="60" customHeight="1">
      <c r="A9" s="589"/>
      <c r="B9" s="589"/>
      <c r="C9" s="589"/>
      <c r="D9" s="590"/>
      <c r="E9" s="591"/>
      <c r="F9" s="592"/>
      <c r="G9" s="592"/>
      <c r="H9" s="590"/>
      <c r="I9" s="591"/>
      <c r="J9" s="592"/>
      <c r="K9" s="593"/>
      <c r="L9" s="594"/>
      <c r="M9" s="594"/>
      <c r="N9" s="595"/>
      <c r="O9" s="596"/>
      <c r="P9" s="592"/>
      <c r="Q9" s="592"/>
      <c r="R9" s="593"/>
      <c r="S9" s="591"/>
      <c r="T9" s="597"/>
      <c r="U9" s="597"/>
      <c r="V9" s="597"/>
      <c r="W9" s="597"/>
    </row>
    <row r="10" spans="1:23" s="450" customFormat="1" ht="76.5">
      <c r="A10" s="454" t="s">
        <v>24</v>
      </c>
      <c r="B10" s="455" t="s">
        <v>25</v>
      </c>
      <c r="C10" s="455" t="s">
        <v>26</v>
      </c>
      <c r="D10" s="456" t="s">
        <v>27</v>
      </c>
      <c r="E10" s="454" t="s">
        <v>28</v>
      </c>
      <c r="F10" s="455" t="s">
        <v>29</v>
      </c>
      <c r="G10" s="455" t="s">
        <v>30</v>
      </c>
      <c r="H10" s="456" t="s">
        <v>31</v>
      </c>
      <c r="I10" s="454" t="s">
        <v>32</v>
      </c>
      <c r="J10" s="455" t="s">
        <v>33</v>
      </c>
      <c r="K10" s="457" t="s">
        <v>33</v>
      </c>
      <c r="L10" s="458" t="s">
        <v>34</v>
      </c>
      <c r="M10" s="458" t="s">
        <v>35</v>
      </c>
      <c r="N10" s="458" t="s">
        <v>36</v>
      </c>
      <c r="O10" s="459" t="s">
        <v>37</v>
      </c>
      <c r="P10" s="455" t="s">
        <v>38</v>
      </c>
      <c r="Q10" s="455" t="s">
        <v>39</v>
      </c>
      <c r="R10" s="457" t="s">
        <v>40</v>
      </c>
      <c r="S10" s="454" t="s">
        <v>41</v>
      </c>
      <c r="T10" s="455" t="s">
        <v>42</v>
      </c>
      <c r="U10" s="455" t="s">
        <v>43</v>
      </c>
      <c r="V10" s="455" t="s">
        <v>44</v>
      </c>
      <c r="W10" s="457" t="s">
        <v>45</v>
      </c>
    </row>
    <row r="11" spans="1:23" s="450" customFormat="1" ht="15.75">
      <c r="A11" s="460">
        <f>Dados!B7</f>
        <v>3</v>
      </c>
      <c r="B11" s="461" t="str">
        <f>Dados!C7</f>
        <v>Auxiliar Administrativo</v>
      </c>
      <c r="C11" s="462">
        <f>Dados!D7</f>
        <v>150</v>
      </c>
      <c r="D11" s="463">
        <v>0</v>
      </c>
      <c r="E11" s="460" t="s">
        <v>46</v>
      </c>
      <c r="F11" s="462">
        <f>IF(E11="NÃO",0,D11*Dados!$G$34)</f>
        <v>0</v>
      </c>
      <c r="G11" s="464">
        <v>0</v>
      </c>
      <c r="H11" s="463">
        <v>0</v>
      </c>
      <c r="I11" s="465">
        <v>0</v>
      </c>
      <c r="J11" s="464">
        <v>0</v>
      </c>
      <c r="K11" s="466">
        <f t="shared" ref="K11:K14" si="0">I11+J11</f>
        <v>0</v>
      </c>
      <c r="L11" s="467">
        <v>0</v>
      </c>
      <c r="M11" s="467">
        <v>0</v>
      </c>
      <c r="N11" s="468"/>
      <c r="O11" s="469">
        <f>Resumo!S12</f>
        <v>0</v>
      </c>
      <c r="P11" s="470">
        <f>Resumo!V12</f>
        <v>0</v>
      </c>
      <c r="Q11" s="399">
        <f>Resumo!W12</f>
        <v>10889.67</v>
      </c>
      <c r="R11" s="471">
        <f>Dados!O7+Dados!P7</f>
        <v>0</v>
      </c>
      <c r="S11" s="460">
        <v>1</v>
      </c>
      <c r="T11" s="399">
        <f>Dados!M7*Encargos!$H$59</f>
        <v>440.48477374799995</v>
      </c>
      <c r="U11" s="472" t="s">
        <v>47</v>
      </c>
      <c r="V11" s="473">
        <f>SUMIF($S$11:$S$14,1,$Q$11:$Q$14)</f>
        <v>10889.67</v>
      </c>
      <c r="W11" s="474">
        <f>SUMIF($S$11:$S$14,1,$T$11:$T$14)</f>
        <v>440.48477374799995</v>
      </c>
    </row>
    <row r="12" spans="1:23" s="450" customFormat="1" ht="15.75">
      <c r="A12" s="460">
        <f>Dados!B8</f>
        <v>1</v>
      </c>
      <c r="B12" s="461" t="str">
        <f>Dados!C8</f>
        <v>Servente de Limpeza ac. Copeira</v>
      </c>
      <c r="C12" s="462">
        <f>Dados!D8</f>
        <v>200</v>
      </c>
      <c r="D12" s="463">
        <v>0</v>
      </c>
      <c r="E12" s="460" t="s">
        <v>46</v>
      </c>
      <c r="F12" s="462">
        <f>IF(E12="NÃO",0,D12*Dados!$G$34)</f>
        <v>0</v>
      </c>
      <c r="G12" s="464">
        <v>0</v>
      </c>
      <c r="H12" s="463">
        <v>0</v>
      </c>
      <c r="I12" s="465">
        <v>0</v>
      </c>
      <c r="J12" s="464">
        <v>0</v>
      </c>
      <c r="K12" s="466">
        <f t="shared" si="0"/>
        <v>0</v>
      </c>
      <c r="L12" s="467">
        <v>0</v>
      </c>
      <c r="M12" s="467">
        <v>0</v>
      </c>
      <c r="N12" s="475"/>
      <c r="O12" s="469">
        <f>Resumo!S13</f>
        <v>0</v>
      </c>
      <c r="P12" s="476"/>
      <c r="Q12" s="399">
        <f>Resumo!W13</f>
        <v>4038.35</v>
      </c>
      <c r="R12" s="471">
        <f>Dados!O8+Dados!P8</f>
        <v>336.09000000000003</v>
      </c>
      <c r="S12" s="460">
        <v>2</v>
      </c>
      <c r="T12" s="399">
        <f>Dados!M8*Encargos!$H$59</f>
        <v>432.67969615800001</v>
      </c>
      <c r="U12" s="472" t="s">
        <v>48</v>
      </c>
      <c r="V12" s="473">
        <f>SUMIF($S$11:$S$14,2,$Q$11:$Q$14)</f>
        <v>9134.65</v>
      </c>
      <c r="W12" s="474">
        <f>SUMIF($S$11:$S$14,2,$T$11:$T$14)</f>
        <v>1027.7514057999999</v>
      </c>
    </row>
    <row r="13" spans="1:23" s="450" customFormat="1" ht="15.75">
      <c r="A13" s="460">
        <f>Dados!B9</f>
        <v>1</v>
      </c>
      <c r="B13" s="461" t="str">
        <f>Dados!C9</f>
        <v>Servente de Limpeza (40%)</v>
      </c>
      <c r="C13" s="462">
        <f>Dados!D9</f>
        <v>200</v>
      </c>
      <c r="D13" s="463">
        <v>0</v>
      </c>
      <c r="E13" s="460" t="s">
        <v>46</v>
      </c>
      <c r="F13" s="462">
        <f>IF(E13="NÃO",0,D13*Dados!$G$34)</f>
        <v>0</v>
      </c>
      <c r="G13" s="464">
        <v>0</v>
      </c>
      <c r="H13" s="463">
        <v>0</v>
      </c>
      <c r="I13" s="465">
        <v>0</v>
      </c>
      <c r="J13" s="464">
        <v>0</v>
      </c>
      <c r="K13" s="466">
        <f t="shared" si="0"/>
        <v>0</v>
      </c>
      <c r="L13" s="467">
        <v>0</v>
      </c>
      <c r="M13" s="467">
        <v>0</v>
      </c>
      <c r="N13" s="467">
        <v>0</v>
      </c>
      <c r="O13" s="469">
        <f>Resumo!S14</f>
        <v>0</v>
      </c>
      <c r="P13" s="399">
        <f>Resumo!V13</f>
        <v>0</v>
      </c>
      <c r="Q13" s="399">
        <f>Resumo!W14</f>
        <v>5096.3</v>
      </c>
      <c r="R13" s="471">
        <f>Dados!O9+Dados!P9</f>
        <v>300.66000000000003</v>
      </c>
      <c r="S13" s="460">
        <v>2</v>
      </c>
      <c r="T13" s="399">
        <f>Dados!M9*Encargos!$H$59</f>
        <v>595.07170964199997</v>
      </c>
      <c r="U13" s="472" t="s">
        <v>48</v>
      </c>
      <c r="V13" s="473"/>
      <c r="W13" s="474"/>
    </row>
    <row r="14" spans="1:23" s="450" customFormat="1" ht="16.5" thickBot="1">
      <c r="A14" s="460">
        <f>Dados!B10</f>
        <v>1</v>
      </c>
      <c r="B14" s="461" t="str">
        <f>Dados!C10</f>
        <v>Zelador</v>
      </c>
      <c r="C14" s="462">
        <f>Dados!D10</f>
        <v>200</v>
      </c>
      <c r="D14" s="463">
        <v>0</v>
      </c>
      <c r="E14" s="460" t="s">
        <v>46</v>
      </c>
      <c r="F14" s="462">
        <f>IF(E14="NÃO",0,D14*Dados!$G$34)</f>
        <v>0</v>
      </c>
      <c r="G14" s="464">
        <v>0</v>
      </c>
      <c r="H14" s="463">
        <v>0</v>
      </c>
      <c r="I14" s="465">
        <v>0</v>
      </c>
      <c r="J14" s="464">
        <v>0</v>
      </c>
      <c r="K14" s="466">
        <f t="shared" si="0"/>
        <v>0</v>
      </c>
      <c r="L14" s="467">
        <v>0</v>
      </c>
      <c r="M14" s="467">
        <v>0</v>
      </c>
      <c r="N14" s="475"/>
      <c r="O14" s="469">
        <f>Resumo!S15</f>
        <v>0</v>
      </c>
      <c r="P14" s="476"/>
      <c r="Q14" s="399">
        <f>Resumo!W15</f>
        <v>4663.17</v>
      </c>
      <c r="R14" s="471">
        <f>Dados!O10+Dados!P10</f>
        <v>0</v>
      </c>
      <c r="S14" s="460">
        <v>3</v>
      </c>
      <c r="T14" s="399">
        <f>Dados!M10*Encargos!$H$59</f>
        <v>596.24495697399993</v>
      </c>
      <c r="U14" s="472" t="s">
        <v>49</v>
      </c>
      <c r="V14" s="473">
        <f>SUMIF($S$11:$S$14,3,$Q$11:$Q$14)</f>
        <v>4663.17</v>
      </c>
      <c r="W14" s="474">
        <f>SUMIF($S$11:$S$14,3,$T$11:$T$14)</f>
        <v>596.24495697399993</v>
      </c>
    </row>
    <row r="15" spans="1:23" s="485" customFormat="1" ht="13.5" customHeight="1" thickBot="1">
      <c r="A15" s="598" t="s">
        <v>50</v>
      </c>
      <c r="B15" s="598"/>
      <c r="C15" s="598"/>
      <c r="D15" s="598"/>
      <c r="E15" s="598"/>
      <c r="F15" s="598"/>
      <c r="G15" s="598"/>
      <c r="H15" s="477">
        <f>Resumo!I16</f>
        <v>0</v>
      </c>
      <c r="I15" s="599"/>
      <c r="J15" s="599"/>
      <c r="K15" s="478">
        <f>Resumo!L16</f>
        <v>0</v>
      </c>
      <c r="L15" s="479">
        <f>Resumo!O16</f>
        <v>0</v>
      </c>
      <c r="M15" s="479">
        <f>Resumo!R16</f>
        <v>0</v>
      </c>
      <c r="N15" s="480">
        <f>Resumo!V16</f>
        <v>0</v>
      </c>
      <c r="O15" s="481">
        <f>(H15+K15+L15+M15)</f>
        <v>0</v>
      </c>
      <c r="P15" s="482">
        <f>Resumo!V16</f>
        <v>0</v>
      </c>
      <c r="Q15" s="482">
        <f>SUM(Q11:Q14)</f>
        <v>24687.489999999998</v>
      </c>
      <c r="R15" s="483">
        <f>SUM(R11:R14)</f>
        <v>636.75</v>
      </c>
      <c r="S15" s="484"/>
      <c r="T15" s="482">
        <f>SUM(T11:T14)</f>
        <v>2064.4811365220003</v>
      </c>
      <c r="U15" s="482"/>
      <c r="V15" s="482">
        <f>SUM(V11:V14)</f>
        <v>24687.489999999998</v>
      </c>
      <c r="W15" s="483">
        <f>SUM(W11:W14)</f>
        <v>2064.4811365219998</v>
      </c>
    </row>
    <row r="16" spans="1:23">
      <c r="A16" s="486" t="s">
        <v>51</v>
      </c>
      <c r="B16" s="487"/>
      <c r="C16" s="487"/>
      <c r="D16" s="487"/>
      <c r="E16" s="487"/>
      <c r="F16" s="487"/>
      <c r="G16" s="487"/>
      <c r="H16" s="487"/>
      <c r="I16" s="487"/>
      <c r="J16" s="487"/>
    </row>
    <row r="17" spans="1:23">
      <c r="A17" s="488" t="s">
        <v>52</v>
      </c>
      <c r="B17" s="489"/>
      <c r="C17" s="489"/>
      <c r="D17" s="489"/>
      <c r="E17" s="489"/>
      <c r="F17" s="489"/>
      <c r="G17" s="489"/>
      <c r="H17" s="489"/>
      <c r="I17" s="489"/>
      <c r="J17" s="489"/>
    </row>
    <row r="18" spans="1:23" s="485" customFormat="1" ht="25.5" customHeight="1">
      <c r="A18" s="600" t="s">
        <v>53</v>
      </c>
      <c r="B18" s="600"/>
      <c r="C18" s="381" t="s">
        <v>54</v>
      </c>
      <c r="D18" s="381" t="s">
        <v>55</v>
      </c>
      <c r="E18" s="381" t="s">
        <v>56</v>
      </c>
      <c r="F18" s="381" t="s">
        <v>57</v>
      </c>
      <c r="H18" s="488"/>
      <c r="I18" s="490"/>
      <c r="J18" s="488"/>
      <c r="K18" s="490"/>
      <c r="L18" s="490"/>
      <c r="M18" s="490"/>
      <c r="R18" s="490"/>
      <c r="S18" s="490"/>
      <c r="T18" s="490"/>
      <c r="U18" s="490"/>
      <c r="V18" s="490"/>
      <c r="W18" s="490"/>
    </row>
    <row r="19" spans="1:23" s="485" customFormat="1" ht="12.75">
      <c r="A19" s="600"/>
      <c r="B19" s="600"/>
      <c r="C19" s="491">
        <v>220</v>
      </c>
      <c r="D19" s="491">
        <v>10</v>
      </c>
      <c r="E19" s="491">
        <v>25</v>
      </c>
      <c r="F19" s="492">
        <f>ROUND((D19/VLOOKUP(C19,$B$84:$C$90,2,FALSE())+E19/60/VLOOKUP(C19,$B$84:$C$90,2,FALSE())),2)</f>
        <v>1.18</v>
      </c>
      <c r="H19" s="488"/>
      <c r="I19" s="490"/>
      <c r="J19" s="488"/>
      <c r="K19" s="490"/>
      <c r="L19" s="490"/>
      <c r="M19" s="490"/>
      <c r="R19" s="490"/>
      <c r="S19" s="490"/>
      <c r="T19" s="490"/>
      <c r="U19" s="490"/>
      <c r="V19" s="490"/>
      <c r="W19" s="490"/>
    </row>
    <row r="20" spans="1:23" s="485" customFormat="1" ht="15" customHeight="1">
      <c r="A20" s="601" t="s">
        <v>58</v>
      </c>
      <c r="B20" s="601"/>
      <c r="C20" s="601"/>
      <c r="D20" s="601"/>
      <c r="E20" s="601"/>
      <c r="F20" s="601"/>
      <c r="G20" s="447"/>
      <c r="H20" s="447"/>
      <c r="I20" s="447"/>
      <c r="J20" s="488"/>
      <c r="K20" s="490"/>
      <c r="L20" s="490"/>
      <c r="M20" s="490"/>
      <c r="R20" s="490"/>
      <c r="S20" s="490"/>
      <c r="T20" s="490"/>
      <c r="U20" s="490"/>
      <c r="V20" s="490"/>
      <c r="W20" s="490"/>
    </row>
    <row r="21" spans="1:23" s="485" customFormat="1" ht="28.5" customHeight="1">
      <c r="A21" s="601"/>
      <c r="B21" s="601"/>
      <c r="C21" s="601"/>
      <c r="D21" s="601"/>
      <c r="E21" s="601"/>
      <c r="F21" s="601"/>
      <c r="G21" s="447"/>
      <c r="H21" s="447"/>
      <c r="I21" s="447"/>
      <c r="J21" s="488"/>
      <c r="K21" s="490"/>
      <c r="L21" s="490"/>
      <c r="M21" s="490"/>
      <c r="R21" s="490"/>
      <c r="S21" s="490"/>
      <c r="T21" s="490"/>
      <c r="U21" s="490"/>
      <c r="V21" s="490"/>
      <c r="W21" s="490"/>
    </row>
    <row r="22" spans="1:23">
      <c r="A22" s="488" t="s">
        <v>59</v>
      </c>
      <c r="B22" s="487"/>
      <c r="C22" s="487"/>
      <c r="D22" s="487"/>
      <c r="E22" s="487"/>
      <c r="F22" s="487"/>
      <c r="G22" s="487"/>
      <c r="H22" s="487"/>
      <c r="I22" s="487"/>
      <c r="J22" s="487"/>
    </row>
    <row r="23" spans="1:23">
      <c r="A23" s="487"/>
      <c r="B23" s="487"/>
      <c r="C23" s="487"/>
      <c r="D23" s="487"/>
      <c r="E23" s="487"/>
      <c r="F23" s="487"/>
      <c r="G23" s="487"/>
      <c r="H23" s="487"/>
      <c r="I23" s="487"/>
      <c r="J23" s="487"/>
      <c r="N23" s="291"/>
      <c r="O23" s="282"/>
      <c r="P23" s="282"/>
    </row>
    <row r="24" spans="1:23" s="440" customFormat="1" ht="48" customHeight="1">
      <c r="A24" s="602" t="s">
        <v>60</v>
      </c>
      <c r="B24" s="603" t="s">
        <v>61</v>
      </c>
      <c r="C24" s="603"/>
      <c r="D24" s="603"/>
      <c r="E24" s="603"/>
      <c r="F24" s="604" t="s">
        <v>62</v>
      </c>
      <c r="G24" s="604"/>
      <c r="H24" s="604"/>
      <c r="I24" s="605" t="s">
        <v>63</v>
      </c>
      <c r="J24" s="605"/>
      <c r="K24" s="605"/>
      <c r="L24" s="606" t="s">
        <v>64</v>
      </c>
      <c r="M24" s="606"/>
      <c r="N24" s="606"/>
      <c r="O24" s="606"/>
      <c r="P24" s="606" t="s">
        <v>65</v>
      </c>
      <c r="Q24" s="606"/>
      <c r="R24" s="606"/>
      <c r="S24" s="606"/>
      <c r="T24" s="606"/>
      <c r="U24" s="606"/>
    </row>
    <row r="25" spans="1:23" s="440" customFormat="1" ht="63.75" customHeight="1">
      <c r="A25" s="602"/>
      <c r="B25" s="600" t="s">
        <v>66</v>
      </c>
      <c r="C25" s="600"/>
      <c r="D25" s="600"/>
      <c r="E25" s="381" t="s">
        <v>67</v>
      </c>
      <c r="F25" s="381" t="s">
        <v>68</v>
      </c>
      <c r="G25" s="381" t="s">
        <v>69</v>
      </c>
      <c r="H25" s="493" t="s">
        <v>70</v>
      </c>
      <c r="I25" s="605"/>
      <c r="J25" s="605"/>
      <c r="K25" s="605"/>
      <c r="L25" s="494" t="s">
        <v>71</v>
      </c>
      <c r="M25" s="381" t="s">
        <v>72</v>
      </c>
      <c r="N25" s="381" t="s">
        <v>73</v>
      </c>
      <c r="O25" s="493" t="s">
        <v>74</v>
      </c>
      <c r="P25" s="495" t="s">
        <v>75</v>
      </c>
      <c r="Q25" s="381" t="s">
        <v>76</v>
      </c>
      <c r="R25" s="381" t="s">
        <v>77</v>
      </c>
      <c r="S25" s="381" t="s">
        <v>78</v>
      </c>
      <c r="T25" s="381" t="s">
        <v>79</v>
      </c>
      <c r="U25" s="493" t="s">
        <v>80</v>
      </c>
      <c r="V25" s="447" t="s">
        <v>81</v>
      </c>
    </row>
    <row r="26" spans="1:23" s="440" customFormat="1" ht="15" customHeight="1">
      <c r="A26" s="295">
        <v>1</v>
      </c>
      <c r="B26" s="607" t="s">
        <v>82</v>
      </c>
      <c r="C26" s="608"/>
      <c r="D26" s="609"/>
      <c r="E26" s="297" t="s">
        <v>83</v>
      </c>
      <c r="F26" s="296" t="s">
        <v>84</v>
      </c>
      <c r="G26" s="496">
        <f t="shared" ref="G26:G55" si="1">IF($D$4="PLANILHA PARA LICITAÇÃO (PRECIFICAÇÃO)",L26,0)</f>
        <v>1</v>
      </c>
      <c r="H26" s="497">
        <f t="shared" ref="H26:H55" si="2">G26*P26</f>
        <v>12.89</v>
      </c>
      <c r="I26" s="610" t="str">
        <f t="shared" ref="I26:I55" si="3">IF(G26&lt;L26,"Fornecimento inferior ao estimado mensalmente",IF(G26=L26,"Fornecimento igual ao estimado mensalmente",IF(G26&gt;L26,"Fornecimento superior ao estimado mensalmente",)))</f>
        <v>Fornecimento igual ao estimado mensalmente</v>
      </c>
      <c r="J26" s="610"/>
      <c r="K26" s="610"/>
      <c r="L26" s="498">
        <f t="shared" ref="L26:L55" si="4">M26/O26</f>
        <v>1</v>
      </c>
      <c r="M26" s="499">
        <f>Materiais!J9</f>
        <v>1</v>
      </c>
      <c r="N26" s="500" t="str">
        <f>Materiais!K9</f>
        <v>Mensal</v>
      </c>
      <c r="O26" s="501">
        <f t="shared" ref="O26:O55" si="5">IF(N26="MENSAL",1,IF(N26="BIMESTRAL",2,IF(N26="TRIMESTRAL",3,IF(N26="QUADRIMESTRAL",4,IF(N26="SEMESTRAL",6,IF(N26="ANUAL",12,IF(N26="BIENAL",24,"")))))))</f>
        <v>1</v>
      </c>
      <c r="P26" s="299">
        <v>12.89</v>
      </c>
      <c r="Q26" s="399">
        <f>ROUND(IF(Dados!$J$56="SIM",P26*Dados!$N$56,P26),2)</f>
        <v>12.89</v>
      </c>
      <c r="R26" s="399">
        <f>ROUND(IF(Dados!$J$57="SIM",Q26*Dados!$N$57,Q26),2)</f>
        <v>12.89</v>
      </c>
      <c r="S26" s="399">
        <f>ROUND(IF(Dados!$J$58="SIM",R26*Dados!$N$58,R26),2)</f>
        <v>12.89</v>
      </c>
      <c r="T26" s="399">
        <f>ROUND(IF(Dados!$J$59="SIM",S26*Dados!$N$59,S26),2)</f>
        <v>12.89</v>
      </c>
      <c r="U26" s="502">
        <f>ROUND(IF(Dados!$J$60="SIM",T26*Dados!$N$60,T26),2)</f>
        <v>12.89</v>
      </c>
      <c r="V26" s="490">
        <f>IF(Dados!$D$69="INICIAL",'Ocorrências Mensais - FAT'!P26,IF(Dados!$D$69="1º IPCA",'Ocorrências Mensais - FAT'!Q26,IF(Dados!$D$69="2º IPCA",'Ocorrências Mensais - FAT'!R26,IF(Dados!$D$69="3º IPCA",'Ocorrências Mensais - FAT'!S26,IF(Dados!$D$69="4º IPCA",'Ocorrências Mensais - FAT'!T26,IF(Dados!$D$69="5º IPCA",'Ocorrências Mensais - FAT'!U26,))))))</f>
        <v>12.89</v>
      </c>
    </row>
    <row r="27" spans="1:23" s="440" customFormat="1" ht="15" customHeight="1">
      <c r="A27" s="295">
        <v>2</v>
      </c>
      <c r="B27" s="611" t="s">
        <v>85</v>
      </c>
      <c r="C27" s="612"/>
      <c r="D27" s="613"/>
      <c r="E27" s="306" t="s">
        <v>67</v>
      </c>
      <c r="F27" s="305" t="s">
        <v>86</v>
      </c>
      <c r="G27" s="496">
        <f t="shared" si="1"/>
        <v>5</v>
      </c>
      <c r="H27" s="497">
        <f t="shared" si="2"/>
        <v>37.599999999999994</v>
      </c>
      <c r="I27" s="610" t="str">
        <f t="shared" si="3"/>
        <v>Fornecimento igual ao estimado mensalmente</v>
      </c>
      <c r="J27" s="610"/>
      <c r="K27" s="610"/>
      <c r="L27" s="498">
        <f t="shared" si="4"/>
        <v>5</v>
      </c>
      <c r="M27" s="499">
        <f>Materiais!J10</f>
        <v>5</v>
      </c>
      <c r="N27" s="500" t="str">
        <f>Materiais!K10</f>
        <v>Mensal</v>
      </c>
      <c r="O27" s="501">
        <f t="shared" si="5"/>
        <v>1</v>
      </c>
      <c r="P27" s="299">
        <v>7.52</v>
      </c>
      <c r="Q27" s="399">
        <f>ROUND(IF(Dados!$J$56="SIM",P27*Dados!$N$56,P27),2)</f>
        <v>7.52</v>
      </c>
      <c r="R27" s="399">
        <f>ROUND(IF(Dados!$J$57="SIM",Q27*Dados!$N$57,Q27),2)</f>
        <v>7.52</v>
      </c>
      <c r="S27" s="399">
        <f>ROUND(IF(Dados!$J$58="SIM",R27*Dados!$N$58,R27),2)</f>
        <v>7.52</v>
      </c>
      <c r="T27" s="399">
        <f>ROUND(IF(Dados!$J$59="SIM",S27*Dados!$N$59,S27),2)</f>
        <v>7.52</v>
      </c>
      <c r="U27" s="502">
        <f>ROUND(IF(Dados!$J$60="SIM",T27*Dados!$N$60,T27),2)</f>
        <v>7.52</v>
      </c>
      <c r="V27" s="490">
        <f>IF(Dados!$D$69="INICIAL",'Ocorrências Mensais - FAT'!P27,IF(Dados!$D$69="1º IPCA",'Ocorrências Mensais - FAT'!Q27,IF(Dados!$D$69="2º IPCA",'Ocorrências Mensais - FAT'!R27,IF(Dados!$D$69="3º IPCA",'Ocorrências Mensais - FAT'!S27,IF(Dados!$D$69="4º IPCA",'Ocorrências Mensais - FAT'!T27,IF(Dados!$D$69="5º IPCA",'Ocorrências Mensais - FAT'!U27,))))))</f>
        <v>7.52</v>
      </c>
    </row>
    <row r="28" spans="1:23" s="440" customFormat="1" ht="15" customHeight="1">
      <c r="A28" s="295">
        <v>3</v>
      </c>
      <c r="B28" s="607" t="s">
        <v>87</v>
      </c>
      <c r="C28" s="608"/>
      <c r="D28" s="609"/>
      <c r="E28" s="297" t="s">
        <v>83</v>
      </c>
      <c r="F28" s="296" t="s">
        <v>86</v>
      </c>
      <c r="G28" s="496">
        <f t="shared" si="1"/>
        <v>0.66666666666666663</v>
      </c>
      <c r="H28" s="497">
        <f t="shared" si="2"/>
        <v>25.246666666666663</v>
      </c>
      <c r="I28" s="610" t="str">
        <f t="shared" si="3"/>
        <v>Fornecimento igual ao estimado mensalmente</v>
      </c>
      <c r="J28" s="610"/>
      <c r="K28" s="610"/>
      <c r="L28" s="498">
        <f t="shared" si="4"/>
        <v>0.66666666666666663</v>
      </c>
      <c r="M28" s="499">
        <f>Materiais!J11</f>
        <v>2</v>
      </c>
      <c r="N28" s="500" t="str">
        <f>Materiais!K11</f>
        <v>Trimestral</v>
      </c>
      <c r="O28" s="501">
        <f t="shared" si="5"/>
        <v>3</v>
      </c>
      <c r="P28" s="299">
        <v>37.869999999999997</v>
      </c>
      <c r="Q28" s="399">
        <f>ROUND(IF(Dados!$J$56="SIM",P28*Dados!$N$56,P28),2)</f>
        <v>37.869999999999997</v>
      </c>
      <c r="R28" s="399">
        <f>ROUND(IF(Dados!$J$57="SIM",Q28*Dados!$N$57,Q28),2)</f>
        <v>37.869999999999997</v>
      </c>
      <c r="S28" s="399">
        <f>ROUND(IF(Dados!$J$58="SIM",R28*Dados!$N$58,R28),2)</f>
        <v>37.869999999999997</v>
      </c>
      <c r="T28" s="399">
        <f>ROUND(IF(Dados!$J$59="SIM",S28*Dados!$N$59,S28),2)</f>
        <v>37.869999999999997</v>
      </c>
      <c r="U28" s="502">
        <f>ROUND(IF(Dados!$J$60="SIM",T28*Dados!$N$60,T28),2)</f>
        <v>37.869999999999997</v>
      </c>
      <c r="V28" s="490">
        <f>IF(Dados!$D$69="INICIAL",'Ocorrências Mensais - FAT'!P28,IF(Dados!$D$69="1º IPCA",'Ocorrências Mensais - FAT'!Q28,IF(Dados!$D$69="2º IPCA",'Ocorrências Mensais - FAT'!R28,IF(Dados!$D$69="3º IPCA",'Ocorrências Mensais - FAT'!S28,IF(Dados!$D$69="4º IPCA",'Ocorrências Mensais - FAT'!T28,IF(Dados!$D$69="5º IPCA",'Ocorrências Mensais - FAT'!U28,))))))</f>
        <v>37.869999999999997</v>
      </c>
    </row>
    <row r="29" spans="1:23" s="440" customFormat="1" ht="15" customHeight="1">
      <c r="A29" s="295">
        <v>4</v>
      </c>
      <c r="B29" s="607" t="s">
        <v>88</v>
      </c>
      <c r="C29" s="608"/>
      <c r="D29" s="609"/>
      <c r="E29" s="297" t="s">
        <v>67</v>
      </c>
      <c r="F29" s="296" t="s">
        <v>89</v>
      </c>
      <c r="G29" s="496">
        <f t="shared" si="1"/>
        <v>8.3333333333333329E-2</v>
      </c>
      <c r="H29" s="497">
        <f t="shared" si="2"/>
        <v>0.97916666666666663</v>
      </c>
      <c r="I29" s="610" t="str">
        <f t="shared" si="3"/>
        <v>Fornecimento igual ao estimado mensalmente</v>
      </c>
      <c r="J29" s="610"/>
      <c r="K29" s="610"/>
      <c r="L29" s="498">
        <f t="shared" si="4"/>
        <v>8.3333333333333329E-2</v>
      </c>
      <c r="M29" s="499">
        <f>Materiais!J12</f>
        <v>1</v>
      </c>
      <c r="N29" s="500" t="str">
        <f>Materiais!K12</f>
        <v>Anual</v>
      </c>
      <c r="O29" s="501">
        <f t="shared" si="5"/>
        <v>12</v>
      </c>
      <c r="P29" s="299">
        <v>11.75</v>
      </c>
      <c r="Q29" s="399">
        <f>ROUND(IF(Dados!$J$56="SIM",P29*Dados!$N$56,P29),2)</f>
        <v>11.75</v>
      </c>
      <c r="R29" s="399">
        <f>ROUND(IF(Dados!$J$57="SIM",Q29*Dados!$N$57,Q29),2)</f>
        <v>11.75</v>
      </c>
      <c r="S29" s="399">
        <f>ROUND(IF(Dados!$J$58="SIM",R29*Dados!$N$58,R29),2)</f>
        <v>11.75</v>
      </c>
      <c r="T29" s="399">
        <f>ROUND(IF(Dados!$J$59="SIM",S29*Dados!$N$59,S29),2)</f>
        <v>11.75</v>
      </c>
      <c r="U29" s="502">
        <f>ROUND(IF(Dados!$J$60="SIM",T29*Dados!$N$60,T29),2)</f>
        <v>11.75</v>
      </c>
      <c r="V29" s="490">
        <f>IF(Dados!$D$69="INICIAL",'Ocorrências Mensais - FAT'!P29,IF(Dados!$D$69="1º IPCA",'Ocorrências Mensais - FAT'!Q29,IF(Dados!$D$69="2º IPCA",'Ocorrências Mensais - FAT'!R29,IF(Dados!$D$69="3º IPCA",'Ocorrências Mensais - FAT'!S29,IF(Dados!$D$69="4º IPCA",'Ocorrências Mensais - FAT'!T29,IF(Dados!$D$69="5º IPCA",'Ocorrências Mensais - FAT'!U29,))))))</f>
        <v>11.75</v>
      </c>
    </row>
    <row r="30" spans="1:23" s="440" customFormat="1" ht="15" customHeight="1">
      <c r="A30" s="295">
        <v>5</v>
      </c>
      <c r="B30" s="607" t="s">
        <v>90</v>
      </c>
      <c r="C30" s="608"/>
      <c r="D30" s="609"/>
      <c r="E30" s="297" t="s">
        <v>67</v>
      </c>
      <c r="F30" s="296" t="s">
        <v>91</v>
      </c>
      <c r="G30" s="496">
        <f t="shared" si="1"/>
        <v>8.3333333333333329E-2</v>
      </c>
      <c r="H30" s="497">
        <f t="shared" si="2"/>
        <v>0.71749999999999992</v>
      </c>
      <c r="I30" s="610" t="str">
        <f t="shared" si="3"/>
        <v>Fornecimento igual ao estimado mensalmente</v>
      </c>
      <c r="J30" s="610"/>
      <c r="K30" s="610"/>
      <c r="L30" s="498">
        <f t="shared" si="4"/>
        <v>8.3333333333333329E-2</v>
      </c>
      <c r="M30" s="499">
        <f>Materiais!J13</f>
        <v>1</v>
      </c>
      <c r="N30" s="500" t="str">
        <f>Materiais!K13</f>
        <v>Anual</v>
      </c>
      <c r="O30" s="501">
        <f t="shared" si="5"/>
        <v>12</v>
      </c>
      <c r="P30" s="299">
        <v>8.61</v>
      </c>
      <c r="Q30" s="399">
        <f>ROUND(IF(Dados!$J$56="SIM",P30*Dados!$N$56,P30),2)</f>
        <v>8.61</v>
      </c>
      <c r="R30" s="399">
        <f>ROUND(IF(Dados!$J$57="SIM",Q30*Dados!$N$57,Q30),2)</f>
        <v>8.61</v>
      </c>
      <c r="S30" s="399">
        <f>ROUND(IF(Dados!$J$58="SIM",R30*Dados!$N$58,R30),2)</f>
        <v>8.61</v>
      </c>
      <c r="T30" s="399">
        <f>ROUND(IF(Dados!$J$59="SIM",S30*Dados!$N$59,S30),2)</f>
        <v>8.61</v>
      </c>
      <c r="U30" s="502">
        <f>ROUND(IF(Dados!$J$60="SIM",T30*Dados!$N$60,T30),2)</f>
        <v>8.61</v>
      </c>
      <c r="V30" s="490">
        <f>IF(Dados!$D$69="INICIAL",'Ocorrências Mensais - FAT'!P30,IF(Dados!$D$69="1º IPCA",'Ocorrências Mensais - FAT'!Q30,IF(Dados!$D$69="2º IPCA",'Ocorrências Mensais - FAT'!R30,IF(Dados!$D$69="3º IPCA",'Ocorrências Mensais - FAT'!S30,IF(Dados!$D$69="4º IPCA",'Ocorrências Mensais - FAT'!T30,IF(Dados!$D$69="5º IPCA",'Ocorrências Mensais - FAT'!U30,))))))</f>
        <v>8.61</v>
      </c>
    </row>
    <row r="31" spans="1:23" s="440" customFormat="1" ht="15" customHeight="1">
      <c r="A31" s="295">
        <v>6</v>
      </c>
      <c r="B31" s="607" t="s">
        <v>92</v>
      </c>
      <c r="C31" s="608"/>
      <c r="D31" s="609"/>
      <c r="E31" s="297" t="s">
        <v>83</v>
      </c>
      <c r="F31" s="296" t="s">
        <v>93</v>
      </c>
      <c r="G31" s="496">
        <f t="shared" si="1"/>
        <v>2</v>
      </c>
      <c r="H31" s="497">
        <f t="shared" si="2"/>
        <v>23.9</v>
      </c>
      <c r="I31" s="610" t="str">
        <f t="shared" si="3"/>
        <v>Fornecimento igual ao estimado mensalmente</v>
      </c>
      <c r="J31" s="610"/>
      <c r="K31" s="610"/>
      <c r="L31" s="498">
        <f t="shared" si="4"/>
        <v>2</v>
      </c>
      <c r="M31" s="499">
        <f>Materiais!J14</f>
        <v>2</v>
      </c>
      <c r="N31" s="500" t="str">
        <f>Materiais!K14</f>
        <v>Mensal</v>
      </c>
      <c r="O31" s="501">
        <f t="shared" si="5"/>
        <v>1</v>
      </c>
      <c r="P31" s="299">
        <v>11.95</v>
      </c>
      <c r="Q31" s="399">
        <f>ROUND(IF(Dados!$J$56="SIM",P31*Dados!$N$56,P31),2)</f>
        <v>11.95</v>
      </c>
      <c r="R31" s="399">
        <f>ROUND(IF(Dados!$J$57="SIM",Q31*Dados!$N$57,Q31),2)</f>
        <v>11.95</v>
      </c>
      <c r="S31" s="399">
        <f>ROUND(IF(Dados!$J$58="SIM",R31*Dados!$N$58,R31),2)</f>
        <v>11.95</v>
      </c>
      <c r="T31" s="399">
        <f>ROUND(IF(Dados!$J$59="SIM",S31*Dados!$N$59,S31),2)</f>
        <v>11.95</v>
      </c>
      <c r="U31" s="502">
        <f>ROUND(IF(Dados!$J$60="SIM",T31*Dados!$N$60,T31),2)</f>
        <v>11.95</v>
      </c>
      <c r="V31" s="490">
        <f>IF(Dados!$D$69="INICIAL",'Ocorrências Mensais - FAT'!P31,IF(Dados!$D$69="1º IPCA",'Ocorrências Mensais - FAT'!Q31,IF(Dados!$D$69="2º IPCA",'Ocorrências Mensais - FAT'!R31,IF(Dados!$D$69="3º IPCA",'Ocorrências Mensais - FAT'!S31,IF(Dados!$D$69="4º IPCA",'Ocorrências Mensais - FAT'!T31,IF(Dados!$D$69="5º IPCA",'Ocorrências Mensais - FAT'!U31,))))))</f>
        <v>11.95</v>
      </c>
    </row>
    <row r="32" spans="1:23" s="440" customFormat="1" ht="15" customHeight="1">
      <c r="A32" s="295">
        <v>7</v>
      </c>
      <c r="B32" s="607" t="s">
        <v>94</v>
      </c>
      <c r="C32" s="608"/>
      <c r="D32" s="609"/>
      <c r="E32" s="297" t="s">
        <v>83</v>
      </c>
      <c r="F32" s="296" t="s">
        <v>95</v>
      </c>
      <c r="G32" s="496">
        <f t="shared" si="1"/>
        <v>1</v>
      </c>
      <c r="H32" s="497">
        <f t="shared" si="2"/>
        <v>22.84</v>
      </c>
      <c r="I32" s="610" t="str">
        <f t="shared" si="3"/>
        <v>Fornecimento igual ao estimado mensalmente</v>
      </c>
      <c r="J32" s="610"/>
      <c r="K32" s="610"/>
      <c r="L32" s="498">
        <f t="shared" si="4"/>
        <v>1</v>
      </c>
      <c r="M32" s="499">
        <f>Materiais!J15</f>
        <v>1</v>
      </c>
      <c r="N32" s="500" t="str">
        <f>Materiais!K15</f>
        <v>Mensal</v>
      </c>
      <c r="O32" s="501">
        <f t="shared" si="5"/>
        <v>1</v>
      </c>
      <c r="P32" s="299">
        <v>22.84</v>
      </c>
      <c r="Q32" s="399">
        <f>ROUND(IF(Dados!$J$56="SIM",P32*Dados!$N$56,P32),2)</f>
        <v>22.84</v>
      </c>
      <c r="R32" s="399">
        <f>ROUND(IF(Dados!$J$57="SIM",Q32*Dados!$N$57,Q32),2)</f>
        <v>22.84</v>
      </c>
      <c r="S32" s="399">
        <f>ROUND(IF(Dados!$J$58="SIM",R32*Dados!$N$58,R32),2)</f>
        <v>22.84</v>
      </c>
      <c r="T32" s="399">
        <f>ROUND(IF(Dados!$J$59="SIM",S32*Dados!$N$59,S32),2)</f>
        <v>22.84</v>
      </c>
      <c r="U32" s="502">
        <f>ROUND(IF(Dados!$J$60="SIM",T32*Dados!$N$60,T32),2)</f>
        <v>22.84</v>
      </c>
      <c r="V32" s="490">
        <f>IF(Dados!$D$69="INICIAL",'Ocorrências Mensais - FAT'!P32,IF(Dados!$D$69="1º IPCA",'Ocorrências Mensais - FAT'!Q32,IF(Dados!$D$69="2º IPCA",'Ocorrências Mensais - FAT'!R32,IF(Dados!$D$69="3º IPCA",'Ocorrências Mensais - FAT'!S32,IF(Dados!$D$69="4º IPCA",'Ocorrências Mensais - FAT'!T32,IF(Dados!$D$69="5º IPCA",'Ocorrências Mensais - FAT'!U32,))))))</f>
        <v>22.84</v>
      </c>
    </row>
    <row r="33" spans="1:22" s="440" customFormat="1" ht="25.5" customHeight="1">
      <c r="A33" s="308">
        <v>8</v>
      </c>
      <c r="B33" s="607" t="s">
        <v>96</v>
      </c>
      <c r="C33" s="608"/>
      <c r="D33" s="609"/>
      <c r="E33" s="297" t="s">
        <v>67</v>
      </c>
      <c r="F33" s="296" t="s">
        <v>97</v>
      </c>
      <c r="G33" s="496">
        <f t="shared" si="1"/>
        <v>0.16666666666666666</v>
      </c>
      <c r="H33" s="497">
        <f t="shared" si="2"/>
        <v>0.87333333333333329</v>
      </c>
      <c r="I33" s="610" t="str">
        <f t="shared" si="3"/>
        <v>Fornecimento igual ao estimado mensalmente</v>
      </c>
      <c r="J33" s="610"/>
      <c r="K33" s="610"/>
      <c r="L33" s="498">
        <f t="shared" si="4"/>
        <v>0.16666666666666666</v>
      </c>
      <c r="M33" s="499">
        <f>Materiais!J16</f>
        <v>1</v>
      </c>
      <c r="N33" s="500" t="str">
        <f>Materiais!K16</f>
        <v>Semestral</v>
      </c>
      <c r="O33" s="501">
        <f t="shared" si="5"/>
        <v>6</v>
      </c>
      <c r="P33" s="299">
        <v>5.24</v>
      </c>
      <c r="Q33" s="399">
        <f>ROUND(IF(Dados!$J$56="SIM",P33*Dados!$N$56,P33),2)</f>
        <v>5.24</v>
      </c>
      <c r="R33" s="399">
        <f>ROUND(IF(Dados!$J$57="SIM",Q33*Dados!$N$57,Q33),2)</f>
        <v>5.24</v>
      </c>
      <c r="S33" s="399">
        <f>ROUND(IF(Dados!$J$58="SIM",R33*Dados!$N$58,R33),2)</f>
        <v>5.24</v>
      </c>
      <c r="T33" s="399">
        <f>ROUND(IF(Dados!$J$59="SIM",S33*Dados!$N$59,S33),2)</f>
        <v>5.24</v>
      </c>
      <c r="U33" s="502">
        <f>ROUND(IF(Dados!$J$60="SIM",T33*Dados!$N$60,T33),2)</f>
        <v>5.24</v>
      </c>
      <c r="V33" s="490">
        <f>IF(Dados!$D$69="INICIAL",'Ocorrências Mensais - FAT'!P33,IF(Dados!$D$69="1º IPCA",'Ocorrências Mensais - FAT'!Q33,IF(Dados!$D$69="2º IPCA",'Ocorrências Mensais - FAT'!R33,IF(Dados!$D$69="3º IPCA",'Ocorrências Mensais - FAT'!S33,IF(Dados!$D$69="4º IPCA",'Ocorrências Mensais - FAT'!T33,IF(Dados!$D$69="5º IPCA",'Ocorrências Mensais - FAT'!U33,))))))</f>
        <v>5.24</v>
      </c>
    </row>
    <row r="34" spans="1:22" s="440" customFormat="1" ht="15" customHeight="1">
      <c r="A34" s="295">
        <v>9</v>
      </c>
      <c r="B34" s="607" t="s">
        <v>98</v>
      </c>
      <c r="C34" s="608"/>
      <c r="D34" s="609"/>
      <c r="E34" s="297" t="s">
        <v>67</v>
      </c>
      <c r="F34" s="296" t="s">
        <v>99</v>
      </c>
      <c r="G34" s="496">
        <f t="shared" si="1"/>
        <v>2</v>
      </c>
      <c r="H34" s="497">
        <f t="shared" si="2"/>
        <v>3.84</v>
      </c>
      <c r="I34" s="610" t="str">
        <f t="shared" si="3"/>
        <v>Fornecimento igual ao estimado mensalmente</v>
      </c>
      <c r="J34" s="610"/>
      <c r="K34" s="610"/>
      <c r="L34" s="498">
        <f t="shared" si="4"/>
        <v>2</v>
      </c>
      <c r="M34" s="499">
        <f>Materiais!J17</f>
        <v>2</v>
      </c>
      <c r="N34" s="500" t="str">
        <f>Materiais!K17</f>
        <v>Mensal</v>
      </c>
      <c r="O34" s="501">
        <f t="shared" si="5"/>
        <v>1</v>
      </c>
      <c r="P34" s="299">
        <v>1.92</v>
      </c>
      <c r="Q34" s="399">
        <f>ROUND(IF(Dados!$J$56="SIM",P34*Dados!$N$56,P34),2)</f>
        <v>1.92</v>
      </c>
      <c r="R34" s="399">
        <f>ROUND(IF(Dados!$J$57="SIM",Q34*Dados!$N$57,Q34),2)</f>
        <v>1.92</v>
      </c>
      <c r="S34" s="399">
        <f>ROUND(IF(Dados!$J$58="SIM",R34*Dados!$N$58,R34),2)</f>
        <v>1.92</v>
      </c>
      <c r="T34" s="399">
        <f>ROUND(IF(Dados!$J$59="SIM",S34*Dados!$N$59,S34),2)</f>
        <v>1.92</v>
      </c>
      <c r="U34" s="502">
        <f>ROUND(IF(Dados!$J$60="SIM",T34*Dados!$N$60,T34),2)</f>
        <v>1.92</v>
      </c>
      <c r="V34" s="490">
        <f>IF(Dados!$D$69="INICIAL",'Ocorrências Mensais - FAT'!P34,IF(Dados!$D$69="1º IPCA",'Ocorrências Mensais - FAT'!Q34,IF(Dados!$D$69="2º IPCA",'Ocorrências Mensais - FAT'!R34,IF(Dados!$D$69="3º IPCA",'Ocorrências Mensais - FAT'!S34,IF(Dados!$D$69="4º IPCA",'Ocorrências Mensais - FAT'!T34,IF(Dados!$D$69="5º IPCA",'Ocorrências Mensais - FAT'!U34,))))))</f>
        <v>1.92</v>
      </c>
    </row>
    <row r="35" spans="1:22" s="440" customFormat="1" ht="15" customHeight="1">
      <c r="A35" s="295">
        <v>10</v>
      </c>
      <c r="B35" s="607" t="s">
        <v>100</v>
      </c>
      <c r="C35" s="608"/>
      <c r="D35" s="609"/>
      <c r="E35" s="297" t="s">
        <v>67</v>
      </c>
      <c r="F35" s="296" t="s">
        <v>101</v>
      </c>
      <c r="G35" s="496">
        <f t="shared" si="1"/>
        <v>3</v>
      </c>
      <c r="H35" s="497">
        <f t="shared" si="2"/>
        <v>9.09</v>
      </c>
      <c r="I35" s="610" t="str">
        <f t="shared" si="3"/>
        <v>Fornecimento igual ao estimado mensalmente</v>
      </c>
      <c r="J35" s="610"/>
      <c r="K35" s="610"/>
      <c r="L35" s="498">
        <f t="shared" si="4"/>
        <v>3</v>
      </c>
      <c r="M35" s="499">
        <f>Materiais!J18</f>
        <v>6</v>
      </c>
      <c r="N35" s="500" t="str">
        <f>Materiais!K18</f>
        <v>Bimestral</v>
      </c>
      <c r="O35" s="501">
        <f t="shared" si="5"/>
        <v>2</v>
      </c>
      <c r="P35" s="299">
        <v>3.03</v>
      </c>
      <c r="Q35" s="399">
        <f>ROUND(IF(Dados!$J$56="SIM",P35*Dados!$N$56,P35),2)</f>
        <v>3.03</v>
      </c>
      <c r="R35" s="399">
        <f>ROUND(IF(Dados!$J$57="SIM",Q35*Dados!$N$57,Q35),2)</f>
        <v>3.03</v>
      </c>
      <c r="S35" s="399">
        <f>ROUND(IF(Dados!$J$58="SIM",R35*Dados!$N$58,R35),2)</f>
        <v>3.03</v>
      </c>
      <c r="T35" s="399">
        <f>ROUND(IF(Dados!$J$59="SIM",S35*Dados!$N$59,S35),2)</f>
        <v>3.03</v>
      </c>
      <c r="U35" s="502">
        <f>ROUND(IF(Dados!$J$60="SIM",T35*Dados!$N$60,T35),2)</f>
        <v>3.03</v>
      </c>
      <c r="V35" s="490">
        <f>IF(Dados!$D$69="INICIAL",'Ocorrências Mensais - FAT'!P35,IF(Dados!$D$69="1º IPCA",'Ocorrências Mensais - FAT'!Q35,IF(Dados!$D$69="2º IPCA",'Ocorrências Mensais - FAT'!R35,IF(Dados!$D$69="3º IPCA",'Ocorrências Mensais - FAT'!S35,IF(Dados!$D$69="4º IPCA",'Ocorrências Mensais - FAT'!T35,IF(Dados!$D$69="5º IPCA",'Ocorrências Mensais - FAT'!U35,))))))</f>
        <v>3.03</v>
      </c>
    </row>
    <row r="36" spans="1:22" s="440" customFormat="1" ht="15" customHeight="1">
      <c r="A36" s="295">
        <v>11</v>
      </c>
      <c r="B36" s="607" t="s">
        <v>102</v>
      </c>
      <c r="C36" s="608"/>
      <c r="D36" s="609"/>
      <c r="E36" s="297" t="s">
        <v>103</v>
      </c>
      <c r="F36" s="296" t="s">
        <v>99</v>
      </c>
      <c r="G36" s="496">
        <f t="shared" si="1"/>
        <v>1</v>
      </c>
      <c r="H36" s="497">
        <f t="shared" si="2"/>
        <v>2.02</v>
      </c>
      <c r="I36" s="610" t="str">
        <f t="shared" si="3"/>
        <v>Fornecimento igual ao estimado mensalmente</v>
      </c>
      <c r="J36" s="610"/>
      <c r="K36" s="610"/>
      <c r="L36" s="498">
        <f t="shared" si="4"/>
        <v>1</v>
      </c>
      <c r="M36" s="499">
        <f>Materiais!J19</f>
        <v>1</v>
      </c>
      <c r="N36" s="500" t="str">
        <f>Materiais!K19</f>
        <v>Mensal</v>
      </c>
      <c r="O36" s="501">
        <f t="shared" si="5"/>
        <v>1</v>
      </c>
      <c r="P36" s="299">
        <v>2.02</v>
      </c>
      <c r="Q36" s="399">
        <f>ROUND(IF(Dados!$J$56="SIM",P36*Dados!$N$56,P36),2)</f>
        <v>2.02</v>
      </c>
      <c r="R36" s="399">
        <f>ROUND(IF(Dados!$J$57="SIM",Q36*Dados!$N$57,Q36),2)</f>
        <v>2.02</v>
      </c>
      <c r="S36" s="399">
        <f>ROUND(IF(Dados!$J$58="SIM",R36*Dados!$N$58,R36),2)</f>
        <v>2.02</v>
      </c>
      <c r="T36" s="399">
        <f>ROUND(IF(Dados!$J$59="SIM",S36*Dados!$N$59,S36),2)</f>
        <v>2.02</v>
      </c>
      <c r="U36" s="502">
        <f>ROUND(IF(Dados!$J$60="SIM",T36*Dados!$N$60,T36),2)</f>
        <v>2.02</v>
      </c>
      <c r="V36" s="490">
        <f>IF(Dados!$D$69="INICIAL",'Ocorrências Mensais - FAT'!P36,IF(Dados!$D$69="1º IPCA",'Ocorrências Mensais - FAT'!Q36,IF(Dados!$D$69="2º IPCA",'Ocorrências Mensais - FAT'!R36,IF(Dados!$D$69="3º IPCA",'Ocorrências Mensais - FAT'!S36,IF(Dados!$D$69="4º IPCA",'Ocorrências Mensais - FAT'!T36,IF(Dados!$D$69="5º IPCA",'Ocorrências Mensais - FAT'!U36,))))))</f>
        <v>2.02</v>
      </c>
    </row>
    <row r="37" spans="1:22" s="440" customFormat="1" ht="15.75" customHeight="1">
      <c r="A37" s="295">
        <v>12</v>
      </c>
      <c r="B37" s="607" t="s">
        <v>104</v>
      </c>
      <c r="C37" s="608"/>
      <c r="D37" s="609"/>
      <c r="E37" s="297" t="s">
        <v>83</v>
      </c>
      <c r="F37" s="296"/>
      <c r="G37" s="496">
        <f t="shared" si="1"/>
        <v>0.5</v>
      </c>
      <c r="H37" s="497">
        <f t="shared" si="2"/>
        <v>17.285</v>
      </c>
      <c r="I37" s="610" t="str">
        <f t="shared" si="3"/>
        <v>Fornecimento igual ao estimado mensalmente</v>
      </c>
      <c r="J37" s="610"/>
      <c r="K37" s="610"/>
      <c r="L37" s="498">
        <f t="shared" si="4"/>
        <v>0.5</v>
      </c>
      <c r="M37" s="499">
        <f>Materiais!J20</f>
        <v>1</v>
      </c>
      <c r="N37" s="500" t="str">
        <f>Materiais!K20</f>
        <v>Bimestral</v>
      </c>
      <c r="O37" s="501">
        <f t="shared" si="5"/>
        <v>2</v>
      </c>
      <c r="P37" s="299">
        <v>34.57</v>
      </c>
      <c r="Q37" s="399">
        <f>ROUND(IF(Dados!$J$56="SIM",P37*Dados!$N$56,P37),2)</f>
        <v>34.57</v>
      </c>
      <c r="R37" s="399">
        <f>ROUND(IF(Dados!$J$57="SIM",Q37*Dados!$N$57,Q37),2)</f>
        <v>34.57</v>
      </c>
      <c r="S37" s="399">
        <f>ROUND(IF(Dados!$J$58="SIM",R37*Dados!$N$58,R37),2)</f>
        <v>34.57</v>
      </c>
      <c r="T37" s="399">
        <f>ROUND(IF(Dados!$J$59="SIM",S37*Dados!$N$59,S37),2)</f>
        <v>34.57</v>
      </c>
      <c r="U37" s="502">
        <f>ROUND(IF(Dados!$J$60="SIM",T37*Dados!$N$60,T37),2)</f>
        <v>34.57</v>
      </c>
      <c r="V37" s="490">
        <f>IF(Dados!$D$69="INICIAL",'Ocorrências Mensais - FAT'!P37,IF(Dados!$D$69="1º IPCA",'Ocorrências Mensais - FAT'!Q37,IF(Dados!$D$69="2º IPCA",'Ocorrências Mensais - FAT'!R37,IF(Dados!$D$69="3º IPCA",'Ocorrências Mensais - FAT'!S37,IF(Dados!$D$69="4º IPCA",'Ocorrências Mensais - FAT'!T37,IF(Dados!$D$69="5º IPCA",'Ocorrências Mensais - FAT'!U37,))))))</f>
        <v>34.57</v>
      </c>
    </row>
    <row r="38" spans="1:22" s="440" customFormat="1" ht="15" customHeight="1">
      <c r="A38" s="295">
        <v>13</v>
      </c>
      <c r="B38" s="607" t="s">
        <v>105</v>
      </c>
      <c r="C38" s="608"/>
      <c r="D38" s="609"/>
      <c r="E38" s="297" t="s">
        <v>67</v>
      </c>
      <c r="F38" s="296" t="s">
        <v>95</v>
      </c>
      <c r="G38" s="496">
        <f t="shared" si="1"/>
        <v>0.66666666666666663</v>
      </c>
      <c r="H38" s="497">
        <f t="shared" si="2"/>
        <v>2.3266666666666667</v>
      </c>
      <c r="I38" s="610" t="str">
        <f t="shared" si="3"/>
        <v>Fornecimento igual ao estimado mensalmente</v>
      </c>
      <c r="J38" s="610"/>
      <c r="K38" s="610"/>
      <c r="L38" s="498">
        <f t="shared" si="4"/>
        <v>0.66666666666666663</v>
      </c>
      <c r="M38" s="499">
        <f>Materiais!J21</f>
        <v>2</v>
      </c>
      <c r="N38" s="500" t="str">
        <f>Materiais!K21</f>
        <v>Trimestral</v>
      </c>
      <c r="O38" s="501">
        <f t="shared" si="5"/>
        <v>3</v>
      </c>
      <c r="P38" s="299">
        <v>3.49</v>
      </c>
      <c r="Q38" s="399">
        <f>ROUND(IF(Dados!$J$56="SIM",P38*Dados!$N$56,P38),2)</f>
        <v>3.49</v>
      </c>
      <c r="R38" s="399">
        <f>ROUND(IF(Dados!$J$57="SIM",Q38*Dados!$N$57,Q38),2)</f>
        <v>3.49</v>
      </c>
      <c r="S38" s="399">
        <f>ROUND(IF(Dados!$J$58="SIM",R38*Dados!$N$58,R38),2)</f>
        <v>3.49</v>
      </c>
      <c r="T38" s="399">
        <f>ROUND(IF(Dados!$J$59="SIM",S38*Dados!$N$59,S38),2)</f>
        <v>3.49</v>
      </c>
      <c r="U38" s="502">
        <f>ROUND(IF(Dados!$J$60="SIM",T38*Dados!$N$60,T38),2)</f>
        <v>3.49</v>
      </c>
      <c r="V38" s="490">
        <f>IF(Dados!$D$69="INICIAL",'Ocorrências Mensais - FAT'!P38,IF(Dados!$D$69="1º IPCA",'Ocorrências Mensais - FAT'!Q38,IF(Dados!$D$69="2º IPCA",'Ocorrências Mensais - FAT'!R38,IF(Dados!$D$69="3º IPCA",'Ocorrências Mensais - FAT'!S38,IF(Dados!$D$69="4º IPCA",'Ocorrências Mensais - FAT'!T38,IF(Dados!$D$69="5º IPCA",'Ocorrências Mensais - FAT'!U38,))))))</f>
        <v>3.49</v>
      </c>
    </row>
    <row r="39" spans="1:22" s="440" customFormat="1" ht="15" customHeight="1">
      <c r="A39" s="295">
        <v>14</v>
      </c>
      <c r="B39" s="607" t="s">
        <v>106</v>
      </c>
      <c r="C39" s="608"/>
      <c r="D39" s="609"/>
      <c r="E39" s="297" t="s">
        <v>67</v>
      </c>
      <c r="F39" s="296" t="s">
        <v>107</v>
      </c>
      <c r="G39" s="496">
        <f t="shared" si="1"/>
        <v>0.33333333333333331</v>
      </c>
      <c r="H39" s="497">
        <f t="shared" si="2"/>
        <v>2.7199999999999998</v>
      </c>
      <c r="I39" s="610" t="str">
        <f t="shared" si="3"/>
        <v>Fornecimento igual ao estimado mensalmente</v>
      </c>
      <c r="J39" s="610"/>
      <c r="K39" s="610"/>
      <c r="L39" s="498">
        <f t="shared" si="4"/>
        <v>0.33333333333333331</v>
      </c>
      <c r="M39" s="499">
        <f>Materiais!J22</f>
        <v>1</v>
      </c>
      <c r="N39" s="500" t="str">
        <f>Materiais!K22</f>
        <v>Trimestral</v>
      </c>
      <c r="O39" s="501">
        <f t="shared" si="5"/>
        <v>3</v>
      </c>
      <c r="P39" s="299">
        <v>8.16</v>
      </c>
      <c r="Q39" s="399">
        <f>ROUND(IF(Dados!$J$56="SIM",P39*Dados!$N$56,P39),2)</f>
        <v>8.16</v>
      </c>
      <c r="R39" s="399">
        <f>ROUND(IF(Dados!$J$57="SIM",Q39*Dados!$N$57,Q39),2)</f>
        <v>8.16</v>
      </c>
      <c r="S39" s="399">
        <f>ROUND(IF(Dados!$J$58="SIM",R39*Dados!$N$58,R39),2)</f>
        <v>8.16</v>
      </c>
      <c r="T39" s="399">
        <f>ROUND(IF(Dados!$J$59="SIM",S39*Dados!$N$59,S39),2)</f>
        <v>8.16</v>
      </c>
      <c r="U39" s="502">
        <f>ROUND(IF(Dados!$J$60="SIM",T39*Dados!$N$60,T39),2)</f>
        <v>8.16</v>
      </c>
      <c r="V39" s="490">
        <f>IF(Dados!$D$69="INICIAL",'Ocorrências Mensais - FAT'!P39,IF(Dados!$D$69="1º IPCA",'Ocorrências Mensais - FAT'!Q39,IF(Dados!$D$69="2º IPCA",'Ocorrências Mensais - FAT'!R39,IF(Dados!$D$69="3º IPCA",'Ocorrências Mensais - FAT'!S39,IF(Dados!$D$69="4º IPCA",'Ocorrências Mensais - FAT'!T39,IF(Dados!$D$69="5º IPCA",'Ocorrências Mensais - FAT'!U39,))))))</f>
        <v>8.16</v>
      </c>
    </row>
    <row r="40" spans="1:22" s="440" customFormat="1" ht="15" customHeight="1">
      <c r="A40" s="295">
        <v>15</v>
      </c>
      <c r="B40" s="607" t="s">
        <v>108</v>
      </c>
      <c r="C40" s="608"/>
      <c r="D40" s="609"/>
      <c r="E40" s="297" t="s">
        <v>67</v>
      </c>
      <c r="F40" s="296" t="s">
        <v>109</v>
      </c>
      <c r="G40" s="496">
        <f t="shared" si="1"/>
        <v>4</v>
      </c>
      <c r="H40" s="497">
        <f t="shared" si="2"/>
        <v>16.2</v>
      </c>
      <c r="I40" s="610" t="str">
        <f t="shared" si="3"/>
        <v>Fornecimento igual ao estimado mensalmente</v>
      </c>
      <c r="J40" s="610"/>
      <c r="K40" s="610"/>
      <c r="L40" s="498">
        <f t="shared" si="4"/>
        <v>4</v>
      </c>
      <c r="M40" s="499">
        <f>Materiais!J23</f>
        <v>4</v>
      </c>
      <c r="N40" s="500" t="str">
        <f>Materiais!K23</f>
        <v>Mensal</v>
      </c>
      <c r="O40" s="501">
        <f t="shared" si="5"/>
        <v>1</v>
      </c>
      <c r="P40" s="299">
        <v>4.05</v>
      </c>
      <c r="Q40" s="399">
        <f>ROUND(IF(Dados!$J$56="SIM",P40*Dados!$N$56,P40),2)</f>
        <v>4.05</v>
      </c>
      <c r="R40" s="399">
        <f>ROUND(IF(Dados!$J$57="SIM",Q40*Dados!$N$57,Q40),2)</f>
        <v>4.05</v>
      </c>
      <c r="S40" s="399">
        <f>ROUND(IF(Dados!$J$58="SIM",R40*Dados!$N$58,R40),2)</f>
        <v>4.05</v>
      </c>
      <c r="T40" s="399">
        <f>ROUND(IF(Dados!$J$59="SIM",S40*Dados!$N$59,S40),2)</f>
        <v>4.05</v>
      </c>
      <c r="U40" s="502">
        <f>ROUND(IF(Dados!$J$60="SIM",T40*Dados!$N$60,T40),2)</f>
        <v>4.05</v>
      </c>
      <c r="V40" s="490">
        <f>IF(Dados!$D$69="INICIAL",'Ocorrências Mensais - FAT'!P40,IF(Dados!$D$69="1º IPCA",'Ocorrências Mensais - FAT'!Q40,IF(Dados!$D$69="2º IPCA",'Ocorrências Mensais - FAT'!R40,IF(Dados!$D$69="3º IPCA",'Ocorrências Mensais - FAT'!S40,IF(Dados!$D$69="4º IPCA",'Ocorrências Mensais - FAT'!T40,IF(Dados!$D$69="5º IPCA",'Ocorrências Mensais - FAT'!U40,))))))</f>
        <v>4.05</v>
      </c>
    </row>
    <row r="41" spans="1:22" s="440" customFormat="1" ht="15" customHeight="1">
      <c r="A41" s="295">
        <v>16</v>
      </c>
      <c r="B41" s="607" t="s">
        <v>110</v>
      </c>
      <c r="C41" s="608"/>
      <c r="D41" s="609"/>
      <c r="E41" s="297" t="s">
        <v>67</v>
      </c>
      <c r="F41" s="296" t="s">
        <v>111</v>
      </c>
      <c r="G41" s="496">
        <f t="shared" si="1"/>
        <v>8.3333333333333329E-2</v>
      </c>
      <c r="H41" s="497">
        <f t="shared" si="2"/>
        <v>15.135833333333332</v>
      </c>
      <c r="I41" s="610" t="str">
        <f t="shared" si="3"/>
        <v>Fornecimento igual ao estimado mensalmente</v>
      </c>
      <c r="J41" s="610"/>
      <c r="K41" s="610"/>
      <c r="L41" s="498">
        <f t="shared" si="4"/>
        <v>8.3333333333333329E-2</v>
      </c>
      <c r="M41" s="499">
        <f>Materiais!J24</f>
        <v>1</v>
      </c>
      <c r="N41" s="500" t="str">
        <f>Materiais!K24</f>
        <v>Anual</v>
      </c>
      <c r="O41" s="501">
        <f t="shared" si="5"/>
        <v>12</v>
      </c>
      <c r="P41" s="299">
        <v>181.63</v>
      </c>
      <c r="Q41" s="399">
        <f>ROUND(IF(Dados!$J$56="SIM",P41*Dados!$N$56,P41),2)</f>
        <v>181.63</v>
      </c>
      <c r="R41" s="399">
        <f>ROUND(IF(Dados!$J$57="SIM",Q41*Dados!$N$57,Q41),2)</f>
        <v>181.63</v>
      </c>
      <c r="S41" s="399">
        <f>ROUND(IF(Dados!$J$58="SIM",R41*Dados!$N$58,R41),2)</f>
        <v>181.63</v>
      </c>
      <c r="T41" s="399">
        <f>ROUND(IF(Dados!$J$59="SIM",S41*Dados!$N$59,S41),2)</f>
        <v>181.63</v>
      </c>
      <c r="U41" s="502">
        <f>ROUND(IF(Dados!$J$60="SIM",T41*Dados!$N$60,T41),2)</f>
        <v>181.63</v>
      </c>
      <c r="V41" s="490">
        <f>IF(Dados!$D$69="INICIAL",'Ocorrências Mensais - FAT'!P41,IF(Dados!$D$69="1º IPCA",'Ocorrências Mensais - FAT'!Q41,IF(Dados!$D$69="2º IPCA",'Ocorrências Mensais - FAT'!R41,IF(Dados!$D$69="3º IPCA",'Ocorrências Mensais - FAT'!S41,IF(Dados!$D$69="4º IPCA",'Ocorrências Mensais - FAT'!T41,IF(Dados!$D$69="5º IPCA",'Ocorrências Mensais - FAT'!U41,))))))</f>
        <v>181.63</v>
      </c>
    </row>
    <row r="42" spans="1:22" s="440" customFormat="1" ht="15.75" customHeight="1">
      <c r="A42" s="295">
        <v>17</v>
      </c>
      <c r="B42" s="607" t="s">
        <v>112</v>
      </c>
      <c r="C42" s="608"/>
      <c r="D42" s="609"/>
      <c r="E42" s="297" t="s">
        <v>67</v>
      </c>
      <c r="F42" s="296" t="s">
        <v>113</v>
      </c>
      <c r="G42" s="496">
        <f t="shared" si="1"/>
        <v>0.16666666666666666</v>
      </c>
      <c r="H42" s="497">
        <f t="shared" si="2"/>
        <v>1.6783333333333332</v>
      </c>
      <c r="I42" s="610" t="str">
        <f t="shared" si="3"/>
        <v>Fornecimento igual ao estimado mensalmente</v>
      </c>
      <c r="J42" s="610"/>
      <c r="K42" s="610"/>
      <c r="L42" s="498">
        <f t="shared" si="4"/>
        <v>0.16666666666666666</v>
      </c>
      <c r="M42" s="499">
        <f>Materiais!J25</f>
        <v>1</v>
      </c>
      <c r="N42" s="500" t="str">
        <f>Materiais!K25</f>
        <v>Semestral</v>
      </c>
      <c r="O42" s="501">
        <f t="shared" si="5"/>
        <v>6</v>
      </c>
      <c r="P42" s="299">
        <v>10.07</v>
      </c>
      <c r="Q42" s="399">
        <f>ROUND(IF(Dados!$J$56="SIM",P42*Dados!$N$56,P42),2)</f>
        <v>10.07</v>
      </c>
      <c r="R42" s="399">
        <f>ROUND(IF(Dados!$J$57="SIM",Q42*Dados!$N$57,Q42),2)</f>
        <v>10.07</v>
      </c>
      <c r="S42" s="399">
        <f>ROUND(IF(Dados!$J$58="SIM",R42*Dados!$N$58,R42),2)</f>
        <v>10.07</v>
      </c>
      <c r="T42" s="399">
        <f>ROUND(IF(Dados!$J$59="SIM",S42*Dados!$N$59,S42),2)</f>
        <v>10.07</v>
      </c>
      <c r="U42" s="502">
        <f>ROUND(IF(Dados!$J$60="SIM",T42*Dados!$N$60,T42),2)</f>
        <v>10.07</v>
      </c>
      <c r="V42" s="490">
        <f>IF(Dados!$D$69="INICIAL",'Ocorrências Mensais - FAT'!P42,IF(Dados!$D$69="1º IPCA",'Ocorrências Mensais - FAT'!Q42,IF(Dados!$D$69="2º IPCA",'Ocorrências Mensais - FAT'!R42,IF(Dados!$D$69="3º IPCA",'Ocorrências Mensais - FAT'!S42,IF(Dados!$D$69="4º IPCA",'Ocorrências Mensais - FAT'!T42,IF(Dados!$D$69="5º IPCA",'Ocorrências Mensais - FAT'!U42,))))))</f>
        <v>10.07</v>
      </c>
    </row>
    <row r="43" spans="1:22" s="440" customFormat="1" ht="15" customHeight="1">
      <c r="A43" s="295">
        <v>18</v>
      </c>
      <c r="B43" s="614" t="s">
        <v>114</v>
      </c>
      <c r="C43" s="615"/>
      <c r="D43" s="616"/>
      <c r="E43" s="310" t="s">
        <v>115</v>
      </c>
      <c r="F43" s="296" t="s">
        <v>116</v>
      </c>
      <c r="G43" s="496">
        <f t="shared" si="1"/>
        <v>1</v>
      </c>
      <c r="H43" s="497">
        <f t="shared" si="2"/>
        <v>14.87</v>
      </c>
      <c r="I43" s="610" t="str">
        <f t="shared" si="3"/>
        <v>Fornecimento igual ao estimado mensalmente</v>
      </c>
      <c r="J43" s="610"/>
      <c r="K43" s="610"/>
      <c r="L43" s="498">
        <f t="shared" si="4"/>
        <v>1</v>
      </c>
      <c r="M43" s="499">
        <f>Materiais!J26</f>
        <v>1</v>
      </c>
      <c r="N43" s="500" t="str">
        <f>Materiais!K26</f>
        <v>Mensal</v>
      </c>
      <c r="O43" s="501">
        <f t="shared" si="5"/>
        <v>1</v>
      </c>
      <c r="P43" s="299">
        <v>14.87</v>
      </c>
      <c r="Q43" s="399">
        <f>ROUND(IF(Dados!$J$56="SIM",P43*Dados!$N$56,P43),2)</f>
        <v>14.87</v>
      </c>
      <c r="R43" s="399">
        <f>ROUND(IF(Dados!$J$57="SIM",Q43*Dados!$N$57,Q43),2)</f>
        <v>14.87</v>
      </c>
      <c r="S43" s="399">
        <f>ROUND(IF(Dados!$J$58="SIM",R43*Dados!$N$58,R43),2)</f>
        <v>14.87</v>
      </c>
      <c r="T43" s="399">
        <f>ROUND(IF(Dados!$J$59="SIM",S43*Dados!$N$59,S43),2)</f>
        <v>14.87</v>
      </c>
      <c r="U43" s="502">
        <f>ROUND(IF(Dados!$J$60="SIM",T43*Dados!$N$60,T43),2)</f>
        <v>14.87</v>
      </c>
      <c r="V43" s="490">
        <f>IF(Dados!$D$69="INICIAL",'Ocorrências Mensais - FAT'!P43,IF(Dados!$D$69="1º IPCA",'Ocorrências Mensais - FAT'!Q43,IF(Dados!$D$69="2º IPCA",'Ocorrências Mensais - FAT'!R43,IF(Dados!$D$69="3º IPCA",'Ocorrências Mensais - FAT'!S43,IF(Dados!$D$69="4º IPCA",'Ocorrências Mensais - FAT'!T43,IF(Dados!$D$69="5º IPCA",'Ocorrências Mensais - FAT'!U43,))))))</f>
        <v>14.87</v>
      </c>
    </row>
    <row r="44" spans="1:22" s="440" customFormat="1" ht="15" customHeight="1">
      <c r="A44" s="295">
        <v>19</v>
      </c>
      <c r="B44" s="607" t="s">
        <v>117</v>
      </c>
      <c r="C44" s="608"/>
      <c r="D44" s="609"/>
      <c r="E44" s="297" t="s">
        <v>115</v>
      </c>
      <c r="F44" s="296" t="s">
        <v>118</v>
      </c>
      <c r="G44" s="496">
        <f t="shared" si="1"/>
        <v>8</v>
      </c>
      <c r="H44" s="497">
        <f t="shared" si="2"/>
        <v>100.96</v>
      </c>
      <c r="I44" s="610" t="str">
        <f t="shared" si="3"/>
        <v>Fornecimento igual ao estimado mensalmente</v>
      </c>
      <c r="J44" s="610"/>
      <c r="K44" s="610"/>
      <c r="L44" s="498">
        <f t="shared" si="4"/>
        <v>8</v>
      </c>
      <c r="M44" s="499">
        <f>Materiais!J27</f>
        <v>8</v>
      </c>
      <c r="N44" s="500" t="str">
        <f>Materiais!K27</f>
        <v>Mensal</v>
      </c>
      <c r="O44" s="501">
        <f t="shared" si="5"/>
        <v>1</v>
      </c>
      <c r="P44" s="299">
        <v>12.62</v>
      </c>
      <c r="Q44" s="399">
        <f>ROUND(IF(Dados!$J$56="SIM",P44*Dados!$N$56,P44),2)</f>
        <v>12.62</v>
      </c>
      <c r="R44" s="399">
        <f>ROUND(IF(Dados!$J$57="SIM",Q44*Dados!$N$57,Q44),2)</f>
        <v>12.62</v>
      </c>
      <c r="S44" s="399">
        <f>ROUND(IF(Dados!$J$58="SIM",R44*Dados!$N$58,R44),2)</f>
        <v>12.62</v>
      </c>
      <c r="T44" s="399">
        <f>ROUND(IF(Dados!$J$59="SIM",S44*Dados!$N$59,S44),2)</f>
        <v>12.62</v>
      </c>
      <c r="U44" s="502">
        <f>ROUND(IF(Dados!$J$60="SIM",T44*Dados!$N$60,T44),2)</f>
        <v>12.62</v>
      </c>
      <c r="V44" s="490">
        <f>IF(Dados!$D$69="INICIAL",'Ocorrências Mensais - FAT'!P44,IF(Dados!$D$69="1º IPCA",'Ocorrências Mensais - FAT'!Q44,IF(Dados!$D$69="2º IPCA",'Ocorrências Mensais - FAT'!R44,IF(Dados!$D$69="3º IPCA",'Ocorrências Mensais - FAT'!S44,IF(Dados!$D$69="4º IPCA",'Ocorrências Mensais - FAT'!T44,IF(Dados!$D$69="5º IPCA",'Ocorrências Mensais - FAT'!U44,))))))</f>
        <v>12.62</v>
      </c>
    </row>
    <row r="45" spans="1:22" s="440" customFormat="1" ht="15" customHeight="1">
      <c r="A45" s="295">
        <v>20</v>
      </c>
      <c r="B45" s="607" t="s">
        <v>119</v>
      </c>
      <c r="C45" s="608"/>
      <c r="D45" s="609"/>
      <c r="E45" s="297" t="s">
        <v>67</v>
      </c>
      <c r="F45" s="296" t="s">
        <v>120</v>
      </c>
      <c r="G45" s="496">
        <f t="shared" si="1"/>
        <v>8</v>
      </c>
      <c r="H45" s="497">
        <f t="shared" si="2"/>
        <v>137.52000000000001</v>
      </c>
      <c r="I45" s="610" t="str">
        <f t="shared" si="3"/>
        <v>Fornecimento igual ao estimado mensalmente</v>
      </c>
      <c r="J45" s="610"/>
      <c r="K45" s="610"/>
      <c r="L45" s="498">
        <f t="shared" si="4"/>
        <v>8</v>
      </c>
      <c r="M45" s="499">
        <f>Materiais!J28</f>
        <v>8</v>
      </c>
      <c r="N45" s="500" t="str">
        <f>Materiais!K28</f>
        <v>Mensal</v>
      </c>
      <c r="O45" s="501">
        <f t="shared" si="5"/>
        <v>1</v>
      </c>
      <c r="P45" s="299">
        <v>17.190000000000001</v>
      </c>
      <c r="Q45" s="399">
        <f>ROUND(IF(Dados!$J$56="SIM",P45*Dados!$N$56,P45),2)</f>
        <v>17.190000000000001</v>
      </c>
      <c r="R45" s="399">
        <f>ROUND(IF(Dados!$J$57="SIM",Q45*Dados!$N$57,Q45),2)</f>
        <v>17.190000000000001</v>
      </c>
      <c r="S45" s="399">
        <f>ROUND(IF(Dados!$J$58="SIM",R45*Dados!$N$58,R45),2)</f>
        <v>17.190000000000001</v>
      </c>
      <c r="T45" s="399">
        <f>ROUND(IF(Dados!$J$59="SIM",S45*Dados!$N$59,S45),2)</f>
        <v>17.190000000000001</v>
      </c>
      <c r="U45" s="502">
        <f>ROUND(IF(Dados!$J$60="SIM",T45*Dados!$N$60,T45),2)</f>
        <v>17.190000000000001</v>
      </c>
      <c r="V45" s="490">
        <f>IF(Dados!$D$69="INICIAL",'Ocorrências Mensais - FAT'!P45,IF(Dados!$D$69="1º IPCA",'Ocorrências Mensais - FAT'!Q45,IF(Dados!$D$69="2º IPCA",'Ocorrências Mensais - FAT'!R45,IF(Dados!$D$69="3º IPCA",'Ocorrências Mensais - FAT'!S45,IF(Dados!$D$69="4º IPCA",'Ocorrências Mensais - FAT'!T45,IF(Dados!$D$69="5º IPCA",'Ocorrências Mensais - FAT'!U45,))))))</f>
        <v>17.190000000000001</v>
      </c>
    </row>
    <row r="46" spans="1:22" s="440" customFormat="1" ht="15.75" customHeight="1">
      <c r="A46" s="295">
        <v>21</v>
      </c>
      <c r="B46" s="607" t="s">
        <v>121</v>
      </c>
      <c r="C46" s="608"/>
      <c r="D46" s="609"/>
      <c r="E46" s="297" t="s">
        <v>67</v>
      </c>
      <c r="F46" s="296" t="s">
        <v>122</v>
      </c>
      <c r="G46" s="496">
        <f t="shared" si="1"/>
        <v>0.16666666666666666</v>
      </c>
      <c r="H46" s="497">
        <f t="shared" si="2"/>
        <v>2.7133333333333334</v>
      </c>
      <c r="I46" s="610" t="str">
        <f t="shared" si="3"/>
        <v>Fornecimento igual ao estimado mensalmente</v>
      </c>
      <c r="J46" s="610"/>
      <c r="K46" s="610"/>
      <c r="L46" s="498">
        <f t="shared" si="4"/>
        <v>0.16666666666666666</v>
      </c>
      <c r="M46" s="499">
        <f>Materiais!J29</f>
        <v>1</v>
      </c>
      <c r="N46" s="500" t="str">
        <f>Materiais!K29</f>
        <v>Semestral</v>
      </c>
      <c r="O46" s="501">
        <f t="shared" si="5"/>
        <v>6</v>
      </c>
      <c r="P46" s="299">
        <v>16.28</v>
      </c>
      <c r="Q46" s="399">
        <f>ROUND(IF(Dados!$J$56="SIM",P46*Dados!$N$56,P46),2)</f>
        <v>16.28</v>
      </c>
      <c r="R46" s="399">
        <f>ROUND(IF(Dados!$J$57="SIM",Q46*Dados!$N$57,Q46),2)</f>
        <v>16.28</v>
      </c>
      <c r="S46" s="399">
        <f>ROUND(IF(Dados!$J$58="SIM",R46*Dados!$N$58,R46),2)</f>
        <v>16.28</v>
      </c>
      <c r="T46" s="399">
        <f>ROUND(IF(Dados!$J$59="SIM",S46*Dados!$N$59,S46),2)</f>
        <v>16.28</v>
      </c>
      <c r="U46" s="502">
        <f>ROUND(IF(Dados!$J$60="SIM",T46*Dados!$N$60,T46),2)</f>
        <v>16.28</v>
      </c>
      <c r="V46" s="490">
        <f>IF(Dados!$D$69="INICIAL",'Ocorrências Mensais - FAT'!P46,IF(Dados!$D$69="1º IPCA",'Ocorrências Mensais - FAT'!Q46,IF(Dados!$D$69="2º IPCA",'Ocorrências Mensais - FAT'!R46,IF(Dados!$D$69="3º IPCA",'Ocorrências Mensais - FAT'!S46,IF(Dados!$D$69="4º IPCA",'Ocorrências Mensais - FAT'!T46,IF(Dados!$D$69="5º IPCA",'Ocorrências Mensais - FAT'!U46,))))))</f>
        <v>16.28</v>
      </c>
    </row>
    <row r="47" spans="1:22" s="440" customFormat="1" ht="15" customHeight="1">
      <c r="A47" s="295">
        <v>22</v>
      </c>
      <c r="B47" s="607" t="s">
        <v>123</v>
      </c>
      <c r="C47" s="608"/>
      <c r="D47" s="609"/>
      <c r="E47" s="297" t="s">
        <v>103</v>
      </c>
      <c r="F47" s="296" t="s">
        <v>124</v>
      </c>
      <c r="G47" s="496">
        <f t="shared" si="1"/>
        <v>0.5</v>
      </c>
      <c r="H47" s="497">
        <f t="shared" si="2"/>
        <v>5.14</v>
      </c>
      <c r="I47" s="610" t="str">
        <f t="shared" si="3"/>
        <v>Fornecimento igual ao estimado mensalmente</v>
      </c>
      <c r="J47" s="610"/>
      <c r="K47" s="610"/>
      <c r="L47" s="498">
        <f t="shared" si="4"/>
        <v>0.5</v>
      </c>
      <c r="M47" s="499">
        <f>Materiais!J30</f>
        <v>1</v>
      </c>
      <c r="N47" s="500" t="str">
        <f>Materiais!K30</f>
        <v>Bimestral</v>
      </c>
      <c r="O47" s="501">
        <f t="shared" si="5"/>
        <v>2</v>
      </c>
      <c r="P47" s="299">
        <v>10.28</v>
      </c>
      <c r="Q47" s="399">
        <f>ROUND(IF(Dados!$J$56="SIM",P47*Dados!$N$56,P47),2)</f>
        <v>10.28</v>
      </c>
      <c r="R47" s="399">
        <f>ROUND(IF(Dados!$J$57="SIM",Q47*Dados!$N$57,Q47),2)</f>
        <v>10.28</v>
      </c>
      <c r="S47" s="399">
        <f>ROUND(IF(Dados!$J$58="SIM",R47*Dados!$N$58,R47),2)</f>
        <v>10.28</v>
      </c>
      <c r="T47" s="399">
        <f>ROUND(IF(Dados!$J$59="SIM",S47*Dados!$N$59,S47),2)</f>
        <v>10.28</v>
      </c>
      <c r="U47" s="502">
        <f>ROUND(IF(Dados!$J$60="SIM",T47*Dados!$N$60,T47),2)</f>
        <v>10.28</v>
      </c>
      <c r="V47" s="490">
        <f>IF(Dados!$D$69="INICIAL",'Ocorrências Mensais - FAT'!P47,IF(Dados!$D$69="1º IPCA",'Ocorrências Mensais - FAT'!Q47,IF(Dados!$D$69="2º IPCA",'Ocorrências Mensais - FAT'!R47,IF(Dados!$D$69="3º IPCA",'Ocorrências Mensais - FAT'!S47,IF(Dados!$D$69="4º IPCA",'Ocorrências Mensais - FAT'!T47,IF(Dados!$D$69="5º IPCA",'Ocorrências Mensais - FAT'!U47,))))))</f>
        <v>10.28</v>
      </c>
    </row>
    <row r="48" spans="1:22" s="440" customFormat="1" ht="15" customHeight="1">
      <c r="A48" s="295">
        <v>23</v>
      </c>
      <c r="B48" s="607" t="s">
        <v>125</v>
      </c>
      <c r="C48" s="608"/>
      <c r="D48" s="609"/>
      <c r="E48" s="297" t="s">
        <v>67</v>
      </c>
      <c r="F48" s="296" t="s">
        <v>126</v>
      </c>
      <c r="G48" s="496">
        <f t="shared" si="1"/>
        <v>1</v>
      </c>
      <c r="H48" s="497">
        <f t="shared" si="2"/>
        <v>12.3</v>
      </c>
      <c r="I48" s="610" t="str">
        <f t="shared" si="3"/>
        <v>Fornecimento igual ao estimado mensalmente</v>
      </c>
      <c r="J48" s="610"/>
      <c r="K48" s="610"/>
      <c r="L48" s="498">
        <f t="shared" si="4"/>
        <v>1</v>
      </c>
      <c r="M48" s="499">
        <f>Materiais!J31</f>
        <v>1</v>
      </c>
      <c r="N48" s="500" t="str">
        <f>Materiais!K31</f>
        <v>Mensal</v>
      </c>
      <c r="O48" s="501">
        <f t="shared" si="5"/>
        <v>1</v>
      </c>
      <c r="P48" s="299">
        <v>12.3</v>
      </c>
      <c r="Q48" s="399">
        <f>ROUND(IF(Dados!$J$56="SIM",P48*Dados!$N$56,P48),2)</f>
        <v>12.3</v>
      </c>
      <c r="R48" s="399">
        <f>ROUND(IF(Dados!$J$57="SIM",Q48*Dados!$N$57,Q48),2)</f>
        <v>12.3</v>
      </c>
      <c r="S48" s="399">
        <f>ROUND(IF(Dados!$J$58="SIM",R48*Dados!$N$58,R48),2)</f>
        <v>12.3</v>
      </c>
      <c r="T48" s="399">
        <f>ROUND(IF(Dados!$J$59="SIM",S48*Dados!$N$59,S48),2)</f>
        <v>12.3</v>
      </c>
      <c r="U48" s="502">
        <f>ROUND(IF(Dados!$J$60="SIM",T48*Dados!$N$60,T48),2)</f>
        <v>12.3</v>
      </c>
      <c r="V48" s="490">
        <f>IF(Dados!$D$69="INICIAL",'Ocorrências Mensais - FAT'!P48,IF(Dados!$D$69="1º IPCA",'Ocorrências Mensais - FAT'!Q48,IF(Dados!$D$69="2º IPCA",'Ocorrências Mensais - FAT'!R48,IF(Dados!$D$69="3º IPCA",'Ocorrências Mensais - FAT'!S48,IF(Dados!$D$69="4º IPCA",'Ocorrências Mensais - FAT'!T48,IF(Dados!$D$69="5º IPCA",'Ocorrências Mensais - FAT'!U48,))))))</f>
        <v>12.3</v>
      </c>
    </row>
    <row r="49" spans="1:22" s="440" customFormat="1" ht="15" customHeight="1">
      <c r="A49" s="295">
        <v>24</v>
      </c>
      <c r="B49" s="607" t="s">
        <v>127</v>
      </c>
      <c r="C49" s="608"/>
      <c r="D49" s="609"/>
      <c r="E49" s="297" t="s">
        <v>83</v>
      </c>
      <c r="F49" s="296" t="s">
        <v>128</v>
      </c>
      <c r="G49" s="496">
        <f t="shared" si="1"/>
        <v>2</v>
      </c>
      <c r="H49" s="497">
        <f t="shared" si="2"/>
        <v>43.88</v>
      </c>
      <c r="I49" s="610" t="str">
        <f t="shared" si="3"/>
        <v>Fornecimento igual ao estimado mensalmente</v>
      </c>
      <c r="J49" s="610"/>
      <c r="K49" s="610"/>
      <c r="L49" s="498">
        <f t="shared" si="4"/>
        <v>2</v>
      </c>
      <c r="M49" s="499">
        <f>Materiais!J32</f>
        <v>2</v>
      </c>
      <c r="N49" s="500" t="str">
        <f>Materiais!K32</f>
        <v>Mensal</v>
      </c>
      <c r="O49" s="501">
        <f t="shared" si="5"/>
        <v>1</v>
      </c>
      <c r="P49" s="299">
        <v>21.94</v>
      </c>
      <c r="Q49" s="399">
        <f>ROUND(IF(Dados!$J$56="SIM",P49*Dados!$N$56,P49),2)</f>
        <v>21.94</v>
      </c>
      <c r="R49" s="399">
        <f>ROUND(IF(Dados!$J$57="SIM",Q49*Dados!$N$57,Q49),2)</f>
        <v>21.94</v>
      </c>
      <c r="S49" s="399">
        <f>ROUND(IF(Dados!$J$58="SIM",R49*Dados!$N$58,R49),2)</f>
        <v>21.94</v>
      </c>
      <c r="T49" s="399">
        <f>ROUND(IF(Dados!$J$59="SIM",S49*Dados!$N$59,S49),2)</f>
        <v>21.94</v>
      </c>
      <c r="U49" s="502">
        <f>ROUND(IF(Dados!$J$60="SIM",T49*Dados!$N$60,T49),2)</f>
        <v>21.94</v>
      </c>
      <c r="V49" s="490">
        <f>IF(Dados!$D$69="INICIAL",'Ocorrências Mensais - FAT'!P49,IF(Dados!$D$69="1º IPCA",'Ocorrências Mensais - FAT'!Q49,IF(Dados!$D$69="2º IPCA",'Ocorrências Mensais - FAT'!R49,IF(Dados!$D$69="3º IPCA",'Ocorrências Mensais - FAT'!S49,IF(Dados!$D$69="4º IPCA",'Ocorrências Mensais - FAT'!T49,IF(Dados!$D$69="5º IPCA",'Ocorrências Mensais - FAT'!U49,))))))</f>
        <v>21.94</v>
      </c>
    </row>
    <row r="50" spans="1:22" s="440" customFormat="1" ht="15.75" customHeight="1">
      <c r="A50" s="295">
        <v>25</v>
      </c>
      <c r="B50" s="607" t="s">
        <v>129</v>
      </c>
      <c r="C50" s="608"/>
      <c r="D50" s="609"/>
      <c r="E50" s="297" t="s">
        <v>67</v>
      </c>
      <c r="F50" s="296" t="s">
        <v>130</v>
      </c>
      <c r="G50" s="496">
        <f t="shared" si="1"/>
        <v>3</v>
      </c>
      <c r="H50" s="497">
        <f t="shared" si="2"/>
        <v>19.049999999999997</v>
      </c>
      <c r="I50" s="610" t="str">
        <f t="shared" si="3"/>
        <v>Fornecimento igual ao estimado mensalmente</v>
      </c>
      <c r="J50" s="610"/>
      <c r="K50" s="610"/>
      <c r="L50" s="498">
        <f t="shared" si="4"/>
        <v>3</v>
      </c>
      <c r="M50" s="499">
        <f>Materiais!J33</f>
        <v>6</v>
      </c>
      <c r="N50" s="500" t="str">
        <f>Materiais!K33</f>
        <v>Bimestral</v>
      </c>
      <c r="O50" s="501">
        <f t="shared" si="5"/>
        <v>2</v>
      </c>
      <c r="P50" s="299">
        <v>6.35</v>
      </c>
      <c r="Q50" s="399">
        <f>ROUND(IF(Dados!$J$56="SIM",P50*Dados!$N$56,P50),2)</f>
        <v>6.35</v>
      </c>
      <c r="R50" s="399">
        <f>ROUND(IF(Dados!$J$57="SIM",Q50*Dados!$N$57,Q50),2)</f>
        <v>6.35</v>
      </c>
      <c r="S50" s="399">
        <f>ROUND(IF(Dados!$J$58="SIM",R50*Dados!$N$58,R50),2)</f>
        <v>6.35</v>
      </c>
      <c r="T50" s="399">
        <f>ROUND(IF(Dados!$J$59="SIM",S50*Dados!$N$59,S50),2)</f>
        <v>6.35</v>
      </c>
      <c r="U50" s="502">
        <f>ROUND(IF(Dados!$J$60="SIM",T50*Dados!$N$60,T50),2)</f>
        <v>6.35</v>
      </c>
      <c r="V50" s="490">
        <f>IF(Dados!$D$69="INICIAL",'Ocorrências Mensais - FAT'!P50,IF(Dados!$D$69="1º IPCA",'Ocorrências Mensais - FAT'!Q50,IF(Dados!$D$69="2º IPCA",'Ocorrências Mensais - FAT'!R50,IF(Dados!$D$69="3º IPCA",'Ocorrências Mensais - FAT'!S50,IF(Dados!$D$69="4º IPCA",'Ocorrências Mensais - FAT'!T50,IF(Dados!$D$69="5º IPCA",'Ocorrências Mensais - FAT'!U50,))))))</f>
        <v>6.35</v>
      </c>
    </row>
    <row r="51" spans="1:22" s="440" customFormat="1" ht="15" customHeight="1">
      <c r="A51" s="295">
        <v>26</v>
      </c>
      <c r="B51" s="607" t="s">
        <v>131</v>
      </c>
      <c r="C51" s="608"/>
      <c r="D51" s="609"/>
      <c r="E51" s="297" t="s">
        <v>132</v>
      </c>
      <c r="F51" s="296" t="s">
        <v>133</v>
      </c>
      <c r="G51" s="496">
        <f t="shared" si="1"/>
        <v>1</v>
      </c>
      <c r="H51" s="497">
        <f t="shared" si="2"/>
        <v>16.02</v>
      </c>
      <c r="I51" s="610" t="str">
        <f t="shared" si="3"/>
        <v>Fornecimento igual ao estimado mensalmente</v>
      </c>
      <c r="J51" s="610"/>
      <c r="K51" s="610"/>
      <c r="L51" s="498">
        <f t="shared" si="4"/>
        <v>1</v>
      </c>
      <c r="M51" s="499">
        <f>Materiais!J34</f>
        <v>1</v>
      </c>
      <c r="N51" s="500" t="str">
        <f>Materiais!K34</f>
        <v>Mensal</v>
      </c>
      <c r="O51" s="501">
        <f t="shared" si="5"/>
        <v>1</v>
      </c>
      <c r="P51" s="299">
        <v>16.02</v>
      </c>
      <c r="Q51" s="399">
        <f>ROUND(IF(Dados!$J$56="SIM",P51*Dados!$N$56,P51),2)</f>
        <v>16.02</v>
      </c>
      <c r="R51" s="399">
        <f>ROUND(IF(Dados!$J$57="SIM",Q51*Dados!$N$57,Q51),2)</f>
        <v>16.02</v>
      </c>
      <c r="S51" s="399">
        <f>ROUND(IF(Dados!$J$58="SIM",R51*Dados!$N$58,R51),2)</f>
        <v>16.02</v>
      </c>
      <c r="T51" s="399">
        <f>ROUND(IF(Dados!$J$59="SIM",S51*Dados!$N$59,S51),2)</f>
        <v>16.02</v>
      </c>
      <c r="U51" s="502">
        <f>ROUND(IF(Dados!$J$60="SIM",T51*Dados!$N$60,T51),2)</f>
        <v>16.02</v>
      </c>
      <c r="V51" s="490">
        <f>IF(Dados!$D$69="INICIAL",'Ocorrências Mensais - FAT'!P51,IF(Dados!$D$69="1º IPCA",'Ocorrências Mensais - FAT'!Q51,IF(Dados!$D$69="2º IPCA",'Ocorrências Mensais - FAT'!R51,IF(Dados!$D$69="3º IPCA",'Ocorrências Mensais - FAT'!S51,IF(Dados!$D$69="4º IPCA",'Ocorrências Mensais - FAT'!T51,IF(Dados!$D$69="5º IPCA",'Ocorrências Mensais - FAT'!U51,))))))</f>
        <v>16.02</v>
      </c>
    </row>
    <row r="52" spans="1:22" s="440" customFormat="1" ht="15" customHeight="1">
      <c r="A52" s="295">
        <v>27</v>
      </c>
      <c r="B52" s="607" t="s">
        <v>134</v>
      </c>
      <c r="C52" s="608"/>
      <c r="D52" s="609"/>
      <c r="E52" s="297" t="s">
        <v>132</v>
      </c>
      <c r="F52" s="296" t="s">
        <v>133</v>
      </c>
      <c r="G52" s="496">
        <f t="shared" si="1"/>
        <v>1</v>
      </c>
      <c r="H52" s="497">
        <f t="shared" si="2"/>
        <v>44.67</v>
      </c>
      <c r="I52" s="610" t="str">
        <f t="shared" si="3"/>
        <v>Fornecimento igual ao estimado mensalmente</v>
      </c>
      <c r="J52" s="610"/>
      <c r="K52" s="610"/>
      <c r="L52" s="498">
        <f t="shared" si="4"/>
        <v>1</v>
      </c>
      <c r="M52" s="499">
        <f>Materiais!J35</f>
        <v>1</v>
      </c>
      <c r="N52" s="500" t="str">
        <f>Materiais!K35</f>
        <v>Mensal</v>
      </c>
      <c r="O52" s="501">
        <f t="shared" si="5"/>
        <v>1</v>
      </c>
      <c r="P52" s="299">
        <v>44.67</v>
      </c>
      <c r="Q52" s="399">
        <f>ROUND(IF(Dados!$J$56="SIM",P52*Dados!$N$56,P52),2)</f>
        <v>44.67</v>
      </c>
      <c r="R52" s="399">
        <f>ROUND(IF(Dados!$J$57="SIM",Q52*Dados!$N$57,Q52),2)</f>
        <v>44.67</v>
      </c>
      <c r="S52" s="399">
        <f>ROUND(IF(Dados!$J$58="SIM",R52*Dados!$N$58,R52),2)</f>
        <v>44.67</v>
      </c>
      <c r="T52" s="399">
        <f>ROUND(IF(Dados!$J$59="SIM",S52*Dados!$N$59,S52),2)</f>
        <v>44.67</v>
      </c>
      <c r="U52" s="502">
        <f>ROUND(IF(Dados!$J$60="SIM",T52*Dados!$N$60,T52),2)</f>
        <v>44.67</v>
      </c>
      <c r="V52" s="490">
        <f>IF(Dados!$D$69="INICIAL",'Ocorrências Mensais - FAT'!P52,IF(Dados!$D$69="1º IPCA",'Ocorrências Mensais - FAT'!Q52,IF(Dados!$D$69="2º IPCA",'Ocorrências Mensais - FAT'!R52,IF(Dados!$D$69="3º IPCA",'Ocorrências Mensais - FAT'!S52,IF(Dados!$D$69="4º IPCA",'Ocorrências Mensais - FAT'!T52,IF(Dados!$D$69="5º IPCA",'Ocorrências Mensais - FAT'!U52,))))))</f>
        <v>44.67</v>
      </c>
    </row>
    <row r="53" spans="1:22" s="440" customFormat="1" ht="15" customHeight="1">
      <c r="A53" s="295">
        <v>28</v>
      </c>
      <c r="B53" s="607" t="s">
        <v>135</v>
      </c>
      <c r="C53" s="608"/>
      <c r="D53" s="609"/>
      <c r="E53" s="297" t="s">
        <v>67</v>
      </c>
      <c r="F53" s="296" t="s">
        <v>136</v>
      </c>
      <c r="G53" s="496">
        <f t="shared" si="1"/>
        <v>0.16666666666666666</v>
      </c>
      <c r="H53" s="497">
        <f t="shared" si="2"/>
        <v>4.3933333333333326</v>
      </c>
      <c r="I53" s="610" t="str">
        <f t="shared" si="3"/>
        <v>Fornecimento igual ao estimado mensalmente</v>
      </c>
      <c r="J53" s="610"/>
      <c r="K53" s="610"/>
      <c r="L53" s="498">
        <f t="shared" si="4"/>
        <v>0.16666666666666666</v>
      </c>
      <c r="M53" s="499">
        <f>Materiais!J36</f>
        <v>1</v>
      </c>
      <c r="N53" s="500" t="str">
        <f>Materiais!K36</f>
        <v>Semestral</v>
      </c>
      <c r="O53" s="501">
        <f t="shared" si="5"/>
        <v>6</v>
      </c>
      <c r="P53" s="299">
        <v>26.36</v>
      </c>
      <c r="Q53" s="399">
        <f>ROUND(IF(Dados!$J$56="SIM",P53*Dados!$N$56,P53),2)</f>
        <v>26.36</v>
      </c>
      <c r="R53" s="399">
        <f>ROUND(IF(Dados!$J$57="SIM",Q53*Dados!$N$57,Q53),2)</f>
        <v>26.36</v>
      </c>
      <c r="S53" s="399">
        <f>ROUND(IF(Dados!$J$58="SIM",R53*Dados!$N$58,R53),2)</f>
        <v>26.36</v>
      </c>
      <c r="T53" s="399">
        <f>ROUND(IF(Dados!$J$59="SIM",S53*Dados!$N$59,S53),2)</f>
        <v>26.36</v>
      </c>
      <c r="U53" s="502">
        <f>ROUND(IF(Dados!$J$60="SIM",T53*Dados!$N$60,T53),2)</f>
        <v>26.36</v>
      </c>
      <c r="V53" s="490">
        <f>IF(Dados!$D$69="INICIAL",'Ocorrências Mensais - FAT'!P53,IF(Dados!$D$69="1º IPCA",'Ocorrências Mensais - FAT'!Q53,IF(Dados!$D$69="2º IPCA",'Ocorrências Mensais - FAT'!R53,IF(Dados!$D$69="3º IPCA",'Ocorrências Mensais - FAT'!S53,IF(Dados!$D$69="4º IPCA",'Ocorrências Mensais - FAT'!T53,IF(Dados!$D$69="5º IPCA",'Ocorrências Mensais - FAT'!U53,))))))</f>
        <v>26.36</v>
      </c>
    </row>
    <row r="54" spans="1:22" s="440" customFormat="1" ht="15" customHeight="1">
      <c r="A54" s="295">
        <v>29</v>
      </c>
      <c r="B54" s="607" t="s">
        <v>137</v>
      </c>
      <c r="C54" s="608"/>
      <c r="D54" s="609"/>
      <c r="E54" s="297" t="s">
        <v>67</v>
      </c>
      <c r="F54" s="296" t="s">
        <v>136</v>
      </c>
      <c r="G54" s="496">
        <f t="shared" si="1"/>
        <v>0.16666666666666666</v>
      </c>
      <c r="H54" s="497">
        <f t="shared" si="2"/>
        <v>3.1166666666666663</v>
      </c>
      <c r="I54" s="610" t="str">
        <f t="shared" si="3"/>
        <v>Fornecimento igual ao estimado mensalmente</v>
      </c>
      <c r="J54" s="610"/>
      <c r="K54" s="610"/>
      <c r="L54" s="498">
        <f t="shared" si="4"/>
        <v>0.16666666666666666</v>
      </c>
      <c r="M54" s="499">
        <f>Materiais!J37</f>
        <v>1</v>
      </c>
      <c r="N54" s="500" t="str">
        <f>Materiais!K37</f>
        <v>Semestral</v>
      </c>
      <c r="O54" s="501">
        <f t="shared" si="5"/>
        <v>6</v>
      </c>
      <c r="P54" s="299">
        <v>18.7</v>
      </c>
      <c r="Q54" s="399">
        <f>ROUND(IF(Dados!$J$56="SIM",P54*Dados!$N$56,P54),2)</f>
        <v>18.7</v>
      </c>
      <c r="R54" s="399">
        <f>ROUND(IF(Dados!$J$57="SIM",Q54*Dados!$N$57,Q54),2)</f>
        <v>18.7</v>
      </c>
      <c r="S54" s="399">
        <f>ROUND(IF(Dados!$J$58="SIM",R54*Dados!$N$58,R54),2)</f>
        <v>18.7</v>
      </c>
      <c r="T54" s="399">
        <f>ROUND(IF(Dados!$J$59="SIM",S54*Dados!$N$59,S54),2)</f>
        <v>18.7</v>
      </c>
      <c r="U54" s="502">
        <f>ROUND(IF(Dados!$J$60="SIM",T54*Dados!$N$60,T54),2)</f>
        <v>18.7</v>
      </c>
      <c r="V54" s="490">
        <f>IF(Dados!$D$69="INICIAL",'Ocorrências Mensais - FAT'!P54,IF(Dados!$D$69="1º IPCA",'Ocorrências Mensais - FAT'!Q54,IF(Dados!$D$69="2º IPCA",'Ocorrências Mensais - FAT'!R54,IF(Dados!$D$69="3º IPCA",'Ocorrências Mensais - FAT'!S54,IF(Dados!$D$69="4º IPCA",'Ocorrências Mensais - FAT'!T54,IF(Dados!$D$69="5º IPCA",'Ocorrências Mensais - FAT'!U54,))))))</f>
        <v>18.7</v>
      </c>
    </row>
    <row r="55" spans="1:22" s="440" customFormat="1" ht="15" customHeight="1">
      <c r="A55" s="295">
        <v>30</v>
      </c>
      <c r="B55" s="607" t="s">
        <v>138</v>
      </c>
      <c r="C55" s="608"/>
      <c r="D55" s="609"/>
      <c r="E55" s="297" t="s">
        <v>67</v>
      </c>
      <c r="F55" s="296" t="s">
        <v>136</v>
      </c>
      <c r="G55" s="496">
        <f t="shared" si="1"/>
        <v>0.16666666666666666</v>
      </c>
      <c r="H55" s="497">
        <f t="shared" si="2"/>
        <v>1.3433333333333333</v>
      </c>
      <c r="I55" s="610" t="str">
        <f t="shared" si="3"/>
        <v>Fornecimento igual ao estimado mensalmente</v>
      </c>
      <c r="J55" s="610"/>
      <c r="K55" s="610"/>
      <c r="L55" s="498">
        <f t="shared" si="4"/>
        <v>0.16666666666666666</v>
      </c>
      <c r="M55" s="499">
        <f>Materiais!J38</f>
        <v>1</v>
      </c>
      <c r="N55" s="500" t="str">
        <f>Materiais!K38</f>
        <v>Semestral</v>
      </c>
      <c r="O55" s="501">
        <f t="shared" si="5"/>
        <v>6</v>
      </c>
      <c r="P55" s="299">
        <v>8.06</v>
      </c>
      <c r="Q55" s="399">
        <f>ROUND(IF(Dados!$J$56="SIM",P55*Dados!$N$56,P55),2)</f>
        <v>8.06</v>
      </c>
      <c r="R55" s="399">
        <f>ROUND(IF(Dados!$J$57="SIM",Q55*Dados!$N$57,Q55),2)</f>
        <v>8.06</v>
      </c>
      <c r="S55" s="399">
        <f>ROUND(IF(Dados!$J$58="SIM",R55*Dados!$N$58,R55),2)</f>
        <v>8.06</v>
      </c>
      <c r="T55" s="399">
        <f>ROUND(IF(Dados!$J$59="SIM",S55*Dados!$N$59,S55),2)</f>
        <v>8.06</v>
      </c>
      <c r="U55" s="502">
        <f>ROUND(IF(Dados!$J$60="SIM",T55*Dados!$N$60,T55),2)</f>
        <v>8.06</v>
      </c>
      <c r="V55" s="490">
        <f>IF(Dados!$D$69="INICIAL",'Ocorrências Mensais - FAT'!P55,IF(Dados!$D$69="1º IPCA",'Ocorrências Mensais - FAT'!Q55,IF(Dados!$D$69="2º IPCA",'Ocorrências Mensais - FAT'!R55,IF(Dados!$D$69="3º IPCA",'Ocorrências Mensais - FAT'!S55,IF(Dados!$D$69="4º IPCA",'Ocorrências Mensais - FAT'!T55,IF(Dados!$D$69="5º IPCA",'Ocorrências Mensais - FAT'!U55,))))))</f>
        <v>8.06</v>
      </c>
    </row>
    <row r="56" spans="1:22" ht="15" customHeight="1">
      <c r="A56" s="617" t="s">
        <v>139</v>
      </c>
      <c r="B56" s="617"/>
      <c r="C56" s="617"/>
      <c r="D56" s="617"/>
      <c r="E56" s="617"/>
      <c r="F56" s="617"/>
      <c r="G56" s="617"/>
      <c r="H56" s="503">
        <f>ROUND(SUM(H26:H55),2)</f>
        <v>601.32000000000005</v>
      </c>
      <c r="I56" s="313"/>
      <c r="J56" s="313"/>
      <c r="K56" s="440"/>
      <c r="L56" s="440"/>
      <c r="M56" s="440"/>
      <c r="N56" s="504"/>
      <c r="O56" s="282"/>
      <c r="P56" s="504"/>
    </row>
    <row r="57" spans="1:22" ht="15" customHeight="1">
      <c r="A57" s="618" t="s">
        <v>140</v>
      </c>
      <c r="B57" s="618"/>
      <c r="C57" s="618"/>
      <c r="D57" s="618"/>
      <c r="E57" s="618"/>
      <c r="F57" s="618"/>
      <c r="G57" s="505">
        <f>Dados!$G$43</f>
        <v>0.03</v>
      </c>
      <c r="H57" s="506">
        <f>ROUND((H56*G57),2)</f>
        <v>18.04</v>
      </c>
      <c r="I57" s="313"/>
      <c r="J57" s="313"/>
      <c r="K57" s="440"/>
      <c r="L57" s="440"/>
      <c r="M57" s="440"/>
      <c r="N57" s="504"/>
      <c r="O57" s="282"/>
      <c r="P57" s="504"/>
    </row>
    <row r="58" spans="1:22" ht="15" customHeight="1">
      <c r="A58" s="618" t="s">
        <v>141</v>
      </c>
      <c r="B58" s="618"/>
      <c r="C58" s="618"/>
      <c r="D58" s="618"/>
      <c r="E58" s="618"/>
      <c r="F58" s="618"/>
      <c r="G58" s="505">
        <f>Dados!$G$44</f>
        <v>6.7900000000000002E-2</v>
      </c>
      <c r="H58" s="506">
        <f>ROUND((SUM(H56:H57)*G58),2)</f>
        <v>42.05</v>
      </c>
      <c r="I58" s="313"/>
      <c r="J58" s="313"/>
      <c r="K58" s="440"/>
      <c r="L58" s="440"/>
      <c r="M58" s="440"/>
      <c r="N58" s="504"/>
      <c r="O58" s="282"/>
      <c r="P58" s="504"/>
    </row>
    <row r="59" spans="1:22" ht="15" customHeight="1">
      <c r="A59" s="618" t="s">
        <v>142</v>
      </c>
      <c r="B59" s="618"/>
      <c r="C59" s="618"/>
      <c r="D59" s="618"/>
      <c r="E59" s="618"/>
      <c r="F59" s="618"/>
      <c r="G59" s="505">
        <f>Dados!$G$55</f>
        <v>0.13250000000000001</v>
      </c>
      <c r="H59" s="506">
        <f>ROUND((H60*G59),2)</f>
        <v>101.02</v>
      </c>
      <c r="I59" s="313"/>
      <c r="J59" s="313"/>
      <c r="K59" s="440"/>
      <c r="L59" s="440"/>
      <c r="M59" s="440"/>
      <c r="N59" s="504"/>
      <c r="O59" s="282"/>
      <c r="P59" s="504"/>
    </row>
    <row r="60" spans="1:22" ht="15.75" customHeight="1">
      <c r="A60" s="619" t="s">
        <v>143</v>
      </c>
      <c r="B60" s="619"/>
      <c r="C60" s="619"/>
      <c r="D60" s="619"/>
      <c r="E60" s="619"/>
      <c r="F60" s="619"/>
      <c r="G60" s="619"/>
      <c r="H60" s="507">
        <f>ROUND((SUM(H56:H58)/(1-G59)),2)</f>
        <v>762.43</v>
      </c>
      <c r="I60" s="313"/>
      <c r="J60" s="313"/>
      <c r="K60" s="440"/>
      <c r="L60" s="440"/>
      <c r="M60" s="440"/>
      <c r="N60" s="504"/>
      <c r="O60" s="282"/>
      <c r="P60" s="504"/>
    </row>
    <row r="61" spans="1:22">
      <c r="A61" s="285"/>
      <c r="B61" s="282"/>
      <c r="C61" s="282"/>
      <c r="D61" s="282"/>
      <c r="E61" s="282"/>
      <c r="F61" s="282"/>
      <c r="G61" s="285"/>
      <c r="H61" s="282"/>
      <c r="I61" s="504"/>
      <c r="J61" s="504"/>
      <c r="K61" s="440"/>
      <c r="L61" s="440"/>
      <c r="M61" s="440"/>
      <c r="N61" s="282"/>
      <c r="O61" s="282"/>
      <c r="P61" s="282"/>
    </row>
    <row r="62" spans="1:22" s="440" customFormat="1" ht="40.5" customHeight="1">
      <c r="A62" s="602" t="s">
        <v>60</v>
      </c>
      <c r="B62" s="620" t="s">
        <v>144</v>
      </c>
      <c r="C62" s="620"/>
      <c r="D62" s="620"/>
      <c r="E62" s="620"/>
      <c r="F62" s="621" t="s">
        <v>62</v>
      </c>
      <c r="G62" s="621"/>
      <c r="H62" s="621"/>
      <c r="I62" s="605" t="s">
        <v>63</v>
      </c>
      <c r="J62" s="605"/>
      <c r="K62" s="605"/>
      <c r="L62" s="623" t="s">
        <v>64</v>
      </c>
      <c r="M62" s="623"/>
      <c r="N62" s="623"/>
      <c r="O62" s="623"/>
      <c r="P62" s="606" t="s">
        <v>65</v>
      </c>
      <c r="Q62" s="606"/>
      <c r="R62" s="606"/>
      <c r="S62" s="606"/>
      <c r="T62" s="606"/>
      <c r="U62" s="606"/>
    </row>
    <row r="63" spans="1:22" s="440" customFormat="1" ht="51" customHeight="1">
      <c r="A63" s="602"/>
      <c r="B63" s="600" t="s">
        <v>66</v>
      </c>
      <c r="C63" s="600"/>
      <c r="D63" s="600"/>
      <c r="E63" s="381" t="s">
        <v>67</v>
      </c>
      <c r="F63" s="381" t="s">
        <v>68</v>
      </c>
      <c r="G63" s="381" t="s">
        <v>69</v>
      </c>
      <c r="H63" s="493" t="s">
        <v>70</v>
      </c>
      <c r="I63" s="605"/>
      <c r="J63" s="605"/>
      <c r="K63" s="605"/>
      <c r="L63" s="508" t="s">
        <v>71</v>
      </c>
      <c r="M63" s="509" t="s">
        <v>72</v>
      </c>
      <c r="N63" s="509" t="s">
        <v>73</v>
      </c>
      <c r="O63" s="510" t="s">
        <v>74</v>
      </c>
      <c r="P63" s="495" t="s">
        <v>75</v>
      </c>
      <c r="Q63" s="381" t="s">
        <v>76</v>
      </c>
      <c r="R63" s="381" t="s">
        <v>77</v>
      </c>
      <c r="S63" s="381" t="s">
        <v>78</v>
      </c>
      <c r="T63" s="381" t="s">
        <v>79</v>
      </c>
      <c r="U63" s="493" t="s">
        <v>80</v>
      </c>
    </row>
    <row r="64" spans="1:22" s="440" customFormat="1">
      <c r="A64" s="323">
        <v>1</v>
      </c>
      <c r="B64" s="627" t="s">
        <v>145</v>
      </c>
      <c r="C64" s="628"/>
      <c r="D64" s="629"/>
      <c r="E64" s="325" t="s">
        <v>67</v>
      </c>
      <c r="F64" s="324" t="s">
        <v>146</v>
      </c>
      <c r="G64" s="496">
        <f t="shared" ref="G64:G69" si="6">IF($D$4="PLANILHA PARA LICITAÇÃO (PRECIFICAÇÃO)",L64,0)</f>
        <v>8.3333333333333329E-2</v>
      </c>
      <c r="H64" s="497">
        <f t="shared" ref="H64:H69" si="7">G64*P64</f>
        <v>0.73083333333333322</v>
      </c>
      <c r="I64" s="610" t="str">
        <f t="shared" ref="I64:I69" si="8">IF(G64&lt;L64,"Fornecimento inferior ao estimado mensalmente",IF(G64=L64,"Fornecimento igual ao estimado mensalmente",IF(G64&gt;L64,"Fornecimento superior ao estimado mensalmente",)))</f>
        <v>Fornecimento igual ao estimado mensalmente</v>
      </c>
      <c r="J64" s="610"/>
      <c r="K64" s="610"/>
      <c r="L64" s="511">
        <f t="shared" ref="L64:L69" si="9">M64/O64</f>
        <v>8.3333333333333329E-2</v>
      </c>
      <c r="M64" s="512">
        <f>Materiais!J45</f>
        <v>1</v>
      </c>
      <c r="N64" s="513" t="str">
        <f>Materiais!K45</f>
        <v>Anual</v>
      </c>
      <c r="O64" s="514">
        <f t="shared" ref="O64:O69" si="10">IF(N64="MENSAL",1,IF(N64="BIMESTRAL",2,IF(N64="TRIMESTRAL",3,IF(N64="QUADRIMESTRAL",4,IF(N64="SEMESTRAL",6,IF(N64="ANUAL",12,IF(N64="BIENAL",24,"")))))))</f>
        <v>12</v>
      </c>
      <c r="P64" s="326">
        <v>8.77</v>
      </c>
      <c r="Q64" s="399">
        <f>ROUND(IF(Dados!$J$56="SIM",P64*Dados!$N$56,P64),2)</f>
        <v>8.77</v>
      </c>
      <c r="R64" s="399">
        <f>ROUND(IF(Dados!$J$57="SIM",Q64*Dados!$N$57,Q64),2)</f>
        <v>8.77</v>
      </c>
      <c r="S64" s="399">
        <f>ROUND(IF(Dados!$J$58="SIM",R64*Dados!$N$58,R64),2)</f>
        <v>8.77</v>
      </c>
      <c r="T64" s="399">
        <f>ROUND(IF(Dados!$J$59="SIM",S64*Dados!$N$59,S64),2)</f>
        <v>8.77</v>
      </c>
      <c r="U64" s="502">
        <f>ROUND(IF(Dados!$J$60="SIM",T64*Dados!$N$60,T64),2)</f>
        <v>8.77</v>
      </c>
      <c r="V64" s="400">
        <f>IF(Dados!$D$69="INICIAL",'Ocorrências Mensais - FAT'!P64,IF(Dados!$D$69="1º IPCA",'Ocorrências Mensais - FAT'!Q64,IF(Dados!$D$69="2º IPCA",'Ocorrências Mensais - FAT'!R64,IF(Dados!$D$69="3º IPCA",'Ocorrências Mensais - FAT'!S64,IF(Dados!$D$69="4º IPCA",'Ocorrências Mensais - FAT'!T64,IF(Dados!$D$69="5º IPCA",'Ocorrências Mensais - FAT'!U64,))))))</f>
        <v>8.77</v>
      </c>
    </row>
    <row r="65" spans="1:23" s="440" customFormat="1" ht="14.25" customHeight="1">
      <c r="A65" s="323">
        <v>2</v>
      </c>
      <c r="B65" s="627" t="s">
        <v>147</v>
      </c>
      <c r="C65" s="628"/>
      <c r="D65" s="629"/>
      <c r="E65" s="325" t="s">
        <v>67</v>
      </c>
      <c r="F65" s="324" t="s">
        <v>95</v>
      </c>
      <c r="G65" s="496">
        <f t="shared" si="6"/>
        <v>3</v>
      </c>
      <c r="H65" s="497">
        <f t="shared" si="7"/>
        <v>6.99</v>
      </c>
      <c r="I65" s="610" t="str">
        <f t="shared" si="8"/>
        <v>Fornecimento igual ao estimado mensalmente</v>
      </c>
      <c r="J65" s="610"/>
      <c r="K65" s="610"/>
      <c r="L65" s="511">
        <f t="shared" si="9"/>
        <v>3</v>
      </c>
      <c r="M65" s="512">
        <f>Materiais!J46</f>
        <v>3</v>
      </c>
      <c r="N65" s="513" t="str">
        <f>Materiais!K46</f>
        <v>Mensal</v>
      </c>
      <c r="O65" s="514">
        <f t="shared" si="10"/>
        <v>1</v>
      </c>
      <c r="P65" s="326">
        <v>2.33</v>
      </c>
      <c r="Q65" s="399">
        <f>ROUND(IF(Dados!$J$56="SIM",P65*Dados!$N$56,P65),2)</f>
        <v>2.33</v>
      </c>
      <c r="R65" s="399">
        <f>ROUND(IF(Dados!$J$57="SIM",Q65*Dados!$N$57,Q65),2)</f>
        <v>2.33</v>
      </c>
      <c r="S65" s="399">
        <f>ROUND(IF(Dados!$J$58="SIM",R65*Dados!$N$58,R65),2)</f>
        <v>2.33</v>
      </c>
      <c r="T65" s="399">
        <f>ROUND(IF(Dados!$J$59="SIM",S65*Dados!$N$59,S65),2)</f>
        <v>2.33</v>
      </c>
      <c r="U65" s="502">
        <f>ROUND(IF(Dados!$J$60="SIM",T65*Dados!$N$60,T65),2)</f>
        <v>2.33</v>
      </c>
      <c r="V65" s="400">
        <f>IF(Dados!$D$69="INICIAL",'Ocorrências Mensais - FAT'!P65,IF(Dados!$D$69="1º IPCA",'Ocorrências Mensais - FAT'!Q65,IF(Dados!$D$69="2º IPCA",'Ocorrências Mensais - FAT'!R65,IF(Dados!$D$69="3º IPCA",'Ocorrências Mensais - FAT'!S65,IF(Dados!$D$69="4º IPCA",'Ocorrências Mensais - FAT'!T65,IF(Dados!$D$69="5º IPCA",'Ocorrências Mensais - FAT'!U65,))))))</f>
        <v>2.33</v>
      </c>
    </row>
    <row r="66" spans="1:23" s="440" customFormat="1">
      <c r="A66" s="323">
        <v>3</v>
      </c>
      <c r="B66" s="627" t="s">
        <v>98</v>
      </c>
      <c r="C66" s="628"/>
      <c r="D66" s="629"/>
      <c r="E66" s="325" t="s">
        <v>67</v>
      </c>
      <c r="F66" s="324" t="s">
        <v>99</v>
      </c>
      <c r="G66" s="496">
        <f t="shared" si="6"/>
        <v>4</v>
      </c>
      <c r="H66" s="497">
        <f t="shared" si="7"/>
        <v>7.68</v>
      </c>
      <c r="I66" s="610" t="str">
        <f t="shared" si="8"/>
        <v>Fornecimento igual ao estimado mensalmente</v>
      </c>
      <c r="J66" s="610"/>
      <c r="K66" s="610"/>
      <c r="L66" s="511">
        <f t="shared" si="9"/>
        <v>4</v>
      </c>
      <c r="M66" s="512">
        <f>Materiais!J47</f>
        <v>4</v>
      </c>
      <c r="N66" s="513" t="str">
        <f>Materiais!K47</f>
        <v>Mensal</v>
      </c>
      <c r="O66" s="514">
        <f t="shared" si="10"/>
        <v>1</v>
      </c>
      <c r="P66" s="326">
        <v>1.92</v>
      </c>
      <c r="Q66" s="399">
        <f>ROUND(IF(Dados!$J$56="SIM",P66*Dados!$N$56,P66),2)</f>
        <v>1.92</v>
      </c>
      <c r="R66" s="399">
        <f>ROUND(IF(Dados!$J$57="SIM",Q66*Dados!$N$57,Q66),2)</f>
        <v>1.92</v>
      </c>
      <c r="S66" s="399">
        <f>ROUND(IF(Dados!$J$58="SIM",R66*Dados!$N$58,R66),2)</f>
        <v>1.92</v>
      </c>
      <c r="T66" s="399">
        <f>ROUND(IF(Dados!$J$59="SIM",S66*Dados!$N$59,S66),2)</f>
        <v>1.92</v>
      </c>
      <c r="U66" s="502">
        <f>ROUND(IF(Dados!$J$60="SIM",T66*Dados!$N$60,T66),2)</f>
        <v>1.92</v>
      </c>
      <c r="V66" s="400">
        <f>IF(Dados!$D$69="INICIAL",'Ocorrências Mensais - FAT'!P66,IF(Dados!$D$69="1º IPCA",'Ocorrências Mensais - FAT'!Q66,IF(Dados!$D$69="2º IPCA",'Ocorrências Mensais - FAT'!R66,IF(Dados!$D$69="3º IPCA",'Ocorrências Mensais - FAT'!S66,IF(Dados!$D$69="4º IPCA",'Ocorrências Mensais - FAT'!T66,IF(Dados!$D$69="5º IPCA",'Ocorrências Mensais - FAT'!U66,))))))</f>
        <v>1.92</v>
      </c>
    </row>
    <row r="67" spans="1:23" s="440" customFormat="1">
      <c r="A67" s="323">
        <v>4</v>
      </c>
      <c r="B67" s="627" t="s">
        <v>148</v>
      </c>
      <c r="C67" s="628"/>
      <c r="D67" s="629"/>
      <c r="E67" s="325" t="s">
        <v>103</v>
      </c>
      <c r="F67" s="324" t="s">
        <v>149</v>
      </c>
      <c r="G67" s="496">
        <f t="shared" si="6"/>
        <v>1</v>
      </c>
      <c r="H67" s="497">
        <f t="shared" si="7"/>
        <v>3.61</v>
      </c>
      <c r="I67" s="610" t="str">
        <f t="shared" si="8"/>
        <v>Fornecimento igual ao estimado mensalmente</v>
      </c>
      <c r="J67" s="610"/>
      <c r="K67" s="610"/>
      <c r="L67" s="511">
        <f t="shared" si="9"/>
        <v>1</v>
      </c>
      <c r="M67" s="512">
        <f>Materiais!J48</f>
        <v>1</v>
      </c>
      <c r="N67" s="513" t="str">
        <f>Materiais!K48</f>
        <v>Mensal</v>
      </c>
      <c r="O67" s="514">
        <f t="shared" si="10"/>
        <v>1</v>
      </c>
      <c r="P67" s="326">
        <v>3.61</v>
      </c>
      <c r="Q67" s="399">
        <f>ROUND(IF(Dados!$J$56="SIM",P67*Dados!$N$56,P67),2)</f>
        <v>3.61</v>
      </c>
      <c r="R67" s="399">
        <f>ROUND(IF(Dados!$J$57="SIM",Q67*Dados!$N$57,Q67),2)</f>
        <v>3.61</v>
      </c>
      <c r="S67" s="399">
        <f>ROUND(IF(Dados!$J$58="SIM",R67*Dados!$N$58,R67),2)</f>
        <v>3.61</v>
      </c>
      <c r="T67" s="399">
        <f>ROUND(IF(Dados!$J$59="SIM",S67*Dados!$N$59,S67),2)</f>
        <v>3.61</v>
      </c>
      <c r="U67" s="502">
        <f>ROUND(IF(Dados!$J$60="SIM",T67*Dados!$N$60,T67),2)</f>
        <v>3.61</v>
      </c>
      <c r="V67" s="400">
        <f>IF(Dados!$D$69="INICIAL",'Ocorrências Mensais - FAT'!P67,IF(Dados!$D$69="1º IPCA",'Ocorrências Mensais - FAT'!Q67,IF(Dados!$D$69="2º IPCA",'Ocorrências Mensais - FAT'!R67,IF(Dados!$D$69="3º IPCA",'Ocorrências Mensais - FAT'!S67,IF(Dados!$D$69="4º IPCA",'Ocorrências Mensais - FAT'!T67,IF(Dados!$D$69="5º IPCA",'Ocorrências Mensais - FAT'!U67,))))))</f>
        <v>3.61</v>
      </c>
    </row>
    <row r="68" spans="1:23" s="440" customFormat="1">
      <c r="A68" s="323">
        <v>5</v>
      </c>
      <c r="B68" s="627" t="s">
        <v>150</v>
      </c>
      <c r="C68" s="628"/>
      <c r="D68" s="629"/>
      <c r="E68" s="325" t="s">
        <v>67</v>
      </c>
      <c r="F68" s="324" t="s">
        <v>95</v>
      </c>
      <c r="G68" s="496">
        <f t="shared" si="6"/>
        <v>2</v>
      </c>
      <c r="H68" s="497">
        <f t="shared" si="7"/>
        <v>7.16</v>
      </c>
      <c r="I68" s="610" t="str">
        <f t="shared" si="8"/>
        <v>Fornecimento igual ao estimado mensalmente</v>
      </c>
      <c r="J68" s="610"/>
      <c r="K68" s="610"/>
      <c r="L68" s="511">
        <f t="shared" si="9"/>
        <v>2</v>
      </c>
      <c r="M68" s="512">
        <f>Materiais!J49</f>
        <v>2</v>
      </c>
      <c r="N68" s="513" t="str">
        <f>Materiais!K49</f>
        <v>Mensal</v>
      </c>
      <c r="O68" s="514">
        <f t="shared" si="10"/>
        <v>1</v>
      </c>
      <c r="P68" s="326">
        <v>3.58</v>
      </c>
      <c r="Q68" s="399">
        <f>ROUND(IF(Dados!$J$56="SIM",P68*Dados!$N$56,P68),2)</f>
        <v>3.58</v>
      </c>
      <c r="R68" s="399">
        <f>ROUND(IF(Dados!$J$57="SIM",Q68*Dados!$N$57,Q68),2)</f>
        <v>3.58</v>
      </c>
      <c r="S68" s="399">
        <f>ROUND(IF(Dados!$J$58="SIM",R68*Dados!$N$58,R68),2)</f>
        <v>3.58</v>
      </c>
      <c r="T68" s="399">
        <f>ROUND(IF(Dados!$J$59="SIM",S68*Dados!$N$59,S68),2)</f>
        <v>3.58</v>
      </c>
      <c r="U68" s="502">
        <f>ROUND(IF(Dados!$J$60="SIM",T68*Dados!$N$60,T68),2)</f>
        <v>3.58</v>
      </c>
      <c r="V68" s="400">
        <f>IF(Dados!$D$69="INICIAL",'Ocorrências Mensais - FAT'!P68,IF(Dados!$D$69="1º IPCA",'Ocorrências Mensais - FAT'!Q68,IF(Dados!$D$69="2º IPCA",'Ocorrências Mensais - FAT'!R68,IF(Dados!$D$69="3º IPCA",'Ocorrências Mensais - FAT'!S68,IF(Dados!$D$69="4º IPCA",'Ocorrências Mensais - FAT'!T68,IF(Dados!$D$69="5º IPCA",'Ocorrências Mensais - FAT'!U68,))))))</f>
        <v>3.58</v>
      </c>
    </row>
    <row r="69" spans="1:23" s="440" customFormat="1" ht="15.75" thickBot="1">
      <c r="A69" s="323">
        <v>6</v>
      </c>
      <c r="B69" s="624" t="s">
        <v>151</v>
      </c>
      <c r="C69" s="625"/>
      <c r="D69" s="626"/>
      <c r="E69" s="325" t="s">
        <v>67</v>
      </c>
      <c r="F69" s="324" t="s">
        <v>101</v>
      </c>
      <c r="G69" s="496">
        <f t="shared" si="6"/>
        <v>2</v>
      </c>
      <c r="H69" s="497">
        <f t="shared" si="7"/>
        <v>9.26</v>
      </c>
      <c r="I69" s="610" t="str">
        <f t="shared" si="8"/>
        <v>Fornecimento igual ao estimado mensalmente</v>
      </c>
      <c r="J69" s="610"/>
      <c r="K69" s="610"/>
      <c r="L69" s="511">
        <f t="shared" si="9"/>
        <v>2</v>
      </c>
      <c r="M69" s="512">
        <f>Materiais!J50</f>
        <v>4</v>
      </c>
      <c r="N69" s="513" t="str">
        <f>Materiais!K50</f>
        <v>Bimestral</v>
      </c>
      <c r="O69" s="514">
        <f t="shared" si="10"/>
        <v>2</v>
      </c>
      <c r="P69" s="326">
        <v>4.63</v>
      </c>
      <c r="Q69" s="399">
        <f>ROUND(IF(Dados!$J$56="SIM",P69*Dados!$N$56,P69),2)</f>
        <v>4.63</v>
      </c>
      <c r="R69" s="399">
        <f>ROUND(IF(Dados!$J$57="SIM",Q69*Dados!$N$57,Q69),2)</f>
        <v>4.63</v>
      </c>
      <c r="S69" s="399">
        <f>ROUND(IF(Dados!$J$58="SIM",R69*Dados!$N$58,R69),2)</f>
        <v>4.63</v>
      </c>
      <c r="T69" s="399">
        <f>ROUND(IF(Dados!$J$59="SIM",S69*Dados!$N$59,S69),2)</f>
        <v>4.63</v>
      </c>
      <c r="U69" s="502">
        <f>ROUND(IF(Dados!$J$60="SIM",T69*Dados!$N$60,T69),2)</f>
        <v>4.63</v>
      </c>
      <c r="V69" s="400">
        <f>IF(Dados!$D$69="INICIAL",'Ocorrências Mensais - FAT'!P69,IF(Dados!$D$69="1º IPCA",'Ocorrências Mensais - FAT'!Q69,IF(Dados!$D$69="2º IPCA",'Ocorrências Mensais - FAT'!R69,IF(Dados!$D$69="3º IPCA",'Ocorrências Mensais - FAT'!S69,IF(Dados!$D$69="4º IPCA",'Ocorrências Mensais - FAT'!T69,IF(Dados!$D$69="5º IPCA",'Ocorrências Mensais - FAT'!U69,))))))</f>
        <v>4.63</v>
      </c>
    </row>
    <row r="70" spans="1:23" ht="15" customHeight="1">
      <c r="A70" s="602" t="s">
        <v>139</v>
      </c>
      <c r="B70" s="602"/>
      <c r="C70" s="602"/>
      <c r="D70" s="602"/>
      <c r="E70" s="602"/>
      <c r="F70" s="602"/>
      <c r="G70" s="602"/>
      <c r="H70" s="515">
        <f>SUM(H64:H69)</f>
        <v>35.430833333333332</v>
      </c>
      <c r="I70" s="313"/>
      <c r="J70" s="313"/>
      <c r="K70" s="440"/>
      <c r="L70" s="504"/>
      <c r="M70" s="282"/>
      <c r="N70" s="504"/>
      <c r="P70" s="400"/>
      <c r="Q70" s="400"/>
      <c r="V70" s="440"/>
      <c r="W70" s="440"/>
    </row>
    <row r="71" spans="1:23" ht="15" customHeight="1">
      <c r="A71" s="618" t="s">
        <v>140</v>
      </c>
      <c r="B71" s="618"/>
      <c r="C71" s="618"/>
      <c r="D71" s="618"/>
      <c r="E71" s="618"/>
      <c r="F71" s="618"/>
      <c r="G71" s="505">
        <f>Dados!$G$43</f>
        <v>0.03</v>
      </c>
      <c r="H71" s="506">
        <f>ROUND((H70*G71),2)</f>
        <v>1.06</v>
      </c>
      <c r="I71" s="504"/>
      <c r="J71" s="504"/>
      <c r="K71" s="440"/>
      <c r="L71" s="504"/>
      <c r="M71" s="504"/>
      <c r="N71" s="504"/>
      <c r="P71" s="400"/>
      <c r="Q71" s="400"/>
      <c r="V71" s="440"/>
      <c r="W71" s="440"/>
    </row>
    <row r="72" spans="1:23" ht="15" customHeight="1">
      <c r="A72" s="618" t="s">
        <v>141</v>
      </c>
      <c r="B72" s="618"/>
      <c r="C72" s="618"/>
      <c r="D72" s="618"/>
      <c r="E72" s="618"/>
      <c r="F72" s="618"/>
      <c r="G72" s="505">
        <f>Dados!$G$44</f>
        <v>6.7900000000000002E-2</v>
      </c>
      <c r="H72" s="506">
        <f>ROUND((SUM(H70:H71)*G72),2)</f>
        <v>2.48</v>
      </c>
      <c r="I72" s="504"/>
      <c r="J72" s="504"/>
      <c r="K72" s="440"/>
      <c r="L72" s="504"/>
      <c r="M72" s="504"/>
      <c r="N72" s="504"/>
      <c r="P72" s="400"/>
      <c r="Q72" s="400"/>
      <c r="V72" s="440"/>
      <c r="W72" s="440"/>
    </row>
    <row r="73" spans="1:23" ht="15" customHeight="1">
      <c r="A73" s="618" t="s">
        <v>142</v>
      </c>
      <c r="B73" s="618"/>
      <c r="C73" s="618"/>
      <c r="D73" s="618"/>
      <c r="E73" s="618"/>
      <c r="F73" s="618"/>
      <c r="G73" s="505">
        <f>Dados!$G$55</f>
        <v>0.13250000000000001</v>
      </c>
      <c r="H73" s="506">
        <f>ROUND((H74*G73),2)</f>
        <v>5.95</v>
      </c>
      <c r="I73" s="504"/>
      <c r="J73" s="504"/>
      <c r="K73" s="440"/>
      <c r="L73" s="504"/>
      <c r="M73" s="504"/>
      <c r="N73" s="504"/>
      <c r="P73" s="400"/>
      <c r="Q73" s="400"/>
      <c r="V73" s="440"/>
      <c r="W73" s="440"/>
    </row>
    <row r="74" spans="1:23" ht="15.75" customHeight="1">
      <c r="A74" s="619" t="s">
        <v>152</v>
      </c>
      <c r="B74" s="619"/>
      <c r="C74" s="619"/>
      <c r="D74" s="619"/>
      <c r="E74" s="619"/>
      <c r="F74" s="619"/>
      <c r="G74" s="619"/>
      <c r="H74" s="507">
        <f>ROUND((SUM(H70:H72)/(1-G73)),2)</f>
        <v>44.92</v>
      </c>
      <c r="I74" s="504"/>
      <c r="J74" s="504"/>
      <c r="K74" s="440"/>
      <c r="L74" s="504"/>
      <c r="M74" s="504"/>
      <c r="N74" s="504"/>
      <c r="P74" s="400"/>
      <c r="Q74" s="400"/>
      <c r="V74" s="440"/>
      <c r="W74" s="440"/>
    </row>
    <row r="75" spans="1:23">
      <c r="A75" s="285"/>
      <c r="B75" s="282"/>
      <c r="C75" s="282"/>
      <c r="D75" s="282"/>
      <c r="E75" s="282"/>
      <c r="F75" s="282"/>
      <c r="G75" s="285"/>
      <c r="H75" s="282"/>
      <c r="I75" s="504"/>
      <c r="J75" s="504"/>
      <c r="K75" s="440"/>
      <c r="L75" s="504"/>
      <c r="M75" s="504"/>
      <c r="N75" s="504"/>
      <c r="P75" s="400"/>
      <c r="Q75" s="400"/>
      <c r="V75" s="440"/>
      <c r="W75" s="440"/>
    </row>
    <row r="76" spans="1:23">
      <c r="A76" s="285"/>
      <c r="B76" s="282"/>
      <c r="C76" s="282"/>
      <c r="D76" s="282"/>
      <c r="E76" s="282"/>
      <c r="F76" s="282"/>
      <c r="G76" s="285"/>
      <c r="H76" s="282"/>
      <c r="I76" s="504"/>
      <c r="J76" s="504"/>
      <c r="K76" s="440"/>
      <c r="L76" s="504"/>
      <c r="M76" s="504"/>
      <c r="N76" s="504"/>
      <c r="P76" s="400"/>
      <c r="Q76" s="400"/>
      <c r="V76" s="440"/>
    </row>
    <row r="77" spans="1:23" hidden="1"/>
    <row r="78" spans="1:23" hidden="1">
      <c r="B78" s="622" t="s">
        <v>153</v>
      </c>
      <c r="C78" s="622"/>
    </row>
    <row r="79" spans="1:23" hidden="1">
      <c r="B79" s="516" t="s">
        <v>154</v>
      </c>
      <c r="C79" s="517">
        <v>22</v>
      </c>
      <c r="D79" s="440" t="s">
        <v>155</v>
      </c>
    </row>
    <row r="80" spans="1:23" hidden="1">
      <c r="B80" s="516" t="s">
        <v>5</v>
      </c>
      <c r="C80" s="518">
        <v>30</v>
      </c>
      <c r="D80" s="440" t="s">
        <v>156</v>
      </c>
    </row>
    <row r="81" spans="2:4" hidden="1">
      <c r="B81" s="516" t="s">
        <v>157</v>
      </c>
      <c r="C81" s="518" t="s">
        <v>158</v>
      </c>
      <c r="D81" s="440" t="s">
        <v>159</v>
      </c>
    </row>
    <row r="82" spans="2:4" hidden="1"/>
    <row r="83" spans="2:4" hidden="1">
      <c r="B83" s="516" t="s">
        <v>160</v>
      </c>
      <c r="C83" s="516" t="s">
        <v>161</v>
      </c>
    </row>
    <row r="84" spans="2:4" hidden="1">
      <c r="B84" s="516">
        <v>220</v>
      </c>
      <c r="C84" s="516">
        <v>8.8000000000000007</v>
      </c>
    </row>
    <row r="85" spans="2:4" hidden="1">
      <c r="B85" s="516">
        <v>200</v>
      </c>
      <c r="C85" s="516">
        <v>8</v>
      </c>
    </row>
    <row r="86" spans="2:4" hidden="1">
      <c r="B86" s="516">
        <v>180</v>
      </c>
      <c r="C86" s="516">
        <v>7.2</v>
      </c>
    </row>
    <row r="87" spans="2:4" hidden="1">
      <c r="B87" s="516">
        <v>150</v>
      </c>
      <c r="C87" s="516">
        <v>6</v>
      </c>
    </row>
    <row r="88" spans="2:4" hidden="1">
      <c r="B88" s="516">
        <v>120</v>
      </c>
      <c r="C88" s="516">
        <v>4.8</v>
      </c>
    </row>
    <row r="89" spans="2:4" hidden="1">
      <c r="B89" s="516">
        <v>100</v>
      </c>
      <c r="C89" s="516">
        <v>4</v>
      </c>
    </row>
    <row r="90" spans="2:4" hidden="1">
      <c r="B90" s="516">
        <v>75</v>
      </c>
      <c r="C90" s="516">
        <v>3</v>
      </c>
    </row>
    <row r="91" spans="2:4" hidden="1"/>
    <row r="92" spans="2:4" hidden="1">
      <c r="B92" s="516" t="s">
        <v>162</v>
      </c>
    </row>
    <row r="93" spans="2:4" hidden="1">
      <c r="B93" s="519">
        <v>0</v>
      </c>
    </row>
    <row r="94" spans="2:4" hidden="1">
      <c r="B94" s="519">
        <v>1</v>
      </c>
    </row>
    <row r="95" spans="2:4" hidden="1">
      <c r="B95" s="519">
        <v>2</v>
      </c>
    </row>
    <row r="96" spans="2:4" hidden="1"/>
  </sheetData>
  <mergeCells count="124">
    <mergeCell ref="A70:G70"/>
    <mergeCell ref="A71:F71"/>
    <mergeCell ref="A72:F72"/>
    <mergeCell ref="A73:F73"/>
    <mergeCell ref="A74:G74"/>
    <mergeCell ref="B78:C78"/>
    <mergeCell ref="L62:O62"/>
    <mergeCell ref="P62:U62"/>
    <mergeCell ref="B63:D63"/>
    <mergeCell ref="I64:K64"/>
    <mergeCell ref="I65:K65"/>
    <mergeCell ref="I66:K66"/>
    <mergeCell ref="I67:K67"/>
    <mergeCell ref="I68:K68"/>
    <mergeCell ref="B69:D69"/>
    <mergeCell ref="I69:K69"/>
    <mergeCell ref="B66:D66"/>
    <mergeCell ref="B67:D67"/>
    <mergeCell ref="B64:D64"/>
    <mergeCell ref="B65:D65"/>
    <mergeCell ref="B68:D68"/>
    <mergeCell ref="A56:G56"/>
    <mergeCell ref="A57:F57"/>
    <mergeCell ref="A58:F58"/>
    <mergeCell ref="A59:F59"/>
    <mergeCell ref="A60:G60"/>
    <mergeCell ref="A62:A63"/>
    <mergeCell ref="B62:E62"/>
    <mergeCell ref="F62:H62"/>
    <mergeCell ref="I62:K63"/>
    <mergeCell ref="B51:D51"/>
    <mergeCell ref="I51:K51"/>
    <mergeCell ref="B52:D52"/>
    <mergeCell ref="I52:K52"/>
    <mergeCell ref="B53:D53"/>
    <mergeCell ref="I53:K53"/>
    <mergeCell ref="B54:D54"/>
    <mergeCell ref="I54:K54"/>
    <mergeCell ref="B55:D55"/>
    <mergeCell ref="I55:K55"/>
    <mergeCell ref="B46:D46"/>
    <mergeCell ref="I46:K46"/>
    <mergeCell ref="B47:D47"/>
    <mergeCell ref="I47:K47"/>
    <mergeCell ref="B48:D48"/>
    <mergeCell ref="I48:K48"/>
    <mergeCell ref="B49:D49"/>
    <mergeCell ref="I49:K49"/>
    <mergeCell ref="B50:D50"/>
    <mergeCell ref="I50:K50"/>
    <mergeCell ref="B41:D41"/>
    <mergeCell ref="I41:K41"/>
    <mergeCell ref="B42:D42"/>
    <mergeCell ref="I42:K42"/>
    <mergeCell ref="I43:K43"/>
    <mergeCell ref="B44:D44"/>
    <mergeCell ref="I44:K44"/>
    <mergeCell ref="B45:D45"/>
    <mergeCell ref="I45:K45"/>
    <mergeCell ref="B43:D43"/>
    <mergeCell ref="B36:D36"/>
    <mergeCell ref="I36:K36"/>
    <mergeCell ref="B37:D37"/>
    <mergeCell ref="I37:K37"/>
    <mergeCell ref="B38:D38"/>
    <mergeCell ref="I38:K38"/>
    <mergeCell ref="B39:D39"/>
    <mergeCell ref="I39:K39"/>
    <mergeCell ref="B40:D40"/>
    <mergeCell ref="I40:K40"/>
    <mergeCell ref="B31:D31"/>
    <mergeCell ref="I31:K31"/>
    <mergeCell ref="B32:D32"/>
    <mergeCell ref="I32:K32"/>
    <mergeCell ref="B33:D33"/>
    <mergeCell ref="I33:K33"/>
    <mergeCell ref="B34:D34"/>
    <mergeCell ref="I34:K34"/>
    <mergeCell ref="B35:D35"/>
    <mergeCell ref="I35:K35"/>
    <mergeCell ref="B26:D26"/>
    <mergeCell ref="I26:K26"/>
    <mergeCell ref="B27:D27"/>
    <mergeCell ref="I27:K27"/>
    <mergeCell ref="B28:D28"/>
    <mergeCell ref="I28:K28"/>
    <mergeCell ref="B29:D29"/>
    <mergeCell ref="I29:K29"/>
    <mergeCell ref="B30:D30"/>
    <mergeCell ref="I30:K30"/>
    <mergeCell ref="T7:W9"/>
    <mergeCell ref="A15:G15"/>
    <mergeCell ref="I15:J15"/>
    <mergeCell ref="A18:B19"/>
    <mergeCell ref="A20:F21"/>
    <mergeCell ref="A24:A25"/>
    <mergeCell ref="B24:E24"/>
    <mergeCell ref="F24:H24"/>
    <mergeCell ref="I24:K25"/>
    <mergeCell ref="L24:O24"/>
    <mergeCell ref="P24:U24"/>
    <mergeCell ref="B25:D25"/>
    <mergeCell ref="C2:S2"/>
    <mergeCell ref="C3:S3"/>
    <mergeCell ref="A4:C4"/>
    <mergeCell ref="D4:E4"/>
    <mergeCell ref="A5:C5"/>
    <mergeCell ref="A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R7:R9"/>
    <mergeCell ref="S7:S9"/>
  </mergeCells>
  <conditionalFormatting sqref="I26:I55">
    <cfRule type="containsText" dxfId="3" priority="2" operator="containsText" text="inferior">
      <formula>NOT(ISERROR(SEARCH("inferior",I26)))</formula>
    </cfRule>
    <cfRule type="containsText" dxfId="2" priority="3" operator="containsText" text="superior">
      <formula>NOT(ISERROR(SEARCH("superior",I26)))</formula>
    </cfRule>
  </conditionalFormatting>
  <conditionalFormatting sqref="I64:I69">
    <cfRule type="containsText" dxfId="1" priority="4" operator="containsText" text="inferior">
      <formula>NOT(ISERROR(SEARCH("inferior",I64)))</formula>
    </cfRule>
    <cfRule type="containsText" dxfId="0" priority="5" operator="containsText" text="superior">
      <formula>NOT(ISERROR(SEARCH("superior",I64)))</formula>
    </cfRule>
  </conditionalFormatting>
  <dataValidations count="6">
    <dataValidation type="list" allowBlank="1" showInputMessage="1" showErrorMessage="1" sqref="N64:N69 N26:N55" xr:uid="{00000000-0002-0000-0000-000000000000}">
      <formula1>"Mensal,Bimestral,Trimestral,Quadrimestral,Semestral,Anual,Bienal"</formula1>
      <formula2>0</formula2>
    </dataValidation>
    <dataValidation type="list" allowBlank="1" showInputMessage="1" showErrorMessage="1" sqref="C19" xr:uid="{00000000-0002-0000-0000-000001000000}">
      <formula1>$B$84:$B$90</formula1>
      <formula2>0</formula2>
    </dataValidation>
    <dataValidation type="list" allowBlank="1" showInputMessage="1" showErrorMessage="1" sqref="D4:E4" xr:uid="{00000000-0002-0000-0000-000002000000}">
      <formula1>"PLANILHA PARA LICITAÇÃO (PRECIFICAÇÃO),PLANILHA PARA FATURAMENTO"</formula1>
      <formula2>0</formula2>
    </dataValidation>
    <dataValidation type="list" allowBlank="1" showInputMessage="1" showErrorMessage="1" sqref="D5" xr:uid="{00000000-0002-0000-0000-000003000000}">
      <formula1>$B$79:$B$81</formula1>
      <formula2>0</formula2>
    </dataValidation>
    <dataValidation type="list" allowBlank="1" showInputMessage="1" showErrorMessage="1" sqref="E11:E14" xr:uid="{00000000-0002-0000-0000-000004000000}">
      <formula1>"SIM,NÃO"</formula1>
      <formula2>0</formula2>
    </dataValidation>
    <dataValidation type="list" allowBlank="1" showInputMessage="1" showErrorMessage="1" sqref="D11:D14" xr:uid="{00000000-0002-0000-0000-000005000000}">
      <formula1>$B$93:$B$94</formula1>
      <formula2>0</formula2>
    </dataValidation>
  </dataValidation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J47"/>
  <sheetViews>
    <sheetView showGridLines="0" zoomScaleNormal="100" workbookViewId="0">
      <selection activeCell="F23" sqref="F23"/>
    </sheetView>
  </sheetViews>
  <sheetFormatPr defaultColWidth="9.140625" defaultRowHeight="15"/>
  <cols>
    <col min="1" max="1" width="10.5703125" style="18" customWidth="1"/>
    <col min="2" max="2" width="27.7109375" style="18" customWidth="1"/>
    <col min="3" max="3" width="14.42578125" style="18" customWidth="1"/>
    <col min="4" max="5" width="15" style="18" customWidth="1"/>
    <col min="6" max="6" width="16.7109375" style="192" customWidth="1"/>
    <col min="7" max="8" width="13.140625" style="192" customWidth="1"/>
    <col min="9" max="10" width="12.5703125" style="192" customWidth="1"/>
    <col min="11" max="257" width="9.140625" style="18"/>
    <col min="258" max="258" width="10.5703125" style="18" customWidth="1"/>
    <col min="259" max="259" width="27.7109375" style="18" customWidth="1"/>
    <col min="260" max="260" width="14.42578125" style="18" customWidth="1"/>
    <col min="261" max="262" width="15" style="18" customWidth="1"/>
    <col min="263" max="263" width="16.7109375" style="18" customWidth="1"/>
    <col min="264" max="264" width="13.140625" style="18" customWidth="1"/>
    <col min="265" max="266" width="12.5703125" style="18" customWidth="1"/>
    <col min="267" max="513" width="9.140625" style="18"/>
    <col min="514" max="514" width="10.5703125" style="18" customWidth="1"/>
    <col min="515" max="515" width="27.7109375" style="18" customWidth="1"/>
    <col min="516" max="516" width="14.42578125" style="18" customWidth="1"/>
    <col min="517" max="518" width="15" style="18" customWidth="1"/>
    <col min="519" max="519" width="16.7109375" style="18" customWidth="1"/>
    <col min="520" max="520" width="13.140625" style="18" customWidth="1"/>
    <col min="521" max="522" width="12.5703125" style="18" customWidth="1"/>
    <col min="523" max="769" width="9.140625" style="18"/>
    <col min="770" max="770" width="10.5703125" style="18" customWidth="1"/>
    <col min="771" max="771" width="27.7109375" style="18" customWidth="1"/>
    <col min="772" max="772" width="14.42578125" style="18" customWidth="1"/>
    <col min="773" max="774" width="15" style="18" customWidth="1"/>
    <col min="775" max="775" width="16.7109375" style="18" customWidth="1"/>
    <col min="776" max="776" width="13.140625" style="18" customWidth="1"/>
    <col min="777" max="778" width="12.5703125" style="18" customWidth="1"/>
    <col min="779" max="1024" width="9.140625" style="18"/>
  </cols>
  <sheetData>
    <row r="1" spans="1:10">
      <c r="A1" s="193"/>
      <c r="B1" s="15" t="str">
        <f>INSTRUÇÕES!B1</f>
        <v>Tribunal Regional Federal da 6ª Região</v>
      </c>
      <c r="C1" s="194"/>
      <c r="D1" s="194"/>
      <c r="E1" s="194"/>
      <c r="F1" s="195"/>
      <c r="G1" s="196"/>
      <c r="H1" s="196"/>
      <c r="I1" s="195"/>
      <c r="J1" s="197"/>
    </row>
    <row r="2" spans="1:10">
      <c r="A2" s="198"/>
      <c r="B2" s="17" t="str">
        <f>INSTRUÇÕES!B2</f>
        <v>Seção Judiciária de Minas Gerais</v>
      </c>
      <c r="C2" s="199"/>
      <c r="D2" s="199"/>
      <c r="E2" s="199"/>
      <c r="F2" s="200"/>
      <c r="I2" s="200"/>
      <c r="J2" s="201"/>
    </row>
    <row r="3" spans="1:10">
      <c r="A3" s="202"/>
      <c r="B3" s="142" t="str">
        <f>INSTRUÇÕES!B3</f>
        <v>Subseção Judiciária de Ituiutaba</v>
      </c>
      <c r="C3" s="199"/>
      <c r="D3" s="199"/>
      <c r="E3" s="199"/>
      <c r="F3" s="200"/>
      <c r="I3" s="200"/>
      <c r="J3" s="201"/>
    </row>
    <row r="4" spans="1:10" ht="19.5" customHeight="1">
      <c r="A4" s="710" t="s">
        <v>572</v>
      </c>
      <c r="B4" s="710"/>
      <c r="C4" s="710"/>
      <c r="D4" s="710"/>
      <c r="E4" s="710"/>
      <c r="F4" s="710"/>
      <c r="G4" s="710"/>
      <c r="H4" s="710"/>
      <c r="I4" s="710"/>
      <c r="J4" s="710"/>
    </row>
    <row r="5" spans="1:10" ht="19.5" customHeight="1">
      <c r="A5" s="711" t="s">
        <v>359</v>
      </c>
      <c r="B5" s="711"/>
      <c r="C5" s="711"/>
      <c r="D5" s="711"/>
      <c r="E5" s="711"/>
      <c r="F5" s="711"/>
      <c r="G5" s="711"/>
      <c r="H5" s="711"/>
      <c r="I5" s="711"/>
      <c r="J5" s="711"/>
    </row>
    <row r="6" spans="1:10" ht="36" customHeight="1">
      <c r="A6" s="712" t="str">
        <f>Dados!A4</f>
        <v>Sindicato utilizado - SINDEACO. Vigência: 01/01/2023 à 31/12/2023. Sendo a data base da categoria 01º Janeiro. Com número de registro no MTE MG000781/2023.</v>
      </c>
      <c r="B6" s="712"/>
      <c r="C6" s="712"/>
      <c r="D6" s="712"/>
      <c r="E6" s="712"/>
      <c r="F6" s="712"/>
      <c r="G6" s="712"/>
      <c r="H6" s="712"/>
      <c r="I6" s="712"/>
      <c r="J6" s="712"/>
    </row>
    <row r="7" spans="1:10" ht="19.5" customHeight="1">
      <c r="A7" s="713" t="str">
        <f>Dados!C7</f>
        <v>Auxiliar Administrativo</v>
      </c>
      <c r="B7" s="713"/>
      <c r="C7" s="713"/>
      <c r="D7" s="713"/>
      <c r="E7" s="713"/>
      <c r="F7" s="714" t="s">
        <v>573</v>
      </c>
      <c r="G7" s="714" t="s">
        <v>574</v>
      </c>
      <c r="H7" s="714" t="s">
        <v>575</v>
      </c>
      <c r="I7" s="714" t="s">
        <v>576</v>
      </c>
      <c r="J7" s="714" t="s">
        <v>577</v>
      </c>
    </row>
    <row r="8" spans="1:10" ht="19.5" customHeight="1">
      <c r="A8" s="715" t="s">
        <v>578</v>
      </c>
      <c r="B8" s="715"/>
      <c r="C8" s="715"/>
      <c r="D8" s="715"/>
      <c r="E8" s="203" t="s">
        <v>471</v>
      </c>
      <c r="F8" s="714"/>
      <c r="G8" s="714"/>
      <c r="H8" s="714"/>
      <c r="I8" s="714"/>
      <c r="J8" s="714"/>
    </row>
    <row r="9" spans="1:10" ht="19.5" customHeight="1">
      <c r="A9" s="716" t="s">
        <v>579</v>
      </c>
      <c r="B9" s="716"/>
      <c r="C9" s="716"/>
      <c r="D9" s="716"/>
      <c r="E9" s="716"/>
      <c r="F9" s="716"/>
      <c r="G9" s="716"/>
      <c r="H9" s="716"/>
      <c r="I9" s="716"/>
      <c r="J9" s="716"/>
    </row>
    <row r="10" spans="1:10" ht="24" customHeight="1">
      <c r="A10" s="204" t="s">
        <v>472</v>
      </c>
      <c r="B10" s="717" t="s">
        <v>580</v>
      </c>
      <c r="C10" s="717"/>
      <c r="D10" s="205" t="s">
        <v>581</v>
      </c>
      <c r="E10" s="206" t="s">
        <v>582</v>
      </c>
      <c r="F10" s="718" t="s">
        <v>475</v>
      </c>
      <c r="G10" s="718"/>
      <c r="H10" s="718"/>
      <c r="I10" s="718"/>
      <c r="J10" s="718"/>
    </row>
    <row r="11" spans="1:10" ht="19.5" customHeight="1">
      <c r="A11" s="719">
        <v>1</v>
      </c>
      <c r="B11" s="720" t="str">
        <f>A7</f>
        <v>Auxiliar Administrativo</v>
      </c>
      <c r="C11" s="720"/>
      <c r="D11" s="207">
        <f>Dados!D7</f>
        <v>150</v>
      </c>
      <c r="E11" s="208">
        <f>Dados!$E$7</f>
        <v>1949.29</v>
      </c>
      <c r="F11" s="209">
        <f>ROUND(E11/220*D11,2)</f>
        <v>1329.06</v>
      </c>
      <c r="G11" s="209">
        <f>F11</f>
        <v>1329.06</v>
      </c>
      <c r="H11" s="209"/>
      <c r="I11" s="209"/>
      <c r="J11" s="210"/>
    </row>
    <row r="12" spans="1:10" ht="19.5" customHeight="1">
      <c r="A12" s="719"/>
      <c r="B12" s="720" t="s">
        <v>583</v>
      </c>
      <c r="C12" s="720"/>
      <c r="D12" s="211">
        <f>Dados!G7</f>
        <v>0</v>
      </c>
      <c r="E12" s="208">
        <f>Dados!$G$27</f>
        <v>1320</v>
      </c>
      <c r="F12" s="209">
        <f>D12*E12</f>
        <v>0</v>
      </c>
      <c r="G12" s="209">
        <f>F12</f>
        <v>0</v>
      </c>
      <c r="H12" s="209"/>
      <c r="I12" s="209"/>
      <c r="J12" s="210">
        <f>F12</f>
        <v>0</v>
      </c>
    </row>
    <row r="13" spans="1:10" ht="22.5" customHeight="1">
      <c r="A13" s="719"/>
      <c r="B13" s="212" t="s">
        <v>584</v>
      </c>
      <c r="C13" s="213">
        <f>Dados!$I$7</f>
        <v>0</v>
      </c>
      <c r="D13" s="213">
        <f>Dados!$J$7</f>
        <v>0</v>
      </c>
      <c r="E13" s="214">
        <f>Dados!$K$7</f>
        <v>0</v>
      </c>
      <c r="F13" s="215">
        <f>ROUND((E13*D13*C13),2)</f>
        <v>0</v>
      </c>
      <c r="G13" s="215">
        <f>F13</f>
        <v>0</v>
      </c>
      <c r="H13" s="215"/>
      <c r="I13" s="215"/>
      <c r="J13" s="216"/>
    </row>
    <row r="14" spans="1:10" ht="19.5" customHeight="1">
      <c r="A14" s="719"/>
      <c r="B14" s="721" t="s">
        <v>585</v>
      </c>
      <c r="C14" s="721"/>
      <c r="D14" s="721"/>
      <c r="E14" s="721"/>
      <c r="F14" s="217">
        <f>SUM(F11:F13)</f>
        <v>1329.06</v>
      </c>
      <c r="G14" s="217">
        <f>SUM(G11:G13)</f>
        <v>1329.06</v>
      </c>
      <c r="H14" s="217">
        <f>SUM(H11:H13)</f>
        <v>0</v>
      </c>
      <c r="I14" s="217">
        <f>SUM(I11:I13)</f>
        <v>0</v>
      </c>
      <c r="J14" s="218">
        <f>SUM(J11:J13)</f>
        <v>0</v>
      </c>
    </row>
    <row r="15" spans="1:10" ht="19.5" customHeight="1">
      <c r="A15" s="719"/>
      <c r="B15" s="722" t="s">
        <v>586</v>
      </c>
      <c r="C15" s="722"/>
      <c r="D15" s="722"/>
      <c r="E15" s="219">
        <f>Encargos!$C$57</f>
        <v>0.79049999999999998</v>
      </c>
      <c r="F15" s="209">
        <f>ROUND((E15*F14),2)</f>
        <v>1050.6199999999999</v>
      </c>
      <c r="G15" s="209">
        <f>F15</f>
        <v>1050.6199999999999</v>
      </c>
      <c r="H15" s="209"/>
      <c r="I15" s="209"/>
      <c r="J15" s="210">
        <f>ROUND((E15*J14),2)</f>
        <v>0</v>
      </c>
    </row>
    <row r="16" spans="1:10" ht="19.5" customHeight="1">
      <c r="A16" s="723" t="s">
        <v>587</v>
      </c>
      <c r="B16" s="723"/>
      <c r="C16" s="723"/>
      <c r="D16" s="723"/>
      <c r="E16" s="723"/>
      <c r="F16" s="220">
        <f>SUM(F14:F15)</f>
        <v>2379.6799999999998</v>
      </c>
      <c r="G16" s="220">
        <f>SUM(G14:G15)</f>
        <v>2379.6799999999998</v>
      </c>
      <c r="H16" s="220">
        <f>SUM(H14:H15)</f>
        <v>0</v>
      </c>
      <c r="I16" s="220">
        <f>SUM(I14:I15)</f>
        <v>0</v>
      </c>
      <c r="J16" s="221">
        <f>SUM(J14:J15)</f>
        <v>0</v>
      </c>
    </row>
    <row r="17" spans="1:12" ht="19.5" customHeight="1">
      <c r="A17" s="724" t="s">
        <v>588</v>
      </c>
      <c r="B17" s="724"/>
      <c r="C17" s="724"/>
      <c r="D17" s="724"/>
      <c r="E17" s="724"/>
      <c r="F17" s="724"/>
      <c r="G17" s="724"/>
      <c r="H17" s="724"/>
      <c r="I17" s="724"/>
      <c r="J17" s="724"/>
    </row>
    <row r="18" spans="1:12" ht="19.5" customHeight="1">
      <c r="A18" s="725" t="s">
        <v>589</v>
      </c>
      <c r="B18" s="725"/>
      <c r="C18" s="222" t="s">
        <v>474</v>
      </c>
      <c r="D18" s="726" t="s">
        <v>590</v>
      </c>
      <c r="E18" s="726"/>
      <c r="F18" s="727" t="s">
        <v>475</v>
      </c>
      <c r="G18" s="727"/>
      <c r="H18" s="727"/>
      <c r="I18" s="727"/>
      <c r="J18" s="727"/>
    </row>
    <row r="19" spans="1:12" ht="19.5" customHeight="1">
      <c r="A19" s="728" t="s">
        <v>591</v>
      </c>
      <c r="B19" s="728"/>
      <c r="C19" s="224"/>
      <c r="D19" s="224"/>
      <c r="E19" s="224"/>
      <c r="F19" s="209">
        <f>Dados!N7</f>
        <v>34.11</v>
      </c>
      <c r="G19" s="209">
        <f>F19</f>
        <v>34.11</v>
      </c>
      <c r="H19" s="209"/>
      <c r="I19" s="209"/>
      <c r="J19" s="210"/>
    </row>
    <row r="20" spans="1:12" ht="19.5" customHeight="1">
      <c r="A20" s="728" t="s">
        <v>592</v>
      </c>
      <c r="B20" s="728"/>
      <c r="C20" s="224"/>
      <c r="D20" s="224"/>
      <c r="E20" s="224"/>
      <c r="F20" s="209">
        <f>Dados!G30</f>
        <v>4</v>
      </c>
      <c r="G20" s="209">
        <f>F20</f>
        <v>4</v>
      </c>
      <c r="H20" s="209"/>
      <c r="I20" s="209"/>
      <c r="J20" s="210"/>
    </row>
    <row r="21" spans="1:12" ht="23.25" customHeight="1">
      <c r="A21" s="729" t="s">
        <v>294</v>
      </c>
      <c r="B21" s="729"/>
      <c r="C21" s="224"/>
      <c r="D21" s="224"/>
      <c r="E21" s="224"/>
      <c r="F21" s="209">
        <f>Dados!G31</f>
        <v>36.17</v>
      </c>
      <c r="G21" s="209">
        <f>F21</f>
        <v>36.17</v>
      </c>
      <c r="H21" s="209"/>
      <c r="I21" s="209"/>
      <c r="J21" s="210"/>
    </row>
    <row r="22" spans="1:12" ht="19.5" customHeight="1">
      <c r="A22" s="728" t="s">
        <v>295</v>
      </c>
      <c r="B22" s="728"/>
      <c r="C22" s="225">
        <f>Dados!$G$34</f>
        <v>22</v>
      </c>
      <c r="D22" s="225">
        <f>Dados!$G$33</f>
        <v>2</v>
      </c>
      <c r="E22" s="226">
        <f>Dados!$G$32</f>
        <v>3.2</v>
      </c>
      <c r="F22" s="209">
        <f>IF(ROUND((E22*D22*C22)-(F11*Dados!G35),2)&lt;0,0,ROUND((E22*D22*C22)-(F11*Dados!G35),2))</f>
        <v>61.06</v>
      </c>
      <c r="G22" s="209">
        <f>F22</f>
        <v>61.06</v>
      </c>
      <c r="H22" s="209"/>
      <c r="I22" s="209">
        <f>F22</f>
        <v>61.06</v>
      </c>
      <c r="J22" s="210"/>
    </row>
    <row r="23" spans="1:12" ht="19.5" customHeight="1">
      <c r="A23" s="728" t="s">
        <v>304</v>
      </c>
      <c r="B23" s="728"/>
      <c r="C23" s="225">
        <f>Dados!G37</f>
        <v>22</v>
      </c>
      <c r="D23" s="227">
        <f>Dados!G38</f>
        <v>0</v>
      </c>
      <c r="E23" s="226">
        <f>Dados!G36</f>
        <v>347.81</v>
      </c>
      <c r="F23" s="228">
        <f>E23</f>
        <v>347.81</v>
      </c>
      <c r="G23" s="209">
        <f>F23</f>
        <v>347.81</v>
      </c>
      <c r="H23" s="209">
        <f>$F$23</f>
        <v>347.81</v>
      </c>
      <c r="I23" s="228"/>
      <c r="J23" s="210"/>
    </row>
    <row r="24" spans="1:12" ht="19.5" customHeight="1">
      <c r="A24" s="728" t="s">
        <v>307</v>
      </c>
      <c r="B24" s="728"/>
      <c r="C24" s="225"/>
      <c r="D24" s="225"/>
      <c r="E24" s="226"/>
      <c r="F24" s="228">
        <f>Dados!G39</f>
        <v>0</v>
      </c>
      <c r="G24" s="209"/>
      <c r="H24" s="209"/>
      <c r="I24" s="228"/>
      <c r="J24" s="210"/>
    </row>
    <row r="25" spans="1:12" ht="19.5" customHeight="1">
      <c r="A25" s="728" t="s">
        <v>307</v>
      </c>
      <c r="B25" s="728"/>
      <c r="C25" s="225"/>
      <c r="D25" s="225"/>
      <c r="E25" s="226"/>
      <c r="F25" s="228">
        <f>Dados!G40</f>
        <v>0</v>
      </c>
      <c r="G25" s="209"/>
      <c r="H25" s="209"/>
      <c r="I25" s="228"/>
      <c r="J25" s="210"/>
    </row>
    <row r="26" spans="1:12" ht="19.5" customHeight="1">
      <c r="A26" s="728" t="s">
        <v>593</v>
      </c>
      <c r="B26" s="728"/>
      <c r="C26" s="225"/>
      <c r="D26" s="226"/>
      <c r="E26" s="226"/>
      <c r="F26" s="209"/>
      <c r="G26" s="209"/>
      <c r="H26" s="209"/>
      <c r="I26" s="209"/>
      <c r="J26" s="210"/>
      <c r="L26" s="229"/>
    </row>
    <row r="27" spans="1:12" ht="19.5" customHeight="1">
      <c r="A27" s="223" t="s">
        <v>594</v>
      </c>
      <c r="B27" s="230"/>
      <c r="C27" s="225"/>
      <c r="D27" s="226"/>
      <c r="E27" s="226"/>
      <c r="F27" s="209"/>
      <c r="G27" s="209"/>
      <c r="H27" s="209"/>
      <c r="I27" s="209"/>
      <c r="J27" s="210"/>
    </row>
    <row r="28" spans="1:12" ht="19.5" customHeight="1">
      <c r="A28" s="730" t="s">
        <v>595</v>
      </c>
      <c r="B28" s="730"/>
      <c r="C28" s="231"/>
      <c r="D28" s="232"/>
      <c r="E28" s="232"/>
      <c r="F28" s="215">
        <f>Dados!Q7</f>
        <v>0</v>
      </c>
      <c r="G28" s="215">
        <f>F28</f>
        <v>0</v>
      </c>
      <c r="H28" s="215"/>
      <c r="I28" s="215"/>
      <c r="J28" s="216"/>
    </row>
    <row r="29" spans="1:12" ht="19.5" customHeight="1">
      <c r="A29" s="731" t="s">
        <v>596</v>
      </c>
      <c r="B29" s="731"/>
      <c r="C29" s="731"/>
      <c r="D29" s="731"/>
      <c r="E29" s="731"/>
      <c r="F29" s="220">
        <f>SUM(F19:F28)</f>
        <v>483.15</v>
      </c>
      <c r="G29" s="220">
        <f>SUM(G19:G28)</f>
        <v>483.15</v>
      </c>
      <c r="H29" s="220">
        <f>SUM(H19:H28)</f>
        <v>347.81</v>
      </c>
      <c r="I29" s="220">
        <f>SUM(I19:I28)</f>
        <v>61.06</v>
      </c>
      <c r="J29" s="221">
        <f>SUM(J19:J28)</f>
        <v>0</v>
      </c>
    </row>
    <row r="30" spans="1:12" ht="19.5" customHeight="1">
      <c r="A30" s="731" t="s">
        <v>597</v>
      </c>
      <c r="B30" s="731"/>
      <c r="C30" s="731"/>
      <c r="D30" s="731"/>
      <c r="E30" s="731"/>
      <c r="F30" s="220">
        <f>F16+F29</f>
        <v>2862.83</v>
      </c>
      <c r="G30" s="220">
        <f>G16+G29</f>
        <v>2862.83</v>
      </c>
      <c r="H30" s="220">
        <f>H16+H29</f>
        <v>347.81</v>
      </c>
      <c r="I30" s="220">
        <f>I16+I29</f>
        <v>61.06</v>
      </c>
      <c r="J30" s="221">
        <f>J16+J29</f>
        <v>0</v>
      </c>
    </row>
    <row r="31" spans="1:12" ht="19.5" customHeight="1">
      <c r="A31" s="716" t="s">
        <v>598</v>
      </c>
      <c r="B31" s="716"/>
      <c r="C31" s="716"/>
      <c r="D31" s="716"/>
      <c r="E31" s="716"/>
      <c r="F31" s="716"/>
      <c r="G31" s="716"/>
      <c r="H31" s="716"/>
      <c r="I31" s="716"/>
      <c r="J31" s="716"/>
    </row>
    <row r="32" spans="1:12" ht="19.5" customHeight="1">
      <c r="A32" s="725" t="s">
        <v>599</v>
      </c>
      <c r="B32" s="725"/>
      <c r="C32" s="725"/>
      <c r="D32" s="233" t="s">
        <v>538</v>
      </c>
      <c r="E32" s="732" t="s">
        <v>475</v>
      </c>
      <c r="F32" s="732"/>
      <c r="G32" s="732"/>
      <c r="H32" s="732"/>
      <c r="I32" s="732"/>
      <c r="J32" s="732"/>
    </row>
    <row r="33" spans="1:12" ht="19.5" customHeight="1">
      <c r="A33" s="234" t="s">
        <v>600</v>
      </c>
      <c r="B33" s="235"/>
      <c r="C33" s="235"/>
      <c r="D33" s="236">
        <f>Dados!$G$43</f>
        <v>0.03</v>
      </c>
      <c r="E33" s="237"/>
      <c r="F33" s="209">
        <f>ROUND((F30*$D$33),2)</f>
        <v>85.88</v>
      </c>
      <c r="G33" s="209">
        <f>ROUND((G30*$D$33),2)</f>
        <v>85.88</v>
      </c>
      <c r="H33" s="209">
        <f>ROUND((H30*$D$33),2)</f>
        <v>10.43</v>
      </c>
      <c r="I33" s="209">
        <f>ROUND((I30*$D$33),2)</f>
        <v>1.83</v>
      </c>
      <c r="J33" s="210">
        <f>ROUND((J30*$D$33),2)</f>
        <v>0</v>
      </c>
    </row>
    <row r="34" spans="1:12" ht="19.5" customHeight="1">
      <c r="A34" s="733" t="s">
        <v>601</v>
      </c>
      <c r="B34" s="733"/>
      <c r="C34" s="733"/>
      <c r="D34" s="236"/>
      <c r="E34" s="237"/>
      <c r="F34" s="209">
        <f>F30+F33</f>
        <v>2948.71</v>
      </c>
      <c r="G34" s="209">
        <f>G30+G33</f>
        <v>2948.71</v>
      </c>
      <c r="H34" s="209">
        <f>H30+H33</f>
        <v>358.24</v>
      </c>
      <c r="I34" s="209">
        <f>I30+I33</f>
        <v>62.89</v>
      </c>
      <c r="J34" s="210">
        <f>J30+J33</f>
        <v>0</v>
      </c>
    </row>
    <row r="35" spans="1:12" ht="19.5" customHeight="1">
      <c r="A35" s="238" t="s">
        <v>312</v>
      </c>
      <c r="B35" s="239"/>
      <c r="C35" s="239"/>
      <c r="D35" s="240">
        <f>Dados!$G$44</f>
        <v>6.7900000000000002E-2</v>
      </c>
      <c r="E35" s="241"/>
      <c r="F35" s="215">
        <f>ROUND((F34*$D$35),2)</f>
        <v>200.22</v>
      </c>
      <c r="G35" s="215">
        <f>ROUND((G34*$D$35),2)</f>
        <v>200.22</v>
      </c>
      <c r="H35" s="215">
        <f>ROUND((H34*$D$35),2)</f>
        <v>24.32</v>
      </c>
      <c r="I35" s="215">
        <f>ROUND((I34*$D$35),2)</f>
        <v>4.2699999999999996</v>
      </c>
      <c r="J35" s="216">
        <f>ROUND((J34*$D$35),2)</f>
        <v>0</v>
      </c>
    </row>
    <row r="36" spans="1:12" ht="19.5" customHeight="1">
      <c r="A36" s="242" t="s">
        <v>602</v>
      </c>
      <c r="B36" s="243"/>
      <c r="C36" s="243"/>
      <c r="D36" s="244">
        <f>SUM(D33:D35)</f>
        <v>9.7900000000000001E-2</v>
      </c>
      <c r="E36" s="245"/>
      <c r="F36" s="220">
        <f>F33+F35</f>
        <v>286.10000000000002</v>
      </c>
      <c r="G36" s="220">
        <f>G33+G35</f>
        <v>286.10000000000002</v>
      </c>
      <c r="H36" s="220">
        <f>H33+H35</f>
        <v>34.75</v>
      </c>
      <c r="I36" s="220">
        <f>I33+I35</f>
        <v>6.1</v>
      </c>
      <c r="J36" s="221">
        <f>J33+J35</f>
        <v>0</v>
      </c>
    </row>
    <row r="37" spans="1:12" ht="19.5" customHeight="1">
      <c r="A37" s="734" t="s">
        <v>603</v>
      </c>
      <c r="B37" s="734"/>
      <c r="C37" s="734"/>
      <c r="D37" s="734"/>
      <c r="E37" s="734"/>
      <c r="F37" s="246">
        <f>F30+F36</f>
        <v>3148.93</v>
      </c>
      <c r="G37" s="246">
        <f>G30+G36</f>
        <v>3148.93</v>
      </c>
      <c r="H37" s="246">
        <f>H30+H36</f>
        <v>382.56</v>
      </c>
      <c r="I37" s="246">
        <f>I30+I36</f>
        <v>67.16</v>
      </c>
      <c r="J37" s="247">
        <f>J30+J36</f>
        <v>0</v>
      </c>
    </row>
    <row r="38" spans="1:12" ht="19.5" customHeight="1">
      <c r="A38" s="735" t="s">
        <v>604</v>
      </c>
      <c r="B38" s="735"/>
      <c r="C38" s="735"/>
      <c r="D38" s="735"/>
      <c r="E38" s="735"/>
      <c r="F38" s="735"/>
      <c r="G38" s="735"/>
      <c r="H38" s="735"/>
      <c r="I38" s="735"/>
      <c r="J38" s="735"/>
    </row>
    <row r="39" spans="1:12" ht="19.5" customHeight="1">
      <c r="A39" s="728" t="s">
        <v>318</v>
      </c>
      <c r="B39" s="728"/>
      <c r="C39" s="728"/>
      <c r="D39" s="236">
        <f>Dados!G51</f>
        <v>7.5999999999999998E-2</v>
      </c>
      <c r="E39" s="248"/>
      <c r="F39" s="209">
        <f>ROUND(($F$45*D39),2)</f>
        <v>275.87</v>
      </c>
      <c r="G39" s="209">
        <f>ROUND((G45*$D$39),2)</f>
        <v>275.87</v>
      </c>
      <c r="H39" s="209">
        <f>ROUND((H45*$D$39),2)</f>
        <v>29.07</v>
      </c>
      <c r="I39" s="209">
        <f>ROUND((I45*$D$39),2)</f>
        <v>5.88</v>
      </c>
      <c r="J39" s="210">
        <f>ROUND((J45*$D$39),2)</f>
        <v>0</v>
      </c>
    </row>
    <row r="40" spans="1:12" ht="19.5" customHeight="1">
      <c r="A40" s="728" t="s">
        <v>320</v>
      </c>
      <c r="B40" s="728"/>
      <c r="C40" s="728"/>
      <c r="D40" s="236">
        <f>Dados!G52</f>
        <v>1.6500000000000001E-2</v>
      </c>
      <c r="E40" s="248"/>
      <c r="F40" s="209">
        <f>ROUND((F45*$D$40),2)</f>
        <v>59.89</v>
      </c>
      <c r="G40" s="209">
        <f>ROUND((G45*$D$40),2)</f>
        <v>59.89</v>
      </c>
      <c r="H40" s="209">
        <f>ROUND((H45*$D$40),2)</f>
        <v>6.31</v>
      </c>
      <c r="I40" s="209">
        <f>ROUND((I45*$D$40),2)</f>
        <v>1.28</v>
      </c>
      <c r="J40" s="210">
        <f>ROUND((J45*$D$40),2)</f>
        <v>0</v>
      </c>
    </row>
    <row r="41" spans="1:12" ht="19.5" customHeight="1">
      <c r="A41" s="728" t="s">
        <v>321</v>
      </c>
      <c r="B41" s="728"/>
      <c r="C41" s="728"/>
      <c r="D41" s="236">
        <f>Dados!G53</f>
        <v>0.04</v>
      </c>
      <c r="E41" s="248"/>
      <c r="F41" s="209">
        <f>ROUND((F45*$D$41),2)</f>
        <v>145.19999999999999</v>
      </c>
      <c r="G41" s="209">
        <f>ROUND((G45*$D$41),2)</f>
        <v>145.19999999999999</v>
      </c>
      <c r="H41" s="209">
        <f>ROUND((H45*$D$41),2)</f>
        <v>15.3</v>
      </c>
      <c r="I41" s="209">
        <f>ROUND((I45*$D$41),2)</f>
        <v>3.1</v>
      </c>
      <c r="J41" s="210">
        <f>ROUND((J45*$D$41),2)</f>
        <v>0</v>
      </c>
    </row>
    <row r="42" spans="1:12" ht="19.5" customHeight="1">
      <c r="A42" s="728" t="s">
        <v>307</v>
      </c>
      <c r="B42" s="728"/>
      <c r="C42" s="728"/>
      <c r="D42" s="236">
        <f>Dados!G54</f>
        <v>0</v>
      </c>
      <c r="E42" s="248"/>
      <c r="F42" s="209">
        <f>ROUND((F45*$D$42),2)</f>
        <v>0</v>
      </c>
      <c r="G42" s="209">
        <f>ROUND((G45*$D$42),2)</f>
        <v>0</v>
      </c>
      <c r="H42" s="209">
        <f>ROUND((H45*$D$42),2)</f>
        <v>0</v>
      </c>
      <c r="I42" s="209">
        <f>ROUND((I45*$D$42),2)</f>
        <v>0</v>
      </c>
      <c r="J42" s="210">
        <f>ROUND((J45*$D$42),2)</f>
        <v>0</v>
      </c>
    </row>
    <row r="43" spans="1:12" ht="19.5" customHeight="1">
      <c r="A43" s="737" t="s">
        <v>605</v>
      </c>
      <c r="B43" s="737"/>
      <c r="C43" s="737"/>
      <c r="D43" s="249">
        <f>SUM(D39:D42)</f>
        <v>0.13250000000000001</v>
      </c>
      <c r="E43" s="250"/>
      <c r="F43" s="251">
        <f>SUM(F39:F42)</f>
        <v>480.96</v>
      </c>
      <c r="G43" s="251">
        <f>SUM(G39:G42)</f>
        <v>480.96</v>
      </c>
      <c r="H43" s="251">
        <f>SUM(H39:H42)</f>
        <v>50.680000000000007</v>
      </c>
      <c r="I43" s="251">
        <f>SUM(I39:I42)</f>
        <v>10.26</v>
      </c>
      <c r="J43" s="252">
        <f>SUM(J39:J41)</f>
        <v>0</v>
      </c>
    </row>
    <row r="44" spans="1:12" ht="19.5" customHeight="1">
      <c r="A44" s="738" t="str">
        <f>CONCATENATE("Custo Mensal - ",A7)</f>
        <v>Custo Mensal - Auxiliar Administrativo</v>
      </c>
      <c r="B44" s="738"/>
      <c r="C44" s="738"/>
      <c r="D44" s="738"/>
      <c r="E44" s="738"/>
      <c r="F44" s="253">
        <f>ROUND(F37/(1-D43),2)</f>
        <v>3629.89</v>
      </c>
      <c r="G44" s="253">
        <f>ROUND(G37/(1-D43),2)</f>
        <v>3629.89</v>
      </c>
      <c r="H44" s="253">
        <f>ROUND(H37/(1-C43),2)</f>
        <v>382.56</v>
      </c>
      <c r="I44" s="253">
        <f>ROUND(I37/(1-D43),2)</f>
        <v>77.42</v>
      </c>
      <c r="J44" s="254">
        <f>ROUND(J37/(1-D43),2)</f>
        <v>0</v>
      </c>
    </row>
    <row r="45" spans="1:12" ht="19.5" customHeight="1">
      <c r="A45" s="739" t="str">
        <f>CONCATENATE("Valor do Custo Mensal - ",A7)</f>
        <v>Valor do Custo Mensal - Auxiliar Administrativo</v>
      </c>
      <c r="B45" s="739"/>
      <c r="C45" s="739"/>
      <c r="D45" s="739"/>
      <c r="E45" s="739"/>
      <c r="F45" s="253">
        <f>F44</f>
        <v>3629.89</v>
      </c>
      <c r="G45" s="253">
        <f>G44</f>
        <v>3629.89</v>
      </c>
      <c r="H45" s="253">
        <f>H44</f>
        <v>382.56</v>
      </c>
      <c r="I45" s="253">
        <f>I44</f>
        <v>77.42</v>
      </c>
      <c r="J45" s="254">
        <f>J44</f>
        <v>0</v>
      </c>
      <c r="K45" s="255"/>
      <c r="L45" s="255"/>
    </row>
    <row r="46" spans="1:12" ht="27.75" customHeight="1">
      <c r="A46" s="740" t="s">
        <v>606</v>
      </c>
      <c r="B46" s="740"/>
      <c r="C46" s="740"/>
      <c r="D46" s="740"/>
      <c r="E46" s="740"/>
      <c r="F46" s="256">
        <f>(F45/F14)</f>
        <v>2.7311709027432922</v>
      </c>
      <c r="G46" s="256">
        <f>(G45/G14)</f>
        <v>2.7311709027432922</v>
      </c>
      <c r="H46" s="736" t="s">
        <v>607</v>
      </c>
      <c r="I46" s="736"/>
      <c r="J46" s="257">
        <v>0</v>
      </c>
    </row>
    <row r="47" spans="1:12" ht="19.5" customHeight="1"/>
  </sheetData>
  <sheetProtection password="C494" sheet="1" objects="1" scenarios="1"/>
  <mergeCells count="49">
    <mergeCell ref="H46:I46"/>
    <mergeCell ref="A42:C42"/>
    <mergeCell ref="A43:C43"/>
    <mergeCell ref="A44:E44"/>
    <mergeCell ref="A45:E45"/>
    <mergeCell ref="A46:E46"/>
    <mergeCell ref="A37:E37"/>
    <mergeCell ref="A38:J38"/>
    <mergeCell ref="A39:C39"/>
    <mergeCell ref="A40:C40"/>
    <mergeCell ref="A41:C41"/>
    <mergeCell ref="A30:E30"/>
    <mergeCell ref="A31:J31"/>
    <mergeCell ref="A32:C32"/>
    <mergeCell ref="E32:J32"/>
    <mergeCell ref="A34:C34"/>
    <mergeCell ref="A24:B24"/>
    <mergeCell ref="A25:B25"/>
    <mergeCell ref="A26:B26"/>
    <mergeCell ref="A28:B28"/>
    <mergeCell ref="A29:E29"/>
    <mergeCell ref="A19:B19"/>
    <mergeCell ref="A20:B20"/>
    <mergeCell ref="A21:B21"/>
    <mergeCell ref="A22:B22"/>
    <mergeCell ref="A23:B23"/>
    <mergeCell ref="A16:E16"/>
    <mergeCell ref="A17:J17"/>
    <mergeCell ref="A18:B18"/>
    <mergeCell ref="D18:E18"/>
    <mergeCell ref="F18:J18"/>
    <mergeCell ref="A9:J9"/>
    <mergeCell ref="B10:C10"/>
    <mergeCell ref="F10:J10"/>
    <mergeCell ref="A11:A15"/>
    <mergeCell ref="B11:C11"/>
    <mergeCell ref="B12:C12"/>
    <mergeCell ref="B14:E14"/>
    <mergeCell ref="B15:D15"/>
    <mergeCell ref="A4:J4"/>
    <mergeCell ref="A5:J5"/>
    <mergeCell ref="A6:J6"/>
    <mergeCell ref="A7:E7"/>
    <mergeCell ref="F7:F8"/>
    <mergeCell ref="G7:G8"/>
    <mergeCell ref="H7:H8"/>
    <mergeCell ref="I7:I8"/>
    <mergeCell ref="J7:J8"/>
    <mergeCell ref="A8:D8"/>
  </mergeCells>
  <pageMargins left="0.51180555555555496" right="0.51180555555555496" top="0.78749999999999998" bottom="0.78749999999999998" header="0.51180555555555496" footer="0.51180555555555496"/>
  <pageSetup paperSize="9" scale="67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J47"/>
  <sheetViews>
    <sheetView showGridLines="0" zoomScaleNormal="100" workbookViewId="0">
      <selection activeCell="F28" sqref="F28"/>
    </sheetView>
  </sheetViews>
  <sheetFormatPr defaultColWidth="9.140625" defaultRowHeight="15"/>
  <cols>
    <col min="1" max="1" width="10.5703125" style="18" customWidth="1"/>
    <col min="2" max="2" width="27.7109375" style="18" customWidth="1"/>
    <col min="3" max="3" width="14.42578125" style="18" customWidth="1"/>
    <col min="4" max="5" width="15" style="18" customWidth="1"/>
    <col min="6" max="6" width="16.7109375" style="192" customWidth="1"/>
    <col min="7" max="8" width="13.140625" style="192" customWidth="1"/>
    <col min="9" max="10" width="12.5703125" style="192" customWidth="1"/>
    <col min="11" max="257" width="9.140625" style="18"/>
    <col min="258" max="258" width="10.5703125" style="18" customWidth="1"/>
    <col min="259" max="259" width="27.7109375" style="18" customWidth="1"/>
    <col min="260" max="260" width="14.42578125" style="18" customWidth="1"/>
    <col min="261" max="262" width="15" style="18" customWidth="1"/>
    <col min="263" max="263" width="16.7109375" style="18" customWidth="1"/>
    <col min="264" max="264" width="13.140625" style="18" customWidth="1"/>
    <col min="265" max="266" width="12.5703125" style="18" customWidth="1"/>
    <col min="267" max="513" width="9.140625" style="18"/>
    <col min="514" max="514" width="10.5703125" style="18" customWidth="1"/>
    <col min="515" max="515" width="27.7109375" style="18" customWidth="1"/>
    <col min="516" max="516" width="14.42578125" style="18" customWidth="1"/>
    <col min="517" max="518" width="15" style="18" customWidth="1"/>
    <col min="519" max="519" width="16.7109375" style="18" customWidth="1"/>
    <col min="520" max="520" width="13.140625" style="18" customWidth="1"/>
    <col min="521" max="522" width="12.5703125" style="18" customWidth="1"/>
    <col min="523" max="769" width="9.140625" style="18"/>
    <col min="770" max="770" width="10.5703125" style="18" customWidth="1"/>
    <col min="771" max="771" width="27.7109375" style="18" customWidth="1"/>
    <col min="772" max="772" width="14.42578125" style="18" customWidth="1"/>
    <col min="773" max="774" width="15" style="18" customWidth="1"/>
    <col min="775" max="775" width="16.7109375" style="18" customWidth="1"/>
    <col min="776" max="776" width="13.140625" style="18" customWidth="1"/>
    <col min="777" max="778" width="12.5703125" style="18" customWidth="1"/>
    <col min="779" max="1024" width="9.140625" style="18"/>
  </cols>
  <sheetData>
    <row r="1" spans="1:10">
      <c r="A1" s="193"/>
      <c r="B1" s="15" t="str">
        <f>INSTRUÇÕES!B1</f>
        <v>Tribunal Regional Federal da 6ª Região</v>
      </c>
      <c r="C1" s="194"/>
      <c r="D1" s="194"/>
      <c r="E1" s="194"/>
      <c r="F1" s="195"/>
      <c r="G1" s="196"/>
      <c r="H1" s="196"/>
      <c r="I1" s="195"/>
      <c r="J1" s="197"/>
    </row>
    <row r="2" spans="1:10">
      <c r="A2" s="198"/>
      <c r="B2" s="17" t="str">
        <f>INSTRUÇÕES!B2</f>
        <v>Seção Judiciária de Minas Gerais</v>
      </c>
      <c r="C2" s="199"/>
      <c r="D2" s="199"/>
      <c r="E2" s="199"/>
      <c r="F2" s="200"/>
      <c r="I2" s="200"/>
      <c r="J2" s="201"/>
    </row>
    <row r="3" spans="1:10">
      <c r="A3" s="202"/>
      <c r="B3" s="142" t="str">
        <f>INSTRUÇÕES!B3</f>
        <v>Subseção Judiciária de Ituiutaba</v>
      </c>
      <c r="C3" s="199"/>
      <c r="D3" s="199"/>
      <c r="E3" s="199"/>
      <c r="F3" s="200"/>
      <c r="I3" s="200"/>
      <c r="J3" s="201"/>
    </row>
    <row r="4" spans="1:10" ht="19.5" customHeight="1">
      <c r="A4" s="710" t="s">
        <v>572</v>
      </c>
      <c r="B4" s="710"/>
      <c r="C4" s="710"/>
      <c r="D4" s="710"/>
      <c r="E4" s="710"/>
      <c r="F4" s="710"/>
      <c r="G4" s="710"/>
      <c r="H4" s="710"/>
      <c r="I4" s="710"/>
      <c r="J4" s="710"/>
    </row>
    <row r="5" spans="1:10" ht="19.5" customHeight="1">
      <c r="A5" s="711" t="s">
        <v>359</v>
      </c>
      <c r="B5" s="711"/>
      <c r="C5" s="711"/>
      <c r="D5" s="711"/>
      <c r="E5" s="711"/>
      <c r="F5" s="711"/>
      <c r="G5" s="711"/>
      <c r="H5" s="711"/>
      <c r="I5" s="711"/>
      <c r="J5" s="711"/>
    </row>
    <row r="6" spans="1:10" ht="36" customHeight="1">
      <c r="A6" s="712" t="str">
        <f>Dados!A4</f>
        <v>Sindicato utilizado - SINDEACO. Vigência: 01/01/2023 à 31/12/2023. Sendo a data base da categoria 01º Janeiro. Com número de registro no MTE MG000781/2023.</v>
      </c>
      <c r="B6" s="712"/>
      <c r="C6" s="712"/>
      <c r="D6" s="712"/>
      <c r="E6" s="712"/>
      <c r="F6" s="712"/>
      <c r="G6" s="712"/>
      <c r="H6" s="712"/>
      <c r="I6" s="712"/>
      <c r="J6" s="712"/>
    </row>
    <row r="7" spans="1:10" ht="19.5" customHeight="1">
      <c r="A7" s="713" t="str">
        <f>Dados!C9</f>
        <v>Servente de Limpeza (40%)</v>
      </c>
      <c r="B7" s="713"/>
      <c r="C7" s="713"/>
      <c r="D7" s="713"/>
      <c r="E7" s="713"/>
      <c r="F7" s="714" t="s">
        <v>573</v>
      </c>
      <c r="G7" s="714" t="s">
        <v>574</v>
      </c>
      <c r="H7" s="714" t="s">
        <v>575</v>
      </c>
      <c r="I7" s="714" t="s">
        <v>576</v>
      </c>
      <c r="J7" s="714" t="s">
        <v>577</v>
      </c>
    </row>
    <row r="8" spans="1:10" ht="19.5" customHeight="1">
      <c r="A8" s="715" t="s">
        <v>578</v>
      </c>
      <c r="B8" s="715"/>
      <c r="C8" s="715"/>
      <c r="D8" s="715"/>
      <c r="E8" s="203" t="s">
        <v>471</v>
      </c>
      <c r="F8" s="714"/>
      <c r="G8" s="714"/>
      <c r="H8" s="714"/>
      <c r="I8" s="714"/>
      <c r="J8" s="714"/>
    </row>
    <row r="9" spans="1:10" ht="19.5" customHeight="1">
      <c r="A9" s="716" t="s">
        <v>579</v>
      </c>
      <c r="B9" s="716"/>
      <c r="C9" s="716"/>
      <c r="D9" s="716"/>
      <c r="E9" s="716"/>
      <c r="F9" s="716"/>
      <c r="G9" s="716"/>
      <c r="H9" s="716"/>
      <c r="I9" s="716"/>
      <c r="J9" s="716"/>
    </row>
    <row r="10" spans="1:10" ht="24" customHeight="1">
      <c r="A10" s="204" t="s">
        <v>472</v>
      </c>
      <c r="B10" s="717" t="s">
        <v>580</v>
      </c>
      <c r="C10" s="717"/>
      <c r="D10" s="205" t="s">
        <v>581</v>
      </c>
      <c r="E10" s="206" t="s">
        <v>582</v>
      </c>
      <c r="F10" s="718" t="s">
        <v>475</v>
      </c>
      <c r="G10" s="718"/>
      <c r="H10" s="718"/>
      <c r="I10" s="718"/>
      <c r="J10" s="718"/>
    </row>
    <row r="11" spans="1:10" ht="19.5" customHeight="1">
      <c r="A11" s="719">
        <v>1</v>
      </c>
      <c r="B11" s="720" t="str">
        <f>A7</f>
        <v>Servente de Limpeza (40%)</v>
      </c>
      <c r="C11" s="720"/>
      <c r="D11" s="207">
        <f>Dados!D9</f>
        <v>200</v>
      </c>
      <c r="E11" s="208">
        <f>Dados!E9</f>
        <v>1394.24</v>
      </c>
      <c r="F11" s="209">
        <f>ROUND(E11/220*D11,2)</f>
        <v>1267.49</v>
      </c>
      <c r="G11" s="209">
        <f>F11</f>
        <v>1267.49</v>
      </c>
      <c r="H11" s="209"/>
      <c r="I11" s="209"/>
      <c r="J11" s="210"/>
    </row>
    <row r="12" spans="1:10" ht="19.5" customHeight="1">
      <c r="A12" s="719"/>
      <c r="B12" s="720" t="s">
        <v>583</v>
      </c>
      <c r="C12" s="720"/>
      <c r="D12" s="258">
        <f>Dados!G9</f>
        <v>0.4</v>
      </c>
      <c r="E12" s="208">
        <f>Dados!G27</f>
        <v>1320</v>
      </c>
      <c r="F12" s="209">
        <f>D12*E12</f>
        <v>528</v>
      </c>
      <c r="G12" s="209">
        <f>F12</f>
        <v>528</v>
      </c>
      <c r="H12" s="209"/>
      <c r="I12" s="209"/>
      <c r="J12" s="210">
        <f>F12</f>
        <v>528</v>
      </c>
    </row>
    <row r="13" spans="1:10" ht="20.25" customHeight="1">
      <c r="A13" s="719"/>
      <c r="B13" s="212" t="s">
        <v>584</v>
      </c>
      <c r="C13" s="213">
        <f>Dados!I9</f>
        <v>0</v>
      </c>
      <c r="D13" s="213">
        <f>Dados!J9</f>
        <v>0</v>
      </c>
      <c r="E13" s="214">
        <f>Dados!L9</f>
        <v>0</v>
      </c>
      <c r="F13" s="215">
        <f>ROUND((E13*D13*C13),2)</f>
        <v>0</v>
      </c>
      <c r="G13" s="215">
        <f>F13</f>
        <v>0</v>
      </c>
      <c r="H13" s="215"/>
      <c r="I13" s="215"/>
      <c r="J13" s="216"/>
    </row>
    <row r="14" spans="1:10" ht="19.5" customHeight="1">
      <c r="A14" s="719"/>
      <c r="B14" s="721" t="s">
        <v>585</v>
      </c>
      <c r="C14" s="721"/>
      <c r="D14" s="721"/>
      <c r="E14" s="721"/>
      <c r="F14" s="217">
        <f>SUM(F11:F13)</f>
        <v>1795.49</v>
      </c>
      <c r="G14" s="217">
        <f>SUM(G11:G13)</f>
        <v>1795.49</v>
      </c>
      <c r="H14" s="217">
        <f>SUM(H11:H13)</f>
        <v>0</v>
      </c>
      <c r="I14" s="217">
        <f>SUM(I11:I13)</f>
        <v>0</v>
      </c>
      <c r="J14" s="218">
        <f>SUM(J11:J13)</f>
        <v>528</v>
      </c>
    </row>
    <row r="15" spans="1:10" ht="19.5" customHeight="1">
      <c r="A15" s="719"/>
      <c r="B15" s="722" t="s">
        <v>586</v>
      </c>
      <c r="C15" s="722"/>
      <c r="D15" s="722"/>
      <c r="E15" s="219">
        <f>Encargos!$C$57</f>
        <v>0.79049999999999998</v>
      </c>
      <c r="F15" s="209">
        <f>ROUND((E15*F14),2)</f>
        <v>1419.33</v>
      </c>
      <c r="G15" s="209">
        <f>F15</f>
        <v>1419.33</v>
      </c>
      <c r="H15" s="209"/>
      <c r="I15" s="209"/>
      <c r="J15" s="210">
        <f>ROUND((E15*J14),2)</f>
        <v>417.38</v>
      </c>
    </row>
    <row r="16" spans="1:10" ht="19.5" customHeight="1">
      <c r="A16" s="723" t="s">
        <v>587</v>
      </c>
      <c r="B16" s="723"/>
      <c r="C16" s="723"/>
      <c r="D16" s="723"/>
      <c r="E16" s="723"/>
      <c r="F16" s="220">
        <f>SUM(F14:F15)</f>
        <v>3214.8199999999997</v>
      </c>
      <c r="G16" s="220">
        <f>SUM(G14:G15)</f>
        <v>3214.8199999999997</v>
      </c>
      <c r="H16" s="220">
        <f>SUM(H14:H15)</f>
        <v>0</v>
      </c>
      <c r="I16" s="220">
        <f>SUM(I14:I15)</f>
        <v>0</v>
      </c>
      <c r="J16" s="221">
        <f>SUM(J14:J15)</f>
        <v>945.38</v>
      </c>
    </row>
    <row r="17" spans="1:12" ht="19.5" customHeight="1">
      <c r="A17" s="724" t="s">
        <v>588</v>
      </c>
      <c r="B17" s="724"/>
      <c r="C17" s="724"/>
      <c r="D17" s="724"/>
      <c r="E17" s="724"/>
      <c r="F17" s="724"/>
      <c r="G17" s="724"/>
      <c r="H17" s="724"/>
      <c r="I17" s="724"/>
      <c r="J17" s="724"/>
    </row>
    <row r="18" spans="1:12" ht="19.5" customHeight="1">
      <c r="A18" s="725" t="s">
        <v>589</v>
      </c>
      <c r="B18" s="725"/>
      <c r="C18" s="222" t="s">
        <v>474</v>
      </c>
      <c r="D18" s="726" t="s">
        <v>590</v>
      </c>
      <c r="E18" s="726"/>
      <c r="F18" s="727" t="s">
        <v>475</v>
      </c>
      <c r="G18" s="727"/>
      <c r="H18" s="727"/>
      <c r="I18" s="727"/>
      <c r="J18" s="727"/>
    </row>
    <row r="19" spans="1:12" ht="19.5" customHeight="1">
      <c r="A19" s="728" t="s">
        <v>591</v>
      </c>
      <c r="B19" s="728"/>
      <c r="C19" s="224"/>
      <c r="D19" s="224"/>
      <c r="E19" s="224"/>
      <c r="F19" s="209">
        <f>Dados!N9</f>
        <v>23.59</v>
      </c>
      <c r="G19" s="209">
        <f>F19</f>
        <v>23.59</v>
      </c>
      <c r="H19" s="209"/>
      <c r="I19" s="209"/>
      <c r="J19" s="210"/>
    </row>
    <row r="20" spans="1:12" ht="19.5" customHeight="1">
      <c r="A20" s="728" t="s">
        <v>592</v>
      </c>
      <c r="B20" s="728"/>
      <c r="C20" s="224"/>
      <c r="D20" s="224"/>
      <c r="E20" s="224"/>
      <c r="F20" s="209">
        <f>Dados!G30</f>
        <v>4</v>
      </c>
      <c r="G20" s="209">
        <f>F20</f>
        <v>4</v>
      </c>
      <c r="H20" s="209"/>
      <c r="I20" s="209"/>
      <c r="J20" s="210"/>
    </row>
    <row r="21" spans="1:12" ht="23.25" customHeight="1">
      <c r="A21" s="729" t="s">
        <v>294</v>
      </c>
      <c r="B21" s="729"/>
      <c r="C21" s="224"/>
      <c r="D21" s="224"/>
      <c r="E21" s="224"/>
      <c r="F21" s="209">
        <f>Dados!G31</f>
        <v>36.17</v>
      </c>
      <c r="G21" s="209">
        <f>F21</f>
        <v>36.17</v>
      </c>
      <c r="H21" s="209"/>
      <c r="I21" s="209"/>
      <c r="J21" s="210"/>
    </row>
    <row r="22" spans="1:12" ht="19.5" customHeight="1">
      <c r="A22" s="728" t="s">
        <v>295</v>
      </c>
      <c r="B22" s="728"/>
      <c r="C22" s="225">
        <f>Dados!$G$34</f>
        <v>22</v>
      </c>
      <c r="D22" s="225">
        <f>Dados!$G$33</f>
        <v>2</v>
      </c>
      <c r="E22" s="226">
        <f>Dados!$G$32</f>
        <v>3.2</v>
      </c>
      <c r="F22" s="209">
        <f>IF(ROUND((E22*D22*C22)-(F11*Dados!G35),2)&lt;0,0,ROUND((E22*D22*C22)-(F11*Dados!G35),2))</f>
        <v>64.75</v>
      </c>
      <c r="G22" s="209">
        <f>F22</f>
        <v>64.75</v>
      </c>
      <c r="H22" s="209"/>
      <c r="I22" s="209">
        <f>F22</f>
        <v>64.75</v>
      </c>
      <c r="J22" s="210"/>
    </row>
    <row r="23" spans="1:12" ht="19.5" customHeight="1">
      <c r="A23" s="728" t="s">
        <v>304</v>
      </c>
      <c r="B23" s="728"/>
      <c r="C23" s="225">
        <f>Dados!G37</f>
        <v>22</v>
      </c>
      <c r="D23" s="227">
        <f>Dados!G38</f>
        <v>0</v>
      </c>
      <c r="E23" s="226">
        <f>Dados!G36</f>
        <v>347.81</v>
      </c>
      <c r="F23" s="228">
        <f>E23</f>
        <v>347.81</v>
      </c>
      <c r="G23" s="209">
        <f>F23</f>
        <v>347.81</v>
      </c>
      <c r="H23" s="209">
        <f>$F$23</f>
        <v>347.81</v>
      </c>
      <c r="I23" s="228"/>
      <c r="J23" s="210"/>
    </row>
    <row r="24" spans="1:12" ht="19.5" customHeight="1">
      <c r="A24" s="728" t="s">
        <v>307</v>
      </c>
      <c r="B24" s="728"/>
      <c r="C24" s="225"/>
      <c r="D24" s="225"/>
      <c r="E24" s="226"/>
      <c r="F24" s="228">
        <f>Dados!G39</f>
        <v>0</v>
      </c>
      <c r="G24" s="209"/>
      <c r="H24" s="209"/>
      <c r="I24" s="228"/>
      <c r="J24" s="210"/>
    </row>
    <row r="25" spans="1:12" ht="19.5" customHeight="1">
      <c r="A25" s="728" t="s">
        <v>307</v>
      </c>
      <c r="B25" s="728"/>
      <c r="C25" s="225"/>
      <c r="D25" s="225"/>
      <c r="E25" s="226"/>
      <c r="F25" s="228">
        <f>Dados!G40</f>
        <v>0</v>
      </c>
      <c r="G25" s="209"/>
      <c r="H25" s="209"/>
      <c r="I25" s="228"/>
      <c r="J25" s="210"/>
    </row>
    <row r="26" spans="1:12" ht="19.5" customHeight="1">
      <c r="A26" s="728" t="s">
        <v>593</v>
      </c>
      <c r="B26" s="728"/>
      <c r="C26" s="225"/>
      <c r="D26" s="226"/>
      <c r="E26" s="226"/>
      <c r="F26" s="209">
        <f>Dados!O9</f>
        <v>300.66000000000003</v>
      </c>
      <c r="G26" s="209"/>
      <c r="H26" s="209"/>
      <c r="I26" s="209"/>
      <c r="J26" s="210"/>
      <c r="L26" s="229"/>
    </row>
    <row r="27" spans="1:12" ht="19.5" customHeight="1">
      <c r="A27" s="223" t="s">
        <v>594</v>
      </c>
      <c r="B27" s="230"/>
      <c r="C27" s="225"/>
      <c r="D27" s="226"/>
      <c r="E27" s="226"/>
      <c r="F27" s="209"/>
      <c r="G27" s="209"/>
      <c r="H27" s="209"/>
      <c r="I27" s="209"/>
      <c r="J27" s="210"/>
    </row>
    <row r="28" spans="1:12" ht="19.5" customHeight="1">
      <c r="A28" s="730" t="s">
        <v>595</v>
      </c>
      <c r="B28" s="730"/>
      <c r="C28" s="231"/>
      <c r="D28" s="232"/>
      <c r="E28" s="232"/>
      <c r="F28" s="215">
        <f>Dados!Q9</f>
        <v>27.56</v>
      </c>
      <c r="G28" s="215">
        <f>F28</f>
        <v>27.56</v>
      </c>
      <c r="H28" s="215"/>
      <c r="I28" s="215"/>
      <c r="J28" s="216"/>
    </row>
    <row r="29" spans="1:12" ht="19.5" customHeight="1">
      <c r="A29" s="731" t="s">
        <v>596</v>
      </c>
      <c r="B29" s="731"/>
      <c r="C29" s="731"/>
      <c r="D29" s="731"/>
      <c r="E29" s="731"/>
      <c r="F29" s="220">
        <f>SUM(F19:F28)</f>
        <v>804.54</v>
      </c>
      <c r="G29" s="220">
        <f>SUM(G19:G28)</f>
        <v>503.88</v>
      </c>
      <c r="H29" s="220">
        <f>SUM(H19:H28)</f>
        <v>347.81</v>
      </c>
      <c r="I29" s="220">
        <f>SUM(I19:I28)</f>
        <v>64.75</v>
      </c>
      <c r="J29" s="221">
        <f>SUM(J19:J28)</f>
        <v>0</v>
      </c>
    </row>
    <row r="30" spans="1:12" ht="19.5" customHeight="1">
      <c r="A30" s="731" t="s">
        <v>597</v>
      </c>
      <c r="B30" s="731"/>
      <c r="C30" s="731"/>
      <c r="D30" s="731"/>
      <c r="E30" s="731"/>
      <c r="F30" s="220">
        <f>F16+F29</f>
        <v>4019.3599999999997</v>
      </c>
      <c r="G30" s="220">
        <f>G16+G29</f>
        <v>3718.7</v>
      </c>
      <c r="H30" s="220">
        <f>H16+H29</f>
        <v>347.81</v>
      </c>
      <c r="I30" s="220">
        <f>I16+I29</f>
        <v>64.75</v>
      </c>
      <c r="J30" s="221">
        <f>J16+J29</f>
        <v>945.38</v>
      </c>
    </row>
    <row r="31" spans="1:12" ht="19.5" customHeight="1">
      <c r="A31" s="716" t="s">
        <v>598</v>
      </c>
      <c r="B31" s="716"/>
      <c r="C31" s="716"/>
      <c r="D31" s="716"/>
      <c r="E31" s="716"/>
      <c r="F31" s="716"/>
      <c r="G31" s="716"/>
      <c r="H31" s="716"/>
      <c r="I31" s="716"/>
      <c r="J31" s="716"/>
    </row>
    <row r="32" spans="1:12" ht="19.5" customHeight="1">
      <c r="A32" s="725" t="s">
        <v>599</v>
      </c>
      <c r="B32" s="725"/>
      <c r="C32" s="725"/>
      <c r="D32" s="233" t="s">
        <v>538</v>
      </c>
      <c r="E32" s="732" t="s">
        <v>475</v>
      </c>
      <c r="F32" s="732"/>
      <c r="G32" s="732"/>
      <c r="H32" s="732"/>
      <c r="I32" s="732"/>
      <c r="J32" s="732"/>
    </row>
    <row r="33" spans="1:12" ht="19.5" customHeight="1">
      <c r="A33" s="234" t="s">
        <v>600</v>
      </c>
      <c r="B33" s="235"/>
      <c r="C33" s="235"/>
      <c r="D33" s="236">
        <f>Dados!$G$43</f>
        <v>0.03</v>
      </c>
      <c r="E33" s="237"/>
      <c r="F33" s="209">
        <f>ROUND((F30*$D$33),2)</f>
        <v>120.58</v>
      </c>
      <c r="G33" s="209">
        <f>ROUND((G30*$D$33),2)</f>
        <v>111.56</v>
      </c>
      <c r="H33" s="209">
        <f>ROUND((H30*$D$33),2)</f>
        <v>10.43</v>
      </c>
      <c r="I33" s="209">
        <f>ROUND((I30*$D$33),2)</f>
        <v>1.94</v>
      </c>
      <c r="J33" s="210">
        <f>ROUND((J30*$D$33),2)</f>
        <v>28.36</v>
      </c>
    </row>
    <row r="34" spans="1:12" ht="19.5" customHeight="1">
      <c r="A34" s="733" t="s">
        <v>601</v>
      </c>
      <c r="B34" s="733"/>
      <c r="C34" s="733"/>
      <c r="D34" s="236"/>
      <c r="E34" s="237"/>
      <c r="F34" s="209">
        <f>F30+F33</f>
        <v>4139.9399999999996</v>
      </c>
      <c r="G34" s="209">
        <f>G30+G33</f>
        <v>3830.2599999999998</v>
      </c>
      <c r="H34" s="209">
        <f>H30+H33</f>
        <v>358.24</v>
      </c>
      <c r="I34" s="209">
        <f>I30+I33</f>
        <v>66.69</v>
      </c>
      <c r="J34" s="210">
        <f>J30+J33</f>
        <v>973.74</v>
      </c>
    </row>
    <row r="35" spans="1:12" ht="19.5" customHeight="1">
      <c r="A35" s="238" t="s">
        <v>312</v>
      </c>
      <c r="B35" s="239"/>
      <c r="C35" s="239"/>
      <c r="D35" s="240">
        <f>Dados!$G$44</f>
        <v>6.7900000000000002E-2</v>
      </c>
      <c r="E35" s="241"/>
      <c r="F35" s="215">
        <f>ROUND((F34*$D$35),2)</f>
        <v>281.10000000000002</v>
      </c>
      <c r="G35" s="215">
        <f>ROUND((G34*$D$35),2)</f>
        <v>260.07</v>
      </c>
      <c r="H35" s="215">
        <f>ROUND((H34*$D$35),2)</f>
        <v>24.32</v>
      </c>
      <c r="I35" s="215">
        <f>ROUND((I34*$D$35),2)</f>
        <v>4.53</v>
      </c>
      <c r="J35" s="216">
        <f>ROUND((J34*$D$35),2)</f>
        <v>66.12</v>
      </c>
    </row>
    <row r="36" spans="1:12" ht="19.5" customHeight="1">
      <c r="A36" s="242" t="s">
        <v>602</v>
      </c>
      <c r="B36" s="243"/>
      <c r="C36" s="243"/>
      <c r="D36" s="244">
        <f>SUM(D33:D35)</f>
        <v>9.7900000000000001E-2</v>
      </c>
      <c r="E36" s="245"/>
      <c r="F36" s="220">
        <f>F33+F35</f>
        <v>401.68</v>
      </c>
      <c r="G36" s="220">
        <f>G33+G35</f>
        <v>371.63</v>
      </c>
      <c r="H36" s="220">
        <f>H33+H35</f>
        <v>34.75</v>
      </c>
      <c r="I36" s="220">
        <f>I33+I35</f>
        <v>6.4700000000000006</v>
      </c>
      <c r="J36" s="221">
        <f>J33+J35</f>
        <v>94.48</v>
      </c>
    </row>
    <row r="37" spans="1:12" ht="19.5" customHeight="1">
      <c r="A37" s="734" t="s">
        <v>603</v>
      </c>
      <c r="B37" s="734"/>
      <c r="C37" s="734"/>
      <c r="D37" s="734"/>
      <c r="E37" s="734"/>
      <c r="F37" s="246">
        <f>F30+F36</f>
        <v>4421.04</v>
      </c>
      <c r="G37" s="246">
        <f>G30+G36</f>
        <v>4090.33</v>
      </c>
      <c r="H37" s="246">
        <f>H30+H36</f>
        <v>382.56</v>
      </c>
      <c r="I37" s="246">
        <f>I30+I36</f>
        <v>71.22</v>
      </c>
      <c r="J37" s="247">
        <f>J30+J36</f>
        <v>1039.8599999999999</v>
      </c>
    </row>
    <row r="38" spans="1:12" ht="19.5" customHeight="1">
      <c r="A38" s="735" t="s">
        <v>604</v>
      </c>
      <c r="B38" s="735"/>
      <c r="C38" s="735"/>
      <c r="D38" s="735"/>
      <c r="E38" s="735"/>
      <c r="F38" s="735"/>
      <c r="G38" s="735"/>
      <c r="H38" s="735"/>
      <c r="I38" s="735"/>
      <c r="J38" s="735"/>
    </row>
    <row r="39" spans="1:12" ht="19.5" customHeight="1">
      <c r="A39" s="728" t="s">
        <v>318</v>
      </c>
      <c r="B39" s="728"/>
      <c r="C39" s="728"/>
      <c r="D39" s="236">
        <f>Dados!G51</f>
        <v>7.5999999999999998E-2</v>
      </c>
      <c r="E39" s="248"/>
      <c r="F39" s="209">
        <f>ROUND(($F$45*D39),2)</f>
        <v>387.32</v>
      </c>
      <c r="G39" s="209">
        <f>ROUND((G45*$D$39),2)</f>
        <v>358.35</v>
      </c>
      <c r="H39" s="209">
        <f>ROUND((H45*$D$39),2)</f>
        <v>29.07</v>
      </c>
      <c r="I39" s="209">
        <f>ROUND((I45*$D$39),2)</f>
        <v>6.24</v>
      </c>
      <c r="J39" s="210">
        <f>ROUND((J45*$D$39),2)</f>
        <v>91.1</v>
      </c>
    </row>
    <row r="40" spans="1:12" ht="19.5" customHeight="1">
      <c r="A40" s="728" t="s">
        <v>320</v>
      </c>
      <c r="B40" s="728"/>
      <c r="C40" s="728"/>
      <c r="D40" s="236">
        <f>Dados!G52</f>
        <v>1.6500000000000001E-2</v>
      </c>
      <c r="E40" s="248"/>
      <c r="F40" s="209">
        <f>ROUND((F45*$D$40),2)</f>
        <v>84.09</v>
      </c>
      <c r="G40" s="209">
        <f>ROUND((G45*$D$40),2)</f>
        <v>77.8</v>
      </c>
      <c r="H40" s="209">
        <f>ROUND((H45*$D$40),2)</f>
        <v>6.31</v>
      </c>
      <c r="I40" s="209">
        <f>ROUND((I45*$D$40),2)</f>
        <v>1.35</v>
      </c>
      <c r="J40" s="210">
        <f>ROUND((J45*$D$40),2)</f>
        <v>19.78</v>
      </c>
    </row>
    <row r="41" spans="1:12" ht="19.5" customHeight="1">
      <c r="A41" s="728" t="s">
        <v>321</v>
      </c>
      <c r="B41" s="728"/>
      <c r="C41" s="728"/>
      <c r="D41" s="236">
        <f>Dados!G53</f>
        <v>0.04</v>
      </c>
      <c r="E41" s="248"/>
      <c r="F41" s="209">
        <f>ROUND((F45*$D$41),2)</f>
        <v>203.85</v>
      </c>
      <c r="G41" s="209">
        <f>ROUND((G45*$D$41),2)</f>
        <v>188.6</v>
      </c>
      <c r="H41" s="209">
        <f>ROUND((H45*$D$41),2)</f>
        <v>15.3</v>
      </c>
      <c r="I41" s="209">
        <f>ROUND((I45*$D$41),2)</f>
        <v>3.28</v>
      </c>
      <c r="J41" s="210">
        <f>ROUND((J45*$D$41),2)</f>
        <v>47.95</v>
      </c>
    </row>
    <row r="42" spans="1:12" ht="19.5" customHeight="1">
      <c r="A42" s="728" t="s">
        <v>307</v>
      </c>
      <c r="B42" s="728"/>
      <c r="C42" s="728"/>
      <c r="D42" s="236">
        <f>Dados!G54</f>
        <v>0</v>
      </c>
      <c r="E42" s="248"/>
      <c r="F42" s="209">
        <f>ROUND((F45*$D$42),2)</f>
        <v>0</v>
      </c>
      <c r="G42" s="209">
        <f>ROUND((G45*$D$42),2)</f>
        <v>0</v>
      </c>
      <c r="H42" s="209">
        <f>ROUND((H45*$D$42),2)</f>
        <v>0</v>
      </c>
      <c r="I42" s="209">
        <f>ROUND((I45*$D$42),2)</f>
        <v>0</v>
      </c>
      <c r="J42" s="210">
        <f>ROUND((J45*$D$42),2)</f>
        <v>0</v>
      </c>
    </row>
    <row r="43" spans="1:12" ht="19.5" customHeight="1">
      <c r="A43" s="737" t="s">
        <v>605</v>
      </c>
      <c r="B43" s="737"/>
      <c r="C43" s="737"/>
      <c r="D43" s="249">
        <f>SUM(D39:D42)</f>
        <v>0.13250000000000001</v>
      </c>
      <c r="E43" s="250"/>
      <c r="F43" s="251">
        <f>SUM(F39:F42)</f>
        <v>675.26</v>
      </c>
      <c r="G43" s="251">
        <f>SUM(G39:G42)</f>
        <v>624.75</v>
      </c>
      <c r="H43" s="251">
        <f>SUM(H39:H42)</f>
        <v>50.680000000000007</v>
      </c>
      <c r="I43" s="251">
        <f>SUM(I39:I42)</f>
        <v>10.87</v>
      </c>
      <c r="J43" s="252">
        <f>SUM(J39:J41)</f>
        <v>158.82999999999998</v>
      </c>
    </row>
    <row r="44" spans="1:12" ht="19.5" customHeight="1">
      <c r="A44" s="738" t="str">
        <f>CONCATENATE("Custo Mensal - ",A7)</f>
        <v>Custo Mensal - Servente de Limpeza (40%)</v>
      </c>
      <c r="B44" s="738"/>
      <c r="C44" s="738"/>
      <c r="D44" s="738"/>
      <c r="E44" s="738"/>
      <c r="F44" s="253">
        <f>ROUND(F37/(1-D43),2)</f>
        <v>5096.3</v>
      </c>
      <c r="G44" s="253">
        <f>ROUND(G37/(1-D43),2)</f>
        <v>4715.08</v>
      </c>
      <c r="H44" s="253">
        <f>ROUND(H37/(1-C43),2)</f>
        <v>382.56</v>
      </c>
      <c r="I44" s="253">
        <f>ROUND(I37/(1-D43),2)</f>
        <v>82.1</v>
      </c>
      <c r="J44" s="254">
        <f>ROUND(J37/(1-D43),2)</f>
        <v>1198.69</v>
      </c>
    </row>
    <row r="45" spans="1:12" ht="19.5" customHeight="1">
      <c r="A45" s="739" t="str">
        <f>CONCATENATE("Valor do Custo Mensal - ",A7)</f>
        <v>Valor do Custo Mensal - Servente de Limpeza (40%)</v>
      </c>
      <c r="B45" s="739"/>
      <c r="C45" s="739"/>
      <c r="D45" s="739"/>
      <c r="E45" s="739"/>
      <c r="F45" s="253">
        <f>F44</f>
        <v>5096.3</v>
      </c>
      <c r="G45" s="253">
        <f>G44</f>
        <v>4715.08</v>
      </c>
      <c r="H45" s="253">
        <f>H44</f>
        <v>382.56</v>
      </c>
      <c r="I45" s="253">
        <f>I44</f>
        <v>82.1</v>
      </c>
      <c r="J45" s="254">
        <f>J44</f>
        <v>1198.69</v>
      </c>
      <c r="K45" s="255"/>
      <c r="L45" s="255"/>
    </row>
    <row r="46" spans="1:12" ht="27.75" customHeight="1">
      <c r="A46" s="740" t="s">
        <v>606</v>
      </c>
      <c r="B46" s="740"/>
      <c r="C46" s="740"/>
      <c r="D46" s="740"/>
      <c r="E46" s="740"/>
      <c r="F46" s="256">
        <f>(F45/F14)</f>
        <v>2.8383895204094705</v>
      </c>
      <c r="G46" s="256">
        <f>(G45/G14)</f>
        <v>2.6260686497836243</v>
      </c>
      <c r="H46" s="736" t="s">
        <v>607</v>
      </c>
      <c r="I46" s="736"/>
      <c r="J46" s="257">
        <f>ROUND((J45/30),2)</f>
        <v>39.96</v>
      </c>
    </row>
    <row r="47" spans="1:12" ht="19.5" customHeight="1"/>
  </sheetData>
  <sheetProtection password="C494" sheet="1" objects="1" scenarios="1"/>
  <mergeCells count="49">
    <mergeCell ref="H46:I46"/>
    <mergeCell ref="A42:C42"/>
    <mergeCell ref="A43:C43"/>
    <mergeCell ref="A44:E44"/>
    <mergeCell ref="A45:E45"/>
    <mergeCell ref="A46:E46"/>
    <mergeCell ref="A37:E37"/>
    <mergeCell ref="A38:J38"/>
    <mergeCell ref="A39:C39"/>
    <mergeCell ref="A40:C40"/>
    <mergeCell ref="A41:C41"/>
    <mergeCell ref="A30:E30"/>
    <mergeCell ref="A31:J31"/>
    <mergeCell ref="A32:C32"/>
    <mergeCell ref="E32:J32"/>
    <mergeCell ref="A34:C34"/>
    <mergeCell ref="A24:B24"/>
    <mergeCell ref="A25:B25"/>
    <mergeCell ref="A26:B26"/>
    <mergeCell ref="A28:B28"/>
    <mergeCell ref="A29:E29"/>
    <mergeCell ref="A19:B19"/>
    <mergeCell ref="A20:B20"/>
    <mergeCell ref="A21:B21"/>
    <mergeCell ref="A22:B22"/>
    <mergeCell ref="A23:B23"/>
    <mergeCell ref="A16:E16"/>
    <mergeCell ref="A17:J17"/>
    <mergeCell ref="A18:B18"/>
    <mergeCell ref="D18:E18"/>
    <mergeCell ref="F18:J18"/>
    <mergeCell ref="A9:J9"/>
    <mergeCell ref="B10:C10"/>
    <mergeCell ref="F10:J10"/>
    <mergeCell ref="A11:A15"/>
    <mergeCell ref="B11:C11"/>
    <mergeCell ref="B12:C12"/>
    <mergeCell ref="B14:E14"/>
    <mergeCell ref="B15:D15"/>
    <mergeCell ref="A4:J4"/>
    <mergeCell ref="A5:J5"/>
    <mergeCell ref="A6:J6"/>
    <mergeCell ref="A7:E7"/>
    <mergeCell ref="F7:F8"/>
    <mergeCell ref="G7:G8"/>
    <mergeCell ref="H7:H8"/>
    <mergeCell ref="I7:I8"/>
    <mergeCell ref="J7:J8"/>
    <mergeCell ref="A8:D8"/>
  </mergeCells>
  <pageMargins left="0.51180555555555496" right="0.51180555555555496" top="0.78749999999999998" bottom="0.78749999999999998" header="0.51180555555555496" footer="0.51180555555555496"/>
  <pageSetup paperSize="9" scale="67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J47"/>
  <sheetViews>
    <sheetView showGridLines="0" zoomScaleNormal="100" workbookViewId="0">
      <selection activeCell="F28" sqref="F28"/>
    </sheetView>
  </sheetViews>
  <sheetFormatPr defaultColWidth="9.140625" defaultRowHeight="15"/>
  <cols>
    <col min="1" max="1" width="10.5703125" style="18" customWidth="1"/>
    <col min="2" max="2" width="27.7109375" style="18" customWidth="1"/>
    <col min="3" max="3" width="14.42578125" style="18" customWidth="1"/>
    <col min="4" max="5" width="15" style="18" customWidth="1"/>
    <col min="6" max="6" width="16.7109375" style="192" customWidth="1"/>
    <col min="7" max="8" width="13.140625" style="192" customWidth="1"/>
    <col min="9" max="10" width="12.5703125" style="192" customWidth="1"/>
    <col min="11" max="257" width="9.140625" style="18"/>
    <col min="258" max="258" width="10.5703125" style="18" customWidth="1"/>
    <col min="259" max="259" width="27.7109375" style="18" customWidth="1"/>
    <col min="260" max="260" width="14.42578125" style="18" customWidth="1"/>
    <col min="261" max="262" width="15" style="18" customWidth="1"/>
    <col min="263" max="263" width="16.7109375" style="18" customWidth="1"/>
    <col min="264" max="264" width="13.140625" style="18" customWidth="1"/>
    <col min="265" max="266" width="12.5703125" style="18" customWidth="1"/>
    <col min="267" max="513" width="9.140625" style="18"/>
    <col min="514" max="514" width="10.5703125" style="18" customWidth="1"/>
    <col min="515" max="515" width="27.7109375" style="18" customWidth="1"/>
    <col min="516" max="516" width="14.42578125" style="18" customWidth="1"/>
    <col min="517" max="518" width="15" style="18" customWidth="1"/>
    <col min="519" max="519" width="16.7109375" style="18" customWidth="1"/>
    <col min="520" max="520" width="13.140625" style="18" customWidth="1"/>
    <col min="521" max="522" width="12.5703125" style="18" customWidth="1"/>
    <col min="523" max="769" width="9.140625" style="18"/>
    <col min="770" max="770" width="10.5703125" style="18" customWidth="1"/>
    <col min="771" max="771" width="27.7109375" style="18" customWidth="1"/>
    <col min="772" max="772" width="14.42578125" style="18" customWidth="1"/>
    <col min="773" max="774" width="15" style="18" customWidth="1"/>
    <col min="775" max="775" width="16.7109375" style="18" customWidth="1"/>
    <col min="776" max="776" width="13.140625" style="18" customWidth="1"/>
    <col min="777" max="778" width="12.5703125" style="18" customWidth="1"/>
    <col min="779" max="1024" width="9.140625" style="18"/>
  </cols>
  <sheetData>
    <row r="1" spans="1:10">
      <c r="A1" s="193"/>
      <c r="B1" s="15" t="str">
        <f>INSTRUÇÕES!B1</f>
        <v>Tribunal Regional Federal da 6ª Região</v>
      </c>
      <c r="C1" s="194"/>
      <c r="D1" s="194"/>
      <c r="E1" s="194"/>
      <c r="F1" s="195"/>
      <c r="G1" s="196"/>
      <c r="H1" s="196"/>
      <c r="I1" s="195"/>
      <c r="J1" s="197"/>
    </row>
    <row r="2" spans="1:10">
      <c r="A2" s="198"/>
      <c r="B2" s="17" t="str">
        <f>INSTRUÇÕES!B2</f>
        <v>Seção Judiciária de Minas Gerais</v>
      </c>
      <c r="C2" s="199"/>
      <c r="D2" s="199"/>
      <c r="E2" s="199"/>
      <c r="F2" s="200"/>
      <c r="I2" s="200"/>
      <c r="J2" s="201"/>
    </row>
    <row r="3" spans="1:10">
      <c r="A3" s="202"/>
      <c r="B3" s="142" t="str">
        <f>INSTRUÇÕES!B3</f>
        <v>Subseção Judiciária de Ituiutaba</v>
      </c>
      <c r="C3" s="199"/>
      <c r="D3" s="199"/>
      <c r="E3" s="199"/>
      <c r="F3" s="200"/>
      <c r="I3" s="200"/>
      <c r="J3" s="201"/>
    </row>
    <row r="4" spans="1:10" ht="19.5" customHeight="1">
      <c r="A4" s="710" t="s">
        <v>572</v>
      </c>
      <c r="B4" s="710"/>
      <c r="C4" s="710"/>
      <c r="D4" s="710"/>
      <c r="E4" s="710"/>
      <c r="F4" s="710"/>
      <c r="G4" s="710"/>
      <c r="H4" s="710"/>
      <c r="I4" s="710"/>
      <c r="J4" s="710"/>
    </row>
    <row r="5" spans="1:10" ht="19.5" customHeight="1">
      <c r="A5" s="711" t="s">
        <v>359</v>
      </c>
      <c r="B5" s="711"/>
      <c r="C5" s="711"/>
      <c r="D5" s="711"/>
      <c r="E5" s="711"/>
      <c r="F5" s="711"/>
      <c r="G5" s="711"/>
      <c r="H5" s="711"/>
      <c r="I5" s="711"/>
      <c r="J5" s="711"/>
    </row>
    <row r="6" spans="1:10" ht="36" customHeight="1">
      <c r="A6" s="712" t="str">
        <f>Dados!A4</f>
        <v>Sindicato utilizado - SINDEACO. Vigência: 01/01/2023 à 31/12/2023. Sendo a data base da categoria 01º Janeiro. Com número de registro no MTE MG000781/2023.</v>
      </c>
      <c r="B6" s="712"/>
      <c r="C6" s="712"/>
      <c r="D6" s="712"/>
      <c r="E6" s="712"/>
      <c r="F6" s="712"/>
      <c r="G6" s="712"/>
      <c r="H6" s="712"/>
      <c r="I6" s="712"/>
      <c r="J6" s="712"/>
    </row>
    <row r="7" spans="1:10" ht="19.5" customHeight="1">
      <c r="A7" s="713" t="str">
        <f>Dados!C8</f>
        <v>Servente de Limpeza ac. Copeira</v>
      </c>
      <c r="B7" s="713"/>
      <c r="C7" s="713"/>
      <c r="D7" s="713"/>
      <c r="E7" s="713"/>
      <c r="F7" s="714" t="s">
        <v>573</v>
      </c>
      <c r="G7" s="714" t="s">
        <v>574</v>
      </c>
      <c r="H7" s="714" t="s">
        <v>575</v>
      </c>
      <c r="I7" s="714" t="s">
        <v>576</v>
      </c>
      <c r="J7" s="714" t="s">
        <v>577</v>
      </c>
    </row>
    <row r="8" spans="1:10" ht="19.5" customHeight="1">
      <c r="A8" s="715" t="s">
        <v>578</v>
      </c>
      <c r="B8" s="715"/>
      <c r="C8" s="715"/>
      <c r="D8" s="715"/>
      <c r="E8" s="203" t="s">
        <v>471</v>
      </c>
      <c r="F8" s="714"/>
      <c r="G8" s="714"/>
      <c r="H8" s="714"/>
      <c r="I8" s="714"/>
      <c r="J8" s="714"/>
    </row>
    <row r="9" spans="1:10" ht="19.5" customHeight="1">
      <c r="A9" s="716" t="s">
        <v>579</v>
      </c>
      <c r="B9" s="716"/>
      <c r="C9" s="716"/>
      <c r="D9" s="716"/>
      <c r="E9" s="716"/>
      <c r="F9" s="716"/>
      <c r="G9" s="716"/>
      <c r="H9" s="716"/>
      <c r="I9" s="716"/>
      <c r="J9" s="716"/>
    </row>
    <row r="10" spans="1:10" ht="24" customHeight="1">
      <c r="A10" s="204" t="s">
        <v>472</v>
      </c>
      <c r="B10" s="717" t="s">
        <v>580</v>
      </c>
      <c r="C10" s="717"/>
      <c r="D10" s="205" t="s">
        <v>581</v>
      </c>
      <c r="E10" s="206" t="s">
        <v>582</v>
      </c>
      <c r="F10" s="718" t="s">
        <v>475</v>
      </c>
      <c r="G10" s="718"/>
      <c r="H10" s="718"/>
      <c r="I10" s="718"/>
      <c r="J10" s="718"/>
    </row>
    <row r="11" spans="1:10" ht="19.5" customHeight="1">
      <c r="A11" s="719">
        <v>1</v>
      </c>
      <c r="B11" s="720" t="str">
        <f>A7</f>
        <v>Servente de Limpeza ac. Copeira</v>
      </c>
      <c r="C11" s="720"/>
      <c r="D11" s="207">
        <f>Dados!D8</f>
        <v>200</v>
      </c>
      <c r="E11" s="208">
        <f>Dados!E8</f>
        <v>1394.24</v>
      </c>
      <c r="F11" s="209">
        <f>ROUND(E11/220*D11,2)</f>
        <v>1267.49</v>
      </c>
      <c r="G11" s="209">
        <f>F11</f>
        <v>1267.49</v>
      </c>
      <c r="H11" s="209"/>
      <c r="I11" s="209"/>
      <c r="J11" s="210"/>
    </row>
    <row r="12" spans="1:10" ht="19.5" customHeight="1">
      <c r="A12" s="719"/>
      <c r="B12" s="720" t="s">
        <v>583</v>
      </c>
      <c r="C12" s="720"/>
      <c r="D12" s="211">
        <f>Dados!G8</f>
        <v>0</v>
      </c>
      <c r="E12" s="208">
        <f>Dados!G27</f>
        <v>1320</v>
      </c>
      <c r="F12" s="209">
        <f>D12*E12</f>
        <v>0</v>
      </c>
      <c r="G12" s="209">
        <f>F12</f>
        <v>0</v>
      </c>
      <c r="H12" s="209"/>
      <c r="I12" s="209"/>
      <c r="J12" s="210">
        <f>F12</f>
        <v>0</v>
      </c>
    </row>
    <row r="13" spans="1:10" ht="21" customHeight="1">
      <c r="A13" s="719"/>
      <c r="B13" s="212" t="s">
        <v>584</v>
      </c>
      <c r="C13" s="213">
        <f>Dados!I8</f>
        <v>0.12</v>
      </c>
      <c r="D13" s="213">
        <f>Dados!J8</f>
        <v>0.25</v>
      </c>
      <c r="E13" s="214">
        <f>Dados!K8</f>
        <v>1267.49</v>
      </c>
      <c r="F13" s="215">
        <f>ROUND((E13*D13*C13),2)</f>
        <v>38.020000000000003</v>
      </c>
      <c r="G13" s="215">
        <f>F13</f>
        <v>38.020000000000003</v>
      </c>
      <c r="H13" s="215"/>
      <c r="I13" s="215"/>
      <c r="J13" s="216"/>
    </row>
    <row r="14" spans="1:10" ht="19.5" customHeight="1">
      <c r="A14" s="719"/>
      <c r="B14" s="721" t="s">
        <v>585</v>
      </c>
      <c r="C14" s="721"/>
      <c r="D14" s="721"/>
      <c r="E14" s="721"/>
      <c r="F14" s="217">
        <f>SUM(F11:F13)</f>
        <v>1305.51</v>
      </c>
      <c r="G14" s="217">
        <f>SUM(G11:G13)</f>
        <v>1305.51</v>
      </c>
      <c r="H14" s="217">
        <f>SUM(H11:H13)</f>
        <v>0</v>
      </c>
      <c r="I14" s="217">
        <f>SUM(I11:I13)</f>
        <v>0</v>
      </c>
      <c r="J14" s="218">
        <f>SUM(J11:J13)</f>
        <v>0</v>
      </c>
    </row>
    <row r="15" spans="1:10" ht="19.5" customHeight="1">
      <c r="A15" s="719"/>
      <c r="B15" s="722" t="s">
        <v>586</v>
      </c>
      <c r="C15" s="722"/>
      <c r="D15" s="722"/>
      <c r="E15" s="219">
        <f>Encargos!$C$57</f>
        <v>0.79049999999999998</v>
      </c>
      <c r="F15" s="209">
        <f>ROUND((E15*F14),2)</f>
        <v>1032.01</v>
      </c>
      <c r="G15" s="209">
        <f>F15</f>
        <v>1032.01</v>
      </c>
      <c r="H15" s="209"/>
      <c r="I15" s="209"/>
      <c r="J15" s="210">
        <f>ROUND((E15*J14),2)</f>
        <v>0</v>
      </c>
    </row>
    <row r="16" spans="1:10" ht="19.5" customHeight="1">
      <c r="A16" s="723" t="s">
        <v>587</v>
      </c>
      <c r="B16" s="723"/>
      <c r="C16" s="723"/>
      <c r="D16" s="723"/>
      <c r="E16" s="723"/>
      <c r="F16" s="220">
        <f>SUM(F14:F15)</f>
        <v>2337.52</v>
      </c>
      <c r="G16" s="220">
        <f>SUM(G14:G15)</f>
        <v>2337.52</v>
      </c>
      <c r="H16" s="220">
        <f>SUM(H14:H15)</f>
        <v>0</v>
      </c>
      <c r="I16" s="220">
        <f>SUM(I14:I15)</f>
        <v>0</v>
      </c>
      <c r="J16" s="221">
        <f>SUM(J14:J15)</f>
        <v>0</v>
      </c>
    </row>
    <row r="17" spans="1:12" ht="19.5" customHeight="1">
      <c r="A17" s="724" t="s">
        <v>588</v>
      </c>
      <c r="B17" s="724"/>
      <c r="C17" s="724"/>
      <c r="D17" s="724"/>
      <c r="E17" s="724"/>
      <c r="F17" s="724"/>
      <c r="G17" s="724"/>
      <c r="H17" s="724"/>
      <c r="I17" s="724"/>
      <c r="J17" s="724"/>
    </row>
    <row r="18" spans="1:12" ht="19.5" customHeight="1">
      <c r="A18" s="725" t="s">
        <v>589</v>
      </c>
      <c r="B18" s="725"/>
      <c r="C18" s="222" t="s">
        <v>474</v>
      </c>
      <c r="D18" s="726" t="s">
        <v>590</v>
      </c>
      <c r="E18" s="726"/>
      <c r="F18" s="727" t="s">
        <v>475</v>
      </c>
      <c r="G18" s="727"/>
      <c r="H18" s="727"/>
      <c r="I18" s="727"/>
      <c r="J18" s="727"/>
    </row>
    <row r="19" spans="1:12" ht="19.5" customHeight="1">
      <c r="A19" s="728" t="s">
        <v>591</v>
      </c>
      <c r="B19" s="728"/>
      <c r="C19" s="224"/>
      <c r="D19" s="224"/>
      <c r="E19" s="224"/>
      <c r="F19" s="209">
        <f>Dados!N8</f>
        <v>31.07</v>
      </c>
      <c r="G19" s="209">
        <f>F19</f>
        <v>31.07</v>
      </c>
      <c r="H19" s="209"/>
      <c r="I19" s="209"/>
      <c r="J19" s="210"/>
    </row>
    <row r="20" spans="1:12" ht="19.5" customHeight="1">
      <c r="A20" s="728" t="s">
        <v>592</v>
      </c>
      <c r="B20" s="728"/>
      <c r="C20" s="224"/>
      <c r="D20" s="224"/>
      <c r="E20" s="224"/>
      <c r="F20" s="209">
        <f>Dados!G30</f>
        <v>4</v>
      </c>
      <c r="G20" s="209">
        <f>F20</f>
        <v>4</v>
      </c>
      <c r="H20" s="209"/>
      <c r="I20" s="209"/>
      <c r="J20" s="210"/>
    </row>
    <row r="21" spans="1:12" ht="23.25" customHeight="1">
      <c r="A21" s="729" t="s">
        <v>294</v>
      </c>
      <c r="B21" s="729"/>
      <c r="C21" s="224"/>
      <c r="D21" s="224"/>
      <c r="E21" s="224"/>
      <c r="F21" s="209">
        <f>Dados!G31</f>
        <v>36.17</v>
      </c>
      <c r="G21" s="209">
        <f>F21</f>
        <v>36.17</v>
      </c>
      <c r="H21" s="209"/>
      <c r="I21" s="209"/>
      <c r="J21" s="210"/>
    </row>
    <row r="22" spans="1:12" ht="19.5" customHeight="1">
      <c r="A22" s="728" t="s">
        <v>295</v>
      </c>
      <c r="B22" s="728"/>
      <c r="C22" s="225">
        <f>Dados!$G$34</f>
        <v>22</v>
      </c>
      <c r="D22" s="225">
        <f>Dados!$G$33</f>
        <v>2</v>
      </c>
      <c r="E22" s="226">
        <f>Dados!$G$32</f>
        <v>3.2</v>
      </c>
      <c r="F22" s="209">
        <f>IF(ROUND((E22*D22*C22)-(F11*Dados!G35),2)&lt;0,0,ROUND((E22*D22*C22)-(F11*Dados!G35),2))</f>
        <v>64.75</v>
      </c>
      <c r="G22" s="209">
        <f>F22</f>
        <v>64.75</v>
      </c>
      <c r="H22" s="209"/>
      <c r="I22" s="209">
        <f>F22</f>
        <v>64.75</v>
      </c>
      <c r="J22" s="210"/>
    </row>
    <row r="23" spans="1:12" ht="19.5" customHeight="1">
      <c r="A23" s="728" t="s">
        <v>304</v>
      </c>
      <c r="B23" s="728"/>
      <c r="C23" s="225">
        <f>Dados!G37</f>
        <v>22</v>
      </c>
      <c r="D23" s="227">
        <f>Dados!G38</f>
        <v>0</v>
      </c>
      <c r="E23" s="226">
        <f>Dados!G36</f>
        <v>347.81</v>
      </c>
      <c r="F23" s="228">
        <f>E23</f>
        <v>347.81</v>
      </c>
      <c r="G23" s="209">
        <f>F23</f>
        <v>347.81</v>
      </c>
      <c r="H23" s="209">
        <f>$F$23</f>
        <v>347.81</v>
      </c>
      <c r="I23" s="228"/>
      <c r="J23" s="210"/>
    </row>
    <row r="24" spans="1:12" ht="19.5" customHeight="1">
      <c r="A24" s="728" t="s">
        <v>307</v>
      </c>
      <c r="B24" s="728"/>
      <c r="C24" s="225"/>
      <c r="D24" s="225"/>
      <c r="E24" s="226"/>
      <c r="F24" s="228">
        <f>Dados!G39</f>
        <v>0</v>
      </c>
      <c r="G24" s="209"/>
      <c r="H24" s="209"/>
      <c r="I24" s="228"/>
      <c r="J24" s="210"/>
    </row>
    <row r="25" spans="1:12" ht="19.5" customHeight="1">
      <c r="A25" s="728" t="s">
        <v>307</v>
      </c>
      <c r="B25" s="728"/>
      <c r="C25" s="225"/>
      <c r="D25" s="225"/>
      <c r="E25" s="226"/>
      <c r="F25" s="228">
        <f>Dados!G40</f>
        <v>0</v>
      </c>
      <c r="G25" s="209"/>
      <c r="H25" s="209"/>
      <c r="I25" s="228"/>
      <c r="J25" s="210"/>
    </row>
    <row r="26" spans="1:12" ht="19.5" customHeight="1">
      <c r="A26" s="728" t="s">
        <v>593</v>
      </c>
      <c r="B26" s="728"/>
      <c r="C26" s="225"/>
      <c r="D26" s="226"/>
      <c r="E26" s="226"/>
      <c r="F26" s="209">
        <f>Dados!O8</f>
        <v>300.66000000000003</v>
      </c>
      <c r="G26" s="209"/>
      <c r="H26" s="209"/>
      <c r="I26" s="209"/>
      <c r="J26" s="210"/>
      <c r="L26" s="229"/>
    </row>
    <row r="27" spans="1:12" ht="19.5" customHeight="1">
      <c r="A27" s="223" t="s">
        <v>594</v>
      </c>
      <c r="B27" s="230"/>
      <c r="C27" s="225"/>
      <c r="D27" s="226"/>
      <c r="E27" s="226"/>
      <c r="F27" s="209">
        <f>Dados!P8</f>
        <v>35.43</v>
      </c>
      <c r="G27" s="209"/>
      <c r="H27" s="209"/>
      <c r="I27" s="209"/>
      <c r="J27" s="210"/>
    </row>
    <row r="28" spans="1:12" ht="19.5" customHeight="1">
      <c r="A28" s="730" t="s">
        <v>595</v>
      </c>
      <c r="B28" s="730"/>
      <c r="C28" s="231"/>
      <c r="D28" s="232"/>
      <c r="E28" s="232"/>
      <c r="F28" s="215">
        <f>Dados!Q8</f>
        <v>27.56</v>
      </c>
      <c r="G28" s="215">
        <f>F28</f>
        <v>27.56</v>
      </c>
      <c r="H28" s="215"/>
      <c r="I28" s="215"/>
      <c r="J28" s="216"/>
    </row>
    <row r="29" spans="1:12" ht="19.5" customHeight="1">
      <c r="A29" s="731" t="s">
        <v>596</v>
      </c>
      <c r="B29" s="731"/>
      <c r="C29" s="731"/>
      <c r="D29" s="731"/>
      <c r="E29" s="731"/>
      <c r="F29" s="220">
        <f>SUM(F19:F28)</f>
        <v>847.44999999999993</v>
      </c>
      <c r="G29" s="220">
        <f>SUM(G19:G28)</f>
        <v>511.36</v>
      </c>
      <c r="H29" s="220">
        <f>SUM(H19:H28)</f>
        <v>347.81</v>
      </c>
      <c r="I29" s="220">
        <f>SUM(I19:I28)</f>
        <v>64.75</v>
      </c>
      <c r="J29" s="221">
        <f>SUM(J19:J28)</f>
        <v>0</v>
      </c>
    </row>
    <row r="30" spans="1:12" ht="19.5" customHeight="1">
      <c r="A30" s="731" t="s">
        <v>597</v>
      </c>
      <c r="B30" s="731"/>
      <c r="C30" s="731"/>
      <c r="D30" s="731"/>
      <c r="E30" s="731"/>
      <c r="F30" s="220">
        <f>F16+F29</f>
        <v>3184.97</v>
      </c>
      <c r="G30" s="220">
        <f>G16+G29</f>
        <v>2848.88</v>
      </c>
      <c r="H30" s="220">
        <f>H16+H29</f>
        <v>347.81</v>
      </c>
      <c r="I30" s="220">
        <f>I16+I29</f>
        <v>64.75</v>
      </c>
      <c r="J30" s="221">
        <f>J16+J29</f>
        <v>0</v>
      </c>
    </row>
    <row r="31" spans="1:12" ht="19.5" customHeight="1">
      <c r="A31" s="716" t="s">
        <v>598</v>
      </c>
      <c r="B31" s="716"/>
      <c r="C31" s="716"/>
      <c r="D31" s="716"/>
      <c r="E31" s="716"/>
      <c r="F31" s="716"/>
      <c r="G31" s="716"/>
      <c r="H31" s="716"/>
      <c r="I31" s="716"/>
      <c r="J31" s="716"/>
    </row>
    <row r="32" spans="1:12" ht="19.5" customHeight="1">
      <c r="A32" s="725" t="s">
        <v>599</v>
      </c>
      <c r="B32" s="725"/>
      <c r="C32" s="725"/>
      <c r="D32" s="233" t="s">
        <v>538</v>
      </c>
      <c r="E32" s="732" t="s">
        <v>475</v>
      </c>
      <c r="F32" s="732"/>
      <c r="G32" s="732"/>
      <c r="H32" s="732"/>
      <c r="I32" s="732"/>
      <c r="J32" s="732"/>
    </row>
    <row r="33" spans="1:12" ht="19.5" customHeight="1">
      <c r="A33" s="234" t="s">
        <v>600</v>
      </c>
      <c r="B33" s="235"/>
      <c r="C33" s="235"/>
      <c r="D33" s="236">
        <f>Dados!$G$43</f>
        <v>0.03</v>
      </c>
      <c r="E33" s="237"/>
      <c r="F33" s="209">
        <f>ROUND((F30*$D$33),2)</f>
        <v>95.55</v>
      </c>
      <c r="G33" s="209">
        <f>ROUND((G30*$D$33),2)</f>
        <v>85.47</v>
      </c>
      <c r="H33" s="209">
        <f>ROUND((H30*$D$33),2)</f>
        <v>10.43</v>
      </c>
      <c r="I33" s="209">
        <f>ROUND((I30*$D$33),2)</f>
        <v>1.94</v>
      </c>
      <c r="J33" s="210">
        <f>ROUND((J30*$D$33),2)</f>
        <v>0</v>
      </c>
    </row>
    <row r="34" spans="1:12" ht="19.5" customHeight="1">
      <c r="A34" s="733" t="s">
        <v>601</v>
      </c>
      <c r="B34" s="733"/>
      <c r="C34" s="733"/>
      <c r="D34" s="236"/>
      <c r="E34" s="237"/>
      <c r="F34" s="209">
        <f>F30+F33</f>
        <v>3280.52</v>
      </c>
      <c r="G34" s="209">
        <f>G30+G33</f>
        <v>2934.35</v>
      </c>
      <c r="H34" s="209">
        <f>H30+H33</f>
        <v>358.24</v>
      </c>
      <c r="I34" s="209">
        <f>I30+I33</f>
        <v>66.69</v>
      </c>
      <c r="J34" s="210">
        <f>J30+J33</f>
        <v>0</v>
      </c>
    </row>
    <row r="35" spans="1:12" ht="19.5" customHeight="1">
      <c r="A35" s="238" t="s">
        <v>312</v>
      </c>
      <c r="B35" s="239"/>
      <c r="C35" s="239"/>
      <c r="D35" s="240">
        <f>Dados!$G$44</f>
        <v>6.7900000000000002E-2</v>
      </c>
      <c r="E35" s="241"/>
      <c r="F35" s="215">
        <f>ROUND((F34*$D$35),2)</f>
        <v>222.75</v>
      </c>
      <c r="G35" s="215">
        <f>ROUND((G34*$D$35),2)</f>
        <v>199.24</v>
      </c>
      <c r="H35" s="215">
        <f>ROUND((H34*$D$35),2)</f>
        <v>24.32</v>
      </c>
      <c r="I35" s="215">
        <f>ROUND((I34*$D$35),2)</f>
        <v>4.53</v>
      </c>
      <c r="J35" s="216">
        <f>ROUND((J34*$D$35),2)</f>
        <v>0</v>
      </c>
    </row>
    <row r="36" spans="1:12" ht="19.5" customHeight="1">
      <c r="A36" s="242" t="s">
        <v>602</v>
      </c>
      <c r="B36" s="243"/>
      <c r="C36" s="243"/>
      <c r="D36" s="244">
        <f>SUM(D33:D35)</f>
        <v>9.7900000000000001E-2</v>
      </c>
      <c r="E36" s="245"/>
      <c r="F36" s="220">
        <f>F33+F35</f>
        <v>318.3</v>
      </c>
      <c r="G36" s="220">
        <f>G33+G35</f>
        <v>284.71000000000004</v>
      </c>
      <c r="H36" s="220">
        <f>H33+H35</f>
        <v>34.75</v>
      </c>
      <c r="I36" s="220">
        <f>I33+I35</f>
        <v>6.4700000000000006</v>
      </c>
      <c r="J36" s="221">
        <f>J33+J35</f>
        <v>0</v>
      </c>
    </row>
    <row r="37" spans="1:12" ht="19.5" customHeight="1">
      <c r="A37" s="734" t="s">
        <v>603</v>
      </c>
      <c r="B37" s="734"/>
      <c r="C37" s="734"/>
      <c r="D37" s="734"/>
      <c r="E37" s="734"/>
      <c r="F37" s="246">
        <f>F30+F36</f>
        <v>3503.27</v>
      </c>
      <c r="G37" s="246">
        <f>G30+G36</f>
        <v>3133.59</v>
      </c>
      <c r="H37" s="246">
        <f>H30+H36</f>
        <v>382.56</v>
      </c>
      <c r="I37" s="246">
        <f>I30+I36</f>
        <v>71.22</v>
      </c>
      <c r="J37" s="247">
        <f>J30+J36</f>
        <v>0</v>
      </c>
    </row>
    <row r="38" spans="1:12" ht="19.5" customHeight="1">
      <c r="A38" s="735" t="s">
        <v>604</v>
      </c>
      <c r="B38" s="735"/>
      <c r="C38" s="735"/>
      <c r="D38" s="735"/>
      <c r="E38" s="735"/>
      <c r="F38" s="735"/>
      <c r="G38" s="735"/>
      <c r="H38" s="735"/>
      <c r="I38" s="735"/>
      <c r="J38" s="735"/>
    </row>
    <row r="39" spans="1:12" ht="19.5" customHeight="1">
      <c r="A39" s="728" t="s">
        <v>318</v>
      </c>
      <c r="B39" s="728"/>
      <c r="C39" s="728"/>
      <c r="D39" s="236">
        <f>Dados!G51</f>
        <v>7.5999999999999998E-2</v>
      </c>
      <c r="E39" s="248"/>
      <c r="F39" s="209">
        <f>ROUND(($F$45*D39),2)</f>
        <v>306.91000000000003</v>
      </c>
      <c r="G39" s="209">
        <f>ROUND((G45*$D$39),2)</f>
        <v>274.52999999999997</v>
      </c>
      <c r="H39" s="209">
        <f>ROUND((H45*$D$39),2)</f>
        <v>29.07</v>
      </c>
      <c r="I39" s="209">
        <f>ROUND((I45*$D$39),2)</f>
        <v>6.24</v>
      </c>
      <c r="J39" s="210">
        <f>ROUND((J45*$D$39),2)</f>
        <v>0</v>
      </c>
    </row>
    <row r="40" spans="1:12" ht="19.5" customHeight="1">
      <c r="A40" s="728" t="s">
        <v>320</v>
      </c>
      <c r="B40" s="728"/>
      <c r="C40" s="728"/>
      <c r="D40" s="236">
        <f>Dados!G52</f>
        <v>1.6500000000000001E-2</v>
      </c>
      <c r="E40" s="248"/>
      <c r="F40" s="209">
        <f>ROUND((F45*$D$40),2)</f>
        <v>66.63</v>
      </c>
      <c r="G40" s="209">
        <f>ROUND((G45*$D$40),2)</f>
        <v>59.6</v>
      </c>
      <c r="H40" s="209">
        <f>ROUND((H45*$D$40),2)</f>
        <v>6.31</v>
      </c>
      <c r="I40" s="209">
        <f>ROUND((I45*$D$40),2)</f>
        <v>1.35</v>
      </c>
      <c r="J40" s="210">
        <f>ROUND((J45*$D$40),2)</f>
        <v>0</v>
      </c>
    </row>
    <row r="41" spans="1:12" ht="19.5" customHeight="1">
      <c r="A41" s="728" t="s">
        <v>321</v>
      </c>
      <c r="B41" s="728"/>
      <c r="C41" s="728"/>
      <c r="D41" s="236">
        <f>Dados!G53</f>
        <v>0.04</v>
      </c>
      <c r="E41" s="248"/>
      <c r="F41" s="209">
        <f>ROUND((F45*$D$41),2)</f>
        <v>161.53</v>
      </c>
      <c r="G41" s="209">
        <f>ROUND((G45*$D$41),2)</f>
        <v>144.49</v>
      </c>
      <c r="H41" s="209">
        <f>ROUND((H45*$D$41),2)</f>
        <v>15.3</v>
      </c>
      <c r="I41" s="209">
        <f>ROUND((I45*$D$41),2)</f>
        <v>3.28</v>
      </c>
      <c r="J41" s="210">
        <f>ROUND((J45*$D$41),2)</f>
        <v>0</v>
      </c>
    </row>
    <row r="42" spans="1:12" ht="19.5" customHeight="1">
      <c r="A42" s="728" t="s">
        <v>307</v>
      </c>
      <c r="B42" s="728"/>
      <c r="C42" s="728"/>
      <c r="D42" s="236">
        <f>Dados!G54</f>
        <v>0</v>
      </c>
      <c r="E42" s="248"/>
      <c r="F42" s="209">
        <f>ROUND((F45*$D$42),2)</f>
        <v>0</v>
      </c>
      <c r="G42" s="209">
        <f>ROUND((G45*$D$42),2)</f>
        <v>0</v>
      </c>
      <c r="H42" s="209">
        <f>ROUND((H45*$D$42),2)</f>
        <v>0</v>
      </c>
      <c r="I42" s="209">
        <f>ROUND((I45*$D$42),2)</f>
        <v>0</v>
      </c>
      <c r="J42" s="210">
        <f>ROUND((J45*$D$42),2)</f>
        <v>0</v>
      </c>
    </row>
    <row r="43" spans="1:12" ht="19.5" customHeight="1">
      <c r="A43" s="737" t="s">
        <v>605</v>
      </c>
      <c r="B43" s="737"/>
      <c r="C43" s="737"/>
      <c r="D43" s="249">
        <f>SUM(D39:D42)</f>
        <v>0.13250000000000001</v>
      </c>
      <c r="E43" s="250"/>
      <c r="F43" s="251">
        <f>SUM(F39:F42)</f>
        <v>535.07000000000005</v>
      </c>
      <c r="G43" s="251">
        <f>SUM(G39:G42)</f>
        <v>478.62</v>
      </c>
      <c r="H43" s="251">
        <f>SUM(H39:H42)</f>
        <v>50.680000000000007</v>
      </c>
      <c r="I43" s="251">
        <f>SUM(I39:I42)</f>
        <v>10.87</v>
      </c>
      <c r="J43" s="252">
        <f>SUM(J39:J41)</f>
        <v>0</v>
      </c>
    </row>
    <row r="44" spans="1:12" ht="19.5" customHeight="1">
      <c r="A44" s="738" t="str">
        <f>CONCATENATE("Custo Mensal - ",A7)</f>
        <v>Custo Mensal - Servente de Limpeza ac. Copeira</v>
      </c>
      <c r="B44" s="738"/>
      <c r="C44" s="738"/>
      <c r="D44" s="738"/>
      <c r="E44" s="738"/>
      <c r="F44" s="253">
        <f>ROUND(F37/(1-D43),2)</f>
        <v>4038.35</v>
      </c>
      <c r="G44" s="253">
        <f>ROUND(G37/(1-D43),2)</f>
        <v>3612.21</v>
      </c>
      <c r="H44" s="253">
        <f>ROUND(H37/(1-C43),2)</f>
        <v>382.56</v>
      </c>
      <c r="I44" s="253">
        <f>ROUND(I37/(1-D43),2)</f>
        <v>82.1</v>
      </c>
      <c r="J44" s="254">
        <f>ROUND(J37/(1-D43),2)</f>
        <v>0</v>
      </c>
    </row>
    <row r="45" spans="1:12" ht="19.5" customHeight="1">
      <c r="A45" s="739" t="str">
        <f>CONCATENATE("Valor do Custo Mensal - ",A7)</f>
        <v>Valor do Custo Mensal - Servente de Limpeza ac. Copeira</v>
      </c>
      <c r="B45" s="739"/>
      <c r="C45" s="739"/>
      <c r="D45" s="739"/>
      <c r="E45" s="739"/>
      <c r="F45" s="253">
        <f>F44</f>
        <v>4038.35</v>
      </c>
      <c r="G45" s="253">
        <f>G44</f>
        <v>3612.21</v>
      </c>
      <c r="H45" s="253">
        <f>H44</f>
        <v>382.56</v>
      </c>
      <c r="I45" s="253">
        <f>I44</f>
        <v>82.1</v>
      </c>
      <c r="J45" s="254">
        <f>J44</f>
        <v>0</v>
      </c>
      <c r="K45" s="255"/>
      <c r="L45" s="255"/>
    </row>
    <row r="46" spans="1:12" ht="27.75" customHeight="1">
      <c r="A46" s="740" t="s">
        <v>606</v>
      </c>
      <c r="B46" s="740"/>
      <c r="C46" s="740"/>
      <c r="D46" s="740"/>
      <c r="E46" s="740"/>
      <c r="F46" s="256">
        <f>(F45/F14)</f>
        <v>3.0933121921701097</v>
      </c>
      <c r="G46" s="256">
        <f>(G45/G14)</f>
        <v>2.766895695934922</v>
      </c>
      <c r="H46" s="736" t="s">
        <v>607</v>
      </c>
      <c r="I46" s="736"/>
      <c r="J46" s="257">
        <v>0</v>
      </c>
    </row>
    <row r="47" spans="1:12" ht="19.5" customHeight="1"/>
  </sheetData>
  <sheetProtection password="C494" sheet="1" objects="1" scenarios="1"/>
  <mergeCells count="49">
    <mergeCell ref="H46:I46"/>
    <mergeCell ref="A42:C42"/>
    <mergeCell ref="A43:C43"/>
    <mergeCell ref="A44:E44"/>
    <mergeCell ref="A45:E45"/>
    <mergeCell ref="A46:E46"/>
    <mergeCell ref="A37:E37"/>
    <mergeCell ref="A38:J38"/>
    <mergeCell ref="A39:C39"/>
    <mergeCell ref="A40:C40"/>
    <mergeCell ref="A41:C41"/>
    <mergeCell ref="A30:E30"/>
    <mergeCell ref="A31:J31"/>
    <mergeCell ref="A32:C32"/>
    <mergeCell ref="E32:J32"/>
    <mergeCell ref="A34:C34"/>
    <mergeCell ref="A24:B24"/>
    <mergeCell ref="A25:B25"/>
    <mergeCell ref="A26:B26"/>
    <mergeCell ref="A28:B28"/>
    <mergeCell ref="A29:E29"/>
    <mergeCell ref="A19:B19"/>
    <mergeCell ref="A20:B20"/>
    <mergeCell ref="A21:B21"/>
    <mergeCell ref="A22:B22"/>
    <mergeCell ref="A23:B23"/>
    <mergeCell ref="A16:E16"/>
    <mergeCell ref="A17:J17"/>
    <mergeCell ref="A18:B18"/>
    <mergeCell ref="D18:E18"/>
    <mergeCell ref="F18:J18"/>
    <mergeCell ref="A9:J9"/>
    <mergeCell ref="B10:C10"/>
    <mergeCell ref="F10:J10"/>
    <mergeCell ref="A11:A15"/>
    <mergeCell ref="B11:C11"/>
    <mergeCell ref="B12:C12"/>
    <mergeCell ref="B14:E14"/>
    <mergeCell ref="B15:D15"/>
    <mergeCell ref="A4:J4"/>
    <mergeCell ref="A5:J5"/>
    <mergeCell ref="A6:J6"/>
    <mergeCell ref="A7:E7"/>
    <mergeCell ref="F7:F8"/>
    <mergeCell ref="G7:G8"/>
    <mergeCell ref="H7:H8"/>
    <mergeCell ref="I7:I8"/>
    <mergeCell ref="J7:J8"/>
    <mergeCell ref="A8:D8"/>
  </mergeCells>
  <pageMargins left="0.51180555555555496" right="0.51180555555555496" top="0.78749999999999998" bottom="0.78749999999999998" header="0.51180555555555496" footer="0.51180555555555496"/>
  <pageSetup paperSize="9" scale="67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AMJ23"/>
  <sheetViews>
    <sheetView showGridLines="0" tabSelected="1" zoomScaleNormal="100" workbookViewId="0">
      <selection activeCell="A21" sqref="A21:W21"/>
    </sheetView>
  </sheetViews>
  <sheetFormatPr defaultColWidth="9.140625" defaultRowHeight="12.75"/>
  <cols>
    <col min="1" max="1" width="13.140625" style="190" customWidth="1"/>
    <col min="2" max="2" width="44.42578125" style="190" customWidth="1"/>
    <col min="3" max="3" width="7.140625" style="190" customWidth="1"/>
    <col min="4" max="4" width="6.7109375" style="190" customWidth="1"/>
    <col min="5" max="5" width="10.140625" style="190" customWidth="1"/>
    <col min="6" max="6" width="12.5703125" style="190" customWidth="1"/>
    <col min="7" max="7" width="12.28515625" style="190" customWidth="1"/>
    <col min="8" max="8" width="13.42578125" style="190" customWidth="1"/>
    <col min="9" max="9" width="11.85546875" style="190" customWidth="1"/>
    <col min="10" max="10" width="13.7109375" style="190" customWidth="1"/>
    <col min="11" max="11" width="11.28515625" style="190" customWidth="1"/>
    <col min="12" max="12" width="15.5703125" style="190" customWidth="1"/>
    <col min="13" max="13" width="12.28515625" style="190" customWidth="1"/>
    <col min="14" max="14" width="7.42578125" style="190" customWidth="1"/>
    <col min="15" max="15" width="13.28515625" style="190" customWidth="1"/>
    <col min="16" max="16" width="12" style="190" customWidth="1"/>
    <col min="17" max="17" width="9.5703125" style="190" customWidth="1"/>
    <col min="18" max="18" width="11.28515625" style="190" customWidth="1"/>
    <col min="19" max="19" width="16.140625" style="190" customWidth="1"/>
    <col min="20" max="20" width="12.140625" style="190" customWidth="1"/>
    <col min="21" max="22" width="10.140625" style="190" customWidth="1"/>
    <col min="23" max="23" width="19.7109375" style="190" customWidth="1"/>
    <col min="24" max="259" width="9.140625" style="190"/>
    <col min="260" max="260" width="13.140625" style="190" customWidth="1"/>
    <col min="261" max="261" width="38.42578125" style="190" customWidth="1"/>
    <col min="262" max="262" width="7.140625" style="190" customWidth="1"/>
    <col min="263" max="263" width="6.7109375" style="190" customWidth="1"/>
    <col min="264" max="264" width="10.140625" style="190" customWidth="1"/>
    <col min="265" max="265" width="12.5703125" style="190" customWidth="1"/>
    <col min="266" max="266" width="12.28515625" style="190" customWidth="1"/>
    <col min="267" max="267" width="13.42578125" style="190" customWidth="1"/>
    <col min="268" max="268" width="12.140625" style="190" customWidth="1"/>
    <col min="269" max="269" width="13.7109375" style="190" customWidth="1"/>
    <col min="270" max="270" width="11.28515625" style="190" customWidth="1"/>
    <col min="271" max="271" width="15.5703125" style="190" customWidth="1"/>
    <col min="272" max="272" width="12.28515625" style="190" customWidth="1"/>
    <col min="273" max="273" width="7.42578125" style="190" customWidth="1"/>
    <col min="274" max="274" width="13.28515625" style="190" customWidth="1"/>
    <col min="275" max="275" width="14" style="190" customWidth="1"/>
    <col min="276" max="276" width="12.140625" style="190" customWidth="1"/>
    <col min="277" max="278" width="10.140625" style="190" customWidth="1"/>
    <col min="279" max="279" width="16.42578125" style="190" customWidth="1"/>
    <col min="280" max="515" width="9.140625" style="190"/>
    <col min="516" max="516" width="13.140625" style="190" customWidth="1"/>
    <col min="517" max="517" width="38.42578125" style="190" customWidth="1"/>
    <col min="518" max="518" width="7.140625" style="190" customWidth="1"/>
    <col min="519" max="519" width="6.7109375" style="190" customWidth="1"/>
    <col min="520" max="520" width="10.140625" style="190" customWidth="1"/>
    <col min="521" max="521" width="12.5703125" style="190" customWidth="1"/>
    <col min="522" max="522" width="12.28515625" style="190" customWidth="1"/>
    <col min="523" max="523" width="13.42578125" style="190" customWidth="1"/>
    <col min="524" max="524" width="12.140625" style="190" customWidth="1"/>
    <col min="525" max="525" width="13.7109375" style="190" customWidth="1"/>
    <col min="526" max="526" width="11.28515625" style="190" customWidth="1"/>
    <col min="527" max="527" width="15.5703125" style="190" customWidth="1"/>
    <col min="528" max="528" width="12.28515625" style="190" customWidth="1"/>
    <col min="529" max="529" width="7.42578125" style="190" customWidth="1"/>
    <col min="530" max="530" width="13.28515625" style="190" customWidth="1"/>
    <col min="531" max="531" width="14" style="190" customWidth="1"/>
    <col min="532" max="532" width="12.140625" style="190" customWidth="1"/>
    <col min="533" max="534" width="10.140625" style="190" customWidth="1"/>
    <col min="535" max="535" width="16.42578125" style="190" customWidth="1"/>
    <col min="536" max="771" width="9.140625" style="190"/>
    <col min="772" max="772" width="13.140625" style="190" customWidth="1"/>
    <col min="773" max="773" width="38.42578125" style="190" customWidth="1"/>
    <col min="774" max="774" width="7.140625" style="190" customWidth="1"/>
    <col min="775" max="775" width="6.7109375" style="190" customWidth="1"/>
    <col min="776" max="776" width="10.140625" style="190" customWidth="1"/>
    <col min="777" max="777" width="12.5703125" style="190" customWidth="1"/>
    <col min="778" max="778" width="12.28515625" style="190" customWidth="1"/>
    <col min="779" max="779" width="13.42578125" style="190" customWidth="1"/>
    <col min="780" max="780" width="12.140625" style="190" customWidth="1"/>
    <col min="781" max="781" width="13.7109375" style="190" customWidth="1"/>
    <col min="782" max="782" width="11.28515625" style="190" customWidth="1"/>
    <col min="783" max="783" width="15.5703125" style="190" customWidth="1"/>
    <col min="784" max="784" width="12.28515625" style="190" customWidth="1"/>
    <col min="785" max="785" width="7.42578125" style="190" customWidth="1"/>
    <col min="786" max="786" width="13.28515625" style="190" customWidth="1"/>
    <col min="787" max="787" width="14" style="190" customWidth="1"/>
    <col min="788" max="788" width="12.140625" style="190" customWidth="1"/>
    <col min="789" max="790" width="10.140625" style="190" customWidth="1"/>
    <col min="791" max="791" width="16.42578125" style="190" customWidth="1"/>
    <col min="792" max="1024" width="9.140625" style="190"/>
    <col min="1025" max="16384" width="9.140625" style="523"/>
  </cols>
  <sheetData>
    <row r="1" spans="1:25">
      <c r="A1" s="520"/>
      <c r="B1" s="180" t="str">
        <f>INSTRUÇÕES!B1</f>
        <v>Tribunal Regional Federal da 6ª Região</v>
      </c>
      <c r="C1" s="181"/>
      <c r="D1" s="181"/>
      <c r="E1" s="181"/>
      <c r="F1" s="181"/>
      <c r="G1" s="181"/>
      <c r="H1" s="181"/>
      <c r="I1" s="18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2"/>
    </row>
    <row r="2" spans="1:25">
      <c r="A2" s="524"/>
      <c r="B2" s="35" t="str">
        <f>INSTRUÇÕES!B2</f>
        <v>Seção Judiciária de Minas Gerais</v>
      </c>
      <c r="C2" s="10"/>
      <c r="D2" s="10"/>
      <c r="E2" s="10"/>
      <c r="F2" s="10"/>
      <c r="G2" s="10"/>
      <c r="H2" s="10"/>
      <c r="I2" s="10"/>
      <c r="W2" s="525"/>
    </row>
    <row r="3" spans="1:25">
      <c r="A3" s="524"/>
      <c r="B3" s="35" t="str">
        <f>INSTRUÇÕES!B3</f>
        <v>Subseção Judiciária de Ituiutaba</v>
      </c>
      <c r="C3" s="10"/>
      <c r="D3" s="10"/>
      <c r="E3" s="10"/>
      <c r="F3" s="10"/>
      <c r="G3" s="10"/>
      <c r="H3" s="10"/>
      <c r="I3" s="10"/>
      <c r="W3" s="525"/>
    </row>
    <row r="4" spans="1:25" s="7" customFormat="1" ht="18.75" customHeight="1">
      <c r="A4" s="741" t="s">
        <v>608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741"/>
      <c r="R4" s="741"/>
      <c r="S4" s="741"/>
      <c r="T4" s="741"/>
      <c r="U4" s="741"/>
      <c r="V4" s="741"/>
      <c r="W4" s="741"/>
    </row>
    <row r="5" spans="1:25" s="7" customFormat="1" ht="21" customHeight="1">
      <c r="A5" s="742" t="str">
        <f>"PREÇO MENSAL GLOBAL - "&amp;B3</f>
        <v>PREÇO MENSAL GLOBAL - Subseção Judiciária de Ituiutaba</v>
      </c>
      <c r="B5" s="742"/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2"/>
      <c r="R5" s="742"/>
      <c r="S5" s="742"/>
      <c r="T5" s="742"/>
      <c r="U5" s="742"/>
      <c r="V5" s="742"/>
      <c r="W5" s="742"/>
    </row>
    <row r="6" spans="1:25" s="9" customFormat="1" ht="23.25" customHeight="1">
      <c r="A6" s="743" t="str">
        <f>Dados!A4</f>
        <v>Sindicato utilizado - SINDEACO. Vigência: 01/01/2023 à 31/12/2023. Sendo a data base da categoria 01º Janeiro. Com número de registro no MTE MG000781/2023.</v>
      </c>
      <c r="B6" s="743"/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43"/>
      <c r="V6" s="743"/>
      <c r="W6" s="743"/>
    </row>
    <row r="7" spans="1:25" s="7" customFormat="1" ht="18.75" customHeight="1">
      <c r="A7" s="526"/>
      <c r="B7" s="527"/>
      <c r="C7" s="527"/>
      <c r="D7" s="527"/>
      <c r="E7" s="528"/>
      <c r="F7" s="528"/>
      <c r="G7" s="528"/>
      <c r="H7" s="528" t="s">
        <v>609</v>
      </c>
      <c r="I7" s="529"/>
      <c r="J7" s="529"/>
      <c r="K7" s="528"/>
      <c r="L7" s="528"/>
      <c r="M7" s="528"/>
      <c r="N7" s="528"/>
      <c r="O7" s="528"/>
      <c r="P7" s="528"/>
      <c r="Q7" s="528"/>
      <c r="R7" s="528"/>
      <c r="S7" s="744" t="s">
        <v>610</v>
      </c>
      <c r="T7" s="744"/>
      <c r="U7" s="744"/>
      <c r="V7" s="744"/>
      <c r="W7" s="744"/>
    </row>
    <row r="8" spans="1:25" s="7" customFormat="1" ht="22.5" customHeight="1">
      <c r="A8" s="745" t="s">
        <v>611</v>
      </c>
      <c r="B8" s="746" t="s">
        <v>612</v>
      </c>
      <c r="C8" s="746"/>
      <c r="D8" s="747" t="s">
        <v>44</v>
      </c>
      <c r="E8" s="747"/>
      <c r="F8" s="747"/>
      <c r="G8" s="747"/>
      <c r="H8" s="747"/>
      <c r="I8" s="747"/>
      <c r="J8" s="747"/>
      <c r="K8" s="747"/>
      <c r="L8" s="747"/>
      <c r="M8" s="747"/>
      <c r="N8" s="747"/>
      <c r="O8" s="747"/>
      <c r="P8" s="747"/>
      <c r="Q8" s="747"/>
      <c r="R8" s="747"/>
      <c r="S8" s="747"/>
      <c r="T8" s="747"/>
      <c r="U8" s="747"/>
      <c r="V8" s="747"/>
      <c r="W8" s="748" t="s">
        <v>613</v>
      </c>
    </row>
    <row r="9" spans="1:25" s="7" customFormat="1" ht="20.25" customHeight="1">
      <c r="A9" s="745"/>
      <c r="B9" s="746"/>
      <c r="C9" s="746"/>
      <c r="D9" s="749" t="s">
        <v>614</v>
      </c>
      <c r="E9" s="749"/>
      <c r="F9" s="749"/>
      <c r="G9" s="749" t="s">
        <v>615</v>
      </c>
      <c r="H9" s="749"/>
      <c r="I9" s="749"/>
      <c r="J9" s="750" t="s">
        <v>616</v>
      </c>
      <c r="K9" s="750"/>
      <c r="L9" s="750"/>
      <c r="M9" s="750"/>
      <c r="N9" s="750"/>
      <c r="O9" s="750"/>
      <c r="P9" s="751" t="s">
        <v>617</v>
      </c>
      <c r="Q9" s="751"/>
      <c r="R9" s="751"/>
      <c r="S9" s="530" t="s">
        <v>618</v>
      </c>
      <c r="T9" s="751" t="s">
        <v>619</v>
      </c>
      <c r="U9" s="751"/>
      <c r="V9" s="751"/>
      <c r="W9" s="748"/>
    </row>
    <row r="10" spans="1:25" s="7" customFormat="1" ht="27.75" customHeight="1">
      <c r="A10" s="745"/>
      <c r="B10" s="746"/>
      <c r="C10" s="746"/>
      <c r="D10" s="752" t="s">
        <v>620</v>
      </c>
      <c r="E10" s="752"/>
      <c r="F10" s="752"/>
      <c r="G10" s="753" t="s">
        <v>621</v>
      </c>
      <c r="H10" s="754" t="s">
        <v>622</v>
      </c>
      <c r="I10" s="754"/>
      <c r="J10" s="755" t="s">
        <v>623</v>
      </c>
      <c r="K10" s="755"/>
      <c r="L10" s="755"/>
      <c r="M10" s="756" t="s">
        <v>624</v>
      </c>
      <c r="N10" s="756"/>
      <c r="O10" s="756"/>
      <c r="P10" s="757" t="s">
        <v>625</v>
      </c>
      <c r="Q10" s="757"/>
      <c r="R10" s="757"/>
      <c r="S10" s="758" t="s">
        <v>626</v>
      </c>
      <c r="T10" s="757" t="s">
        <v>627</v>
      </c>
      <c r="U10" s="757"/>
      <c r="V10" s="757"/>
      <c r="W10" s="748"/>
    </row>
    <row r="11" spans="1:25" s="7" customFormat="1" ht="64.5" thickBot="1">
      <c r="A11" s="745"/>
      <c r="B11" s="182" t="s">
        <v>25</v>
      </c>
      <c r="C11" s="186" t="s">
        <v>26</v>
      </c>
      <c r="D11" s="183" t="s">
        <v>24</v>
      </c>
      <c r="E11" s="184" t="s">
        <v>628</v>
      </c>
      <c r="F11" s="185" t="s">
        <v>629</v>
      </c>
      <c r="G11" s="753"/>
      <c r="H11" s="184" t="s">
        <v>630</v>
      </c>
      <c r="I11" s="186" t="s">
        <v>631</v>
      </c>
      <c r="J11" s="187" t="s">
        <v>632</v>
      </c>
      <c r="K11" s="184" t="s">
        <v>33</v>
      </c>
      <c r="L11" s="186" t="s">
        <v>633</v>
      </c>
      <c r="M11" s="182" t="s">
        <v>634</v>
      </c>
      <c r="N11" s="184" t="s">
        <v>34</v>
      </c>
      <c r="O11" s="185" t="s">
        <v>635</v>
      </c>
      <c r="P11" s="182" t="s">
        <v>636</v>
      </c>
      <c r="Q11" s="184" t="s">
        <v>637</v>
      </c>
      <c r="R11" s="186" t="s">
        <v>638</v>
      </c>
      <c r="S11" s="758"/>
      <c r="T11" s="182" t="s">
        <v>639</v>
      </c>
      <c r="U11" s="184" t="s">
        <v>640</v>
      </c>
      <c r="V11" s="186" t="s">
        <v>641</v>
      </c>
      <c r="W11" s="748"/>
    </row>
    <row r="12" spans="1:25" s="7" customFormat="1">
      <c r="A12" s="762"/>
      <c r="B12" s="531" t="str">
        <f>Dados!C7</f>
        <v>Auxiliar Administrativo</v>
      </c>
      <c r="C12" s="532">
        <f>Dados!D7</f>
        <v>150</v>
      </c>
      <c r="D12" s="533">
        <f>Dados!B7</f>
        <v>3</v>
      </c>
      <c r="E12" s="534">
        <f>'Aux. Administrativo 150'!F45</f>
        <v>3629.89</v>
      </c>
      <c r="F12" s="535">
        <f t="shared" ref="F12:F15" si="0">ROUND((D12*E12),2)</f>
        <v>10889.67</v>
      </c>
      <c r="G12" s="536">
        <f>'Aux. Administrativo 150'!I45</f>
        <v>77.42</v>
      </c>
      <c r="H12" s="537">
        <f>'Ocorrências Mensais - FAT'!F11+'Ocorrências Mensais - FAT'!H11</f>
        <v>0</v>
      </c>
      <c r="I12" s="538">
        <f>(ROUND((G12/Dados!$G$34*H12)-(G12/'Ocorrências Mensais - FAT'!$E$5*'Ocorrências Mensais - FAT'!G11),2))</f>
        <v>0</v>
      </c>
      <c r="J12" s="539">
        <f>'Aux. Administrativo 150'!G45</f>
        <v>3629.89</v>
      </c>
      <c r="K12" s="537">
        <f>'Ocorrências Mensais - FAT'!K11</f>
        <v>0</v>
      </c>
      <c r="L12" s="538">
        <f>J12/'Ocorrências Mensais - FAT'!$E$5*K12</f>
        <v>0</v>
      </c>
      <c r="M12" s="539">
        <f>'Custo Substituto'!$F$33</f>
        <v>3088.14</v>
      </c>
      <c r="N12" s="537">
        <f>'Ocorrências Mensais - FAT'!L11</f>
        <v>0</v>
      </c>
      <c r="O12" s="540">
        <f>M12/'Ocorrências Mensais - FAT'!$E$5*N12</f>
        <v>0</v>
      </c>
      <c r="P12" s="541">
        <f>'Aux. Administrativo 150'!H45</f>
        <v>382.56</v>
      </c>
      <c r="Q12" s="542">
        <f>'Ocorrências Mensais - FAT'!M11</f>
        <v>0</v>
      </c>
      <c r="R12" s="540">
        <f>ROUND((P12/Dados!$G$37*Q12),2)</f>
        <v>0</v>
      </c>
      <c r="S12" s="543">
        <f t="shared" ref="S12:S15" si="1">I12+L12+O12+R12</f>
        <v>0</v>
      </c>
      <c r="T12" s="544"/>
      <c r="U12" s="545"/>
      <c r="V12" s="546"/>
      <c r="W12" s="547">
        <f t="shared" ref="W12:W15" si="2">ROUND((F12-S12+V12),2)</f>
        <v>10889.67</v>
      </c>
    </row>
    <row r="13" spans="1:25" s="7" customFormat="1">
      <c r="A13" s="763"/>
      <c r="B13" s="531" t="str">
        <f>Dados!C8</f>
        <v>Servente de Limpeza ac. Copeira</v>
      </c>
      <c r="C13" s="532">
        <f>Dados!D8</f>
        <v>200</v>
      </c>
      <c r="D13" s="533">
        <f>Dados!B8</f>
        <v>1</v>
      </c>
      <c r="E13" s="548">
        <f>'Servente 200'!$F$45</f>
        <v>4038.35</v>
      </c>
      <c r="F13" s="549">
        <f t="shared" si="0"/>
        <v>4038.35</v>
      </c>
      <c r="G13" s="550">
        <f>'Servente 200'!$I$45</f>
        <v>82.1</v>
      </c>
      <c r="H13" s="551">
        <f>'Ocorrências Mensais - FAT'!F12+'Ocorrências Mensais - FAT'!H12</f>
        <v>0</v>
      </c>
      <c r="I13" s="552">
        <f>(ROUND((G13/Dados!$G$34*H13)-(G13/'Ocorrências Mensais - FAT'!$E$5*'Ocorrências Mensais - FAT'!G12),2))</f>
        <v>0</v>
      </c>
      <c r="J13" s="553">
        <f>'Servente 200'!$G$45</f>
        <v>3612.21</v>
      </c>
      <c r="K13" s="551">
        <f>'Ocorrências Mensais - FAT'!K12</f>
        <v>0</v>
      </c>
      <c r="L13" s="552">
        <f>J13/'Ocorrências Mensais - FAT'!$E$5*K13</f>
        <v>0</v>
      </c>
      <c r="M13" s="553">
        <f>'Custo Substituto'!G33</f>
        <v>3047.3100000000004</v>
      </c>
      <c r="N13" s="537">
        <f>'Ocorrências Mensais - FAT'!L12</f>
        <v>0</v>
      </c>
      <c r="O13" s="554">
        <f>M13/'Ocorrências Mensais - FAT'!$E$5*N13</f>
        <v>0</v>
      </c>
      <c r="P13" s="555">
        <f>'Servente 200'!$H$45</f>
        <v>382.56</v>
      </c>
      <c r="Q13" s="542">
        <f>'Ocorrências Mensais - FAT'!M12</f>
        <v>0</v>
      </c>
      <c r="R13" s="540">
        <f>ROUND((P13/Dados!$G$37*Q13),2)</f>
        <v>0</v>
      </c>
      <c r="S13" s="556">
        <f t="shared" si="1"/>
        <v>0</v>
      </c>
      <c r="T13" s="557">
        <f>'Serv Insalubre 40%'!$J$46</f>
        <v>39.96</v>
      </c>
      <c r="U13" s="558">
        <f>'Ocorrências Mensais - FAT'!N13</f>
        <v>0</v>
      </c>
      <c r="V13" s="559">
        <f>T13*U13</f>
        <v>0</v>
      </c>
      <c r="W13" s="547">
        <f t="shared" si="2"/>
        <v>4038.35</v>
      </c>
    </row>
    <row r="14" spans="1:25" s="7" customFormat="1">
      <c r="A14" s="763"/>
      <c r="B14" s="531" t="str">
        <f>Dados!C9</f>
        <v>Servente de Limpeza (40%)</v>
      </c>
      <c r="C14" s="532">
        <f>Dados!D9</f>
        <v>200</v>
      </c>
      <c r="D14" s="533">
        <f>Dados!B9</f>
        <v>1</v>
      </c>
      <c r="E14" s="548">
        <f>'Serv Insalubre 40%'!$F$45</f>
        <v>5096.3</v>
      </c>
      <c r="F14" s="549">
        <f t="shared" si="0"/>
        <v>5096.3</v>
      </c>
      <c r="G14" s="550">
        <f>'Serv Insalubre 40%'!$I$45</f>
        <v>82.1</v>
      </c>
      <c r="H14" s="551">
        <f>'Ocorrências Mensais - FAT'!F13+'Ocorrências Mensais - FAT'!H13</f>
        <v>0</v>
      </c>
      <c r="I14" s="552">
        <f>(ROUND((G14/Dados!$G$34*H14)-(G14/'Ocorrências Mensais - FAT'!$E$5*'Ocorrências Mensais - FAT'!G13),2))</f>
        <v>0</v>
      </c>
      <c r="J14" s="553">
        <f>'Serv Insalubre 40%'!$G$45</f>
        <v>4715.08</v>
      </c>
      <c r="K14" s="551">
        <f>'Ocorrências Mensais - FAT'!K13</f>
        <v>0</v>
      </c>
      <c r="L14" s="552">
        <f>J14/'Ocorrências Mensais - FAT'!$E$5*K14</f>
        <v>0</v>
      </c>
      <c r="M14" s="553">
        <f>'Custo Substituto'!H33</f>
        <v>3994.77</v>
      </c>
      <c r="N14" s="537">
        <f>'Ocorrências Mensais - FAT'!L13</f>
        <v>0</v>
      </c>
      <c r="O14" s="554">
        <f>M14/'Ocorrências Mensais - FAT'!$E$5*N14</f>
        <v>0</v>
      </c>
      <c r="P14" s="555">
        <f>'Serv Insalubre 40%'!$H$45</f>
        <v>382.56</v>
      </c>
      <c r="Q14" s="542">
        <f>'Ocorrências Mensais - FAT'!M13</f>
        <v>0</v>
      </c>
      <c r="R14" s="540">
        <f>ROUND((P14/Dados!$G$37*Q14),2)</f>
        <v>0</v>
      </c>
      <c r="S14" s="556">
        <f t="shared" si="1"/>
        <v>0</v>
      </c>
      <c r="T14" s="560"/>
      <c r="U14" s="561"/>
      <c r="V14" s="562"/>
      <c r="W14" s="547">
        <f t="shared" si="2"/>
        <v>5096.3</v>
      </c>
    </row>
    <row r="15" spans="1:25" s="7" customFormat="1" ht="13.5" thickBot="1">
      <c r="A15" s="764"/>
      <c r="B15" s="531" t="str">
        <f>Dados!C10</f>
        <v>Zelador</v>
      </c>
      <c r="C15" s="532">
        <f>Dados!D10</f>
        <v>200</v>
      </c>
      <c r="D15" s="533">
        <f>Dados!B10</f>
        <v>1</v>
      </c>
      <c r="E15" s="548">
        <f>Zelador!$F$45</f>
        <v>4663.17</v>
      </c>
      <c r="F15" s="549">
        <f t="shared" si="0"/>
        <v>4663.17</v>
      </c>
      <c r="G15" s="550">
        <f>Zelador!$I$45</f>
        <v>41.67</v>
      </c>
      <c r="H15" s="551">
        <f>'Ocorrências Mensais - FAT'!F14+'Ocorrências Mensais - FAT'!H14</f>
        <v>0</v>
      </c>
      <c r="I15" s="552">
        <f>(ROUND((G15/Dados!$G$34*H15)-(G15/'Ocorrências Mensais - FAT'!$E$5*'Ocorrências Mensais - FAT'!G14),2))</f>
        <v>0</v>
      </c>
      <c r="J15" s="553">
        <f>Zelador!$G$45</f>
        <v>4663.17</v>
      </c>
      <c r="K15" s="551">
        <f>'Ocorrências Mensais - FAT'!K14</f>
        <v>0</v>
      </c>
      <c r="L15" s="552">
        <f>J15/'Ocorrências Mensais - FAT'!$E$5*K15</f>
        <v>0</v>
      </c>
      <c r="M15" s="553">
        <f>'Custo Substituto'!I33</f>
        <v>3961.1800000000003</v>
      </c>
      <c r="N15" s="537">
        <f>'Ocorrências Mensais - FAT'!L14</f>
        <v>0</v>
      </c>
      <c r="O15" s="554">
        <f>M15/'Ocorrências Mensais - FAT'!$E$5*N15</f>
        <v>0</v>
      </c>
      <c r="P15" s="555">
        <f>Zelador!$H$45</f>
        <v>382.56</v>
      </c>
      <c r="Q15" s="542">
        <f>'Ocorrências Mensais - FAT'!M14</f>
        <v>0</v>
      </c>
      <c r="R15" s="540">
        <f>ROUND((P15/Dados!$G$37*Q15),2)</f>
        <v>0</v>
      </c>
      <c r="S15" s="556">
        <f t="shared" si="1"/>
        <v>0</v>
      </c>
      <c r="T15" s="560"/>
      <c r="U15" s="561"/>
      <c r="V15" s="562"/>
      <c r="W15" s="547">
        <f t="shared" si="2"/>
        <v>4663.17</v>
      </c>
    </row>
    <row r="16" spans="1:25" s="9" customFormat="1" ht="21.75" customHeight="1" thickBot="1">
      <c r="A16" s="750" t="s">
        <v>642</v>
      </c>
      <c r="B16" s="750"/>
      <c r="C16" s="750"/>
      <c r="D16" s="563">
        <f>SUM(D12:D15)</f>
        <v>6</v>
      </c>
      <c r="E16" s="564"/>
      <c r="F16" s="565">
        <f>SUM(F12:F15)</f>
        <v>24687.489999999998</v>
      </c>
      <c r="G16" s="566"/>
      <c r="H16" s="564">
        <f t="shared" ref="H16:O16" si="3">SUM(H12:H15)</f>
        <v>0</v>
      </c>
      <c r="I16" s="567">
        <f t="shared" si="3"/>
        <v>0</v>
      </c>
      <c r="J16" s="568">
        <f t="shared" si="3"/>
        <v>16620.349999999999</v>
      </c>
      <c r="K16" s="564">
        <f t="shared" si="3"/>
        <v>0</v>
      </c>
      <c r="L16" s="567">
        <f t="shared" si="3"/>
        <v>0</v>
      </c>
      <c r="M16" s="569">
        <f t="shared" si="3"/>
        <v>14091.400000000001</v>
      </c>
      <c r="N16" s="564">
        <f t="shared" si="3"/>
        <v>0</v>
      </c>
      <c r="O16" s="565">
        <f t="shared" si="3"/>
        <v>0</v>
      </c>
      <c r="P16" s="566"/>
      <c r="Q16" s="564">
        <f>SUM(Q12:Q15)</f>
        <v>0</v>
      </c>
      <c r="R16" s="565">
        <f>SUM(R12:R15)</f>
        <v>0</v>
      </c>
      <c r="S16" s="570">
        <f>SUM(S12:S15)</f>
        <v>0</v>
      </c>
      <c r="T16" s="568"/>
      <c r="U16" s="564">
        <f>SUM(U12:U15)</f>
        <v>0</v>
      </c>
      <c r="V16" s="567">
        <f>SUM(V12:V15)</f>
        <v>0</v>
      </c>
      <c r="W16" s="571">
        <f>SUM(W12:W15)</f>
        <v>24687.489999999998</v>
      </c>
      <c r="X16" s="188" t="s">
        <v>643</v>
      </c>
      <c r="Y16" s="189"/>
    </row>
    <row r="17" spans="1:23" s="7" customFormat="1" ht="18" customHeight="1">
      <c r="A17" s="765" t="s">
        <v>644</v>
      </c>
      <c r="B17" s="765"/>
      <c r="C17" s="765"/>
      <c r="D17" s="765"/>
      <c r="E17" s="765"/>
      <c r="F17" s="765"/>
      <c r="G17" s="765"/>
      <c r="H17" s="765"/>
      <c r="I17" s="765"/>
      <c r="J17" s="765"/>
      <c r="K17" s="765"/>
      <c r="L17" s="765"/>
      <c r="M17" s="765"/>
      <c r="N17" s="765"/>
      <c r="O17" s="765"/>
      <c r="P17" s="765"/>
      <c r="Q17" s="765"/>
      <c r="R17" s="765"/>
      <c r="S17" s="765"/>
      <c r="T17" s="765"/>
      <c r="U17" s="765"/>
      <c r="V17" s="765"/>
      <c r="W17" s="572">
        <f>Materiais!G39+Materiais!G51</f>
        <v>636.74999999999989</v>
      </c>
    </row>
    <row r="18" spans="1:23" s="7" customFormat="1" ht="20.25" customHeight="1">
      <c r="A18" s="765" t="s">
        <v>645</v>
      </c>
      <c r="B18" s="765"/>
      <c r="C18" s="765"/>
      <c r="D18" s="765"/>
      <c r="E18" s="765"/>
      <c r="F18" s="765"/>
      <c r="G18" s="765"/>
      <c r="H18" s="765"/>
      <c r="I18" s="765"/>
      <c r="J18" s="765"/>
      <c r="K18" s="765"/>
      <c r="L18" s="765"/>
      <c r="M18" s="765"/>
      <c r="N18" s="765"/>
      <c r="O18" s="765"/>
      <c r="P18" s="765"/>
      <c r="Q18" s="765"/>
      <c r="R18" s="765"/>
      <c r="S18" s="765"/>
      <c r="T18" s="765"/>
      <c r="U18" s="765"/>
      <c r="V18" s="765"/>
      <c r="W18" s="573">
        <f>ROUND((W16*12),)</f>
        <v>296250</v>
      </c>
    </row>
    <row r="19" spans="1:23" s="190" customFormat="1" ht="24" customHeight="1">
      <c r="A19" s="766" t="s">
        <v>51</v>
      </c>
      <c r="B19" s="766"/>
      <c r="C19" s="766"/>
      <c r="D19" s="766"/>
      <c r="E19" s="766"/>
      <c r="F19" s="766"/>
      <c r="G19" s="766"/>
      <c r="H19" s="766"/>
      <c r="I19" s="766"/>
      <c r="J19" s="766"/>
      <c r="K19" s="766"/>
      <c r="L19" s="766"/>
      <c r="M19" s="766"/>
      <c r="N19" s="766"/>
      <c r="O19" s="766"/>
      <c r="P19" s="766"/>
      <c r="Q19" s="766"/>
      <c r="R19" s="766"/>
      <c r="S19" s="766"/>
      <c r="T19" s="766"/>
      <c r="U19" s="766"/>
      <c r="V19" s="766"/>
      <c r="W19" s="766"/>
    </row>
    <row r="20" spans="1:23" s="7" customFormat="1" ht="26.25" customHeight="1">
      <c r="A20" s="759" t="str">
        <f>CONCATENATE("1. Nas FÉRIAS SEM SUBSTITUIÇÃO DA SERVENTE INSALUBRE, quando o trabalho de limpeza de banheiros públicos ou de grande circulação for efetuado por outra servente do quadro, deverá ser acrescentado o valor de R$",T13," por dia em que este fato ocorrer.")</f>
        <v>1. Nas FÉRIAS SEM SUBSTITUIÇÃO DA SERVENTE INSALUBRE, quando o trabalho de limpeza de banheiros públicos ou de grande circulação for efetuado por outra servente do quadro, deverá ser acrescentado o valor de R$39,96 por dia em que este fato ocorrer.</v>
      </c>
      <c r="B20" s="759"/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</row>
    <row r="21" spans="1:23" s="191" customFormat="1" ht="18.75" customHeight="1">
      <c r="A21" s="760"/>
      <c r="B21" s="760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0"/>
    </row>
    <row r="22" spans="1:23">
      <c r="A22" s="761"/>
      <c r="B22" s="761"/>
      <c r="C22" s="761"/>
      <c r="D22" s="761"/>
      <c r="E22" s="761"/>
      <c r="F22" s="761"/>
      <c r="G22" s="761"/>
      <c r="H22" s="761"/>
      <c r="I22" s="761"/>
      <c r="J22" s="761"/>
      <c r="K22" s="761"/>
      <c r="L22" s="761"/>
      <c r="M22" s="761"/>
      <c r="N22" s="761"/>
      <c r="O22" s="761"/>
      <c r="P22" s="761"/>
      <c r="Q22" s="761"/>
      <c r="R22" s="761"/>
      <c r="S22" s="761"/>
      <c r="T22" s="761"/>
      <c r="U22" s="761"/>
      <c r="V22" s="761"/>
      <c r="W22" s="761"/>
    </row>
    <row r="23" spans="1:23">
      <c r="A23" s="761"/>
      <c r="B23" s="761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1"/>
      <c r="T23" s="761"/>
      <c r="U23" s="761"/>
      <c r="V23" s="761"/>
      <c r="W23" s="761"/>
    </row>
  </sheetData>
  <sheetProtection password="C494" sheet="1" objects="1" scenarios="1"/>
  <mergeCells count="30">
    <mergeCell ref="A20:W20"/>
    <mergeCell ref="A21:W21"/>
    <mergeCell ref="A22:W22"/>
    <mergeCell ref="A23:W23"/>
    <mergeCell ref="A12:A15"/>
    <mergeCell ref="A16:C16"/>
    <mergeCell ref="A17:V17"/>
    <mergeCell ref="A18:V18"/>
    <mergeCell ref="A19:W19"/>
    <mergeCell ref="J10:L10"/>
    <mergeCell ref="M10:O10"/>
    <mergeCell ref="P10:R10"/>
    <mergeCell ref="S10:S11"/>
    <mergeCell ref="T10:V10"/>
    <mergeCell ref="A4:W4"/>
    <mergeCell ref="A5:W5"/>
    <mergeCell ref="A6:W6"/>
    <mergeCell ref="S7:W7"/>
    <mergeCell ref="A8:A11"/>
    <mergeCell ref="B8:C10"/>
    <mergeCell ref="D8:V8"/>
    <mergeCell ref="W8:W11"/>
    <mergeCell ref="D9:F9"/>
    <mergeCell ref="G9:I9"/>
    <mergeCell ref="J9:O9"/>
    <mergeCell ref="P9:R9"/>
    <mergeCell ref="T9:V9"/>
    <mergeCell ref="D10:F10"/>
    <mergeCell ref="G10:G11"/>
    <mergeCell ref="H10:I10"/>
  </mergeCells>
  <pageMargins left="0.51180555555555496" right="0.51180555555555496" top="0.78749999999999998" bottom="0.78749999999999998" header="0.51180555555555496" footer="0.51180555555555496"/>
  <pageSetup paperSize="9" scale="43" orientation="landscape" horizontalDpi="300" verticalDpi="300"/>
  <colBreaks count="1" manualBreakCount="1">
    <brk id="23" max="104857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D9D9D9"/>
    <pageSetUpPr fitToPage="1"/>
  </sheetPr>
  <dimension ref="A1:AI23"/>
  <sheetViews>
    <sheetView showGridLines="0" zoomScaleNormal="100" workbookViewId="0">
      <selection activeCell="B23" sqref="B23"/>
    </sheetView>
  </sheetViews>
  <sheetFormatPr defaultColWidth="8.7109375" defaultRowHeight="15"/>
  <cols>
    <col min="1" max="1" width="7.85546875" customWidth="1"/>
    <col min="2" max="2" width="7.28515625" customWidth="1"/>
    <col min="3" max="3" width="4.42578125" customWidth="1"/>
    <col min="4" max="4" width="7.5703125" customWidth="1"/>
    <col min="5" max="5" width="5.42578125" customWidth="1"/>
    <col min="6" max="6" width="8.28515625" customWidth="1"/>
    <col min="7" max="7" width="7.42578125" customWidth="1"/>
    <col min="8" max="8" width="3.28515625" customWidth="1"/>
    <col min="9" max="9" width="7.28515625" customWidth="1"/>
    <col min="10" max="10" width="4.42578125" customWidth="1"/>
    <col min="11" max="11" width="7.5703125" customWidth="1"/>
    <col min="12" max="12" width="5.42578125" customWidth="1"/>
    <col min="13" max="13" width="8.28515625" customWidth="1"/>
    <col min="14" max="14" width="7.42578125" customWidth="1"/>
    <col min="15" max="15" width="3" customWidth="1"/>
    <col min="16" max="16" width="7.28515625" customWidth="1"/>
    <col min="17" max="17" width="4.42578125" customWidth="1"/>
    <col min="18" max="18" width="7.5703125" customWidth="1"/>
    <col min="19" max="19" width="5.42578125" customWidth="1"/>
    <col min="20" max="20" width="8.28515625" customWidth="1"/>
    <col min="21" max="21" width="7.42578125" customWidth="1"/>
    <col min="22" max="22" width="3" customWidth="1"/>
    <col min="23" max="23" width="7.28515625" customWidth="1"/>
    <col min="24" max="24" width="4.42578125" customWidth="1"/>
    <col min="25" max="25" width="7.5703125" customWidth="1"/>
    <col min="26" max="26" width="5.42578125" customWidth="1"/>
    <col min="27" max="27" width="8.28515625" customWidth="1"/>
    <col min="28" max="28" width="7.42578125" customWidth="1"/>
    <col min="29" max="29" width="3" customWidth="1"/>
    <col min="30" max="30" width="7.28515625" customWidth="1"/>
    <col min="31" max="31" width="4.42578125" customWidth="1"/>
    <col min="257" max="257" width="1.42578125" customWidth="1"/>
    <col min="258" max="258" width="7.28515625" customWidth="1"/>
    <col min="259" max="259" width="4.42578125" customWidth="1"/>
    <col min="260" max="260" width="7.5703125" customWidth="1"/>
    <col min="261" max="261" width="5.42578125" customWidth="1"/>
    <col min="262" max="262" width="8.28515625" customWidth="1"/>
    <col min="263" max="263" width="7.42578125" customWidth="1"/>
    <col min="264" max="264" width="3.28515625" customWidth="1"/>
    <col min="265" max="265" width="7.28515625" customWidth="1"/>
    <col min="266" max="266" width="4.42578125" customWidth="1"/>
    <col min="267" max="267" width="7.5703125" customWidth="1"/>
    <col min="268" max="268" width="5.42578125" customWidth="1"/>
    <col min="269" max="269" width="8.28515625" customWidth="1"/>
    <col min="270" max="270" width="7.42578125" customWidth="1"/>
    <col min="271" max="271" width="3" customWidth="1"/>
    <col min="272" max="272" width="7.28515625" customWidth="1"/>
    <col min="273" max="273" width="4.42578125" customWidth="1"/>
    <col min="274" max="274" width="7.5703125" customWidth="1"/>
    <col min="275" max="275" width="5.42578125" customWidth="1"/>
    <col min="276" max="276" width="8.28515625" customWidth="1"/>
    <col min="277" max="277" width="7.42578125" customWidth="1"/>
    <col min="278" max="278" width="3" customWidth="1"/>
    <col min="279" max="279" width="7.28515625" customWidth="1"/>
    <col min="280" max="280" width="4.42578125" customWidth="1"/>
    <col min="281" max="281" width="7.5703125" customWidth="1"/>
    <col min="282" max="282" width="5.42578125" customWidth="1"/>
    <col min="283" max="283" width="8.28515625" customWidth="1"/>
    <col min="284" max="284" width="7.42578125" customWidth="1"/>
    <col min="285" max="285" width="3" customWidth="1"/>
    <col min="286" max="286" width="7.28515625" customWidth="1"/>
    <col min="287" max="287" width="4.42578125" customWidth="1"/>
    <col min="513" max="513" width="1.42578125" customWidth="1"/>
    <col min="514" max="514" width="7.28515625" customWidth="1"/>
    <col min="515" max="515" width="4.42578125" customWidth="1"/>
    <col min="516" max="516" width="7.5703125" customWidth="1"/>
    <col min="517" max="517" width="5.42578125" customWidth="1"/>
    <col min="518" max="518" width="8.28515625" customWidth="1"/>
    <col min="519" max="519" width="7.42578125" customWidth="1"/>
    <col min="520" max="520" width="3.28515625" customWidth="1"/>
    <col min="521" max="521" width="7.28515625" customWidth="1"/>
    <col min="522" max="522" width="4.42578125" customWidth="1"/>
    <col min="523" max="523" width="7.5703125" customWidth="1"/>
    <col min="524" max="524" width="5.42578125" customWidth="1"/>
    <col min="525" max="525" width="8.28515625" customWidth="1"/>
    <col min="526" max="526" width="7.42578125" customWidth="1"/>
    <col min="527" max="527" width="3" customWidth="1"/>
    <col min="528" max="528" width="7.28515625" customWidth="1"/>
    <col min="529" max="529" width="4.42578125" customWidth="1"/>
    <col min="530" max="530" width="7.5703125" customWidth="1"/>
    <col min="531" max="531" width="5.42578125" customWidth="1"/>
    <col min="532" max="532" width="8.28515625" customWidth="1"/>
    <col min="533" max="533" width="7.42578125" customWidth="1"/>
    <col min="534" max="534" width="3" customWidth="1"/>
    <col min="535" max="535" width="7.28515625" customWidth="1"/>
    <col min="536" max="536" width="4.42578125" customWidth="1"/>
    <col min="537" max="537" width="7.5703125" customWidth="1"/>
    <col min="538" max="538" width="5.42578125" customWidth="1"/>
    <col min="539" max="539" width="8.28515625" customWidth="1"/>
    <col min="540" max="540" width="7.42578125" customWidth="1"/>
    <col min="541" max="541" width="3" customWidth="1"/>
    <col min="542" max="542" width="7.28515625" customWidth="1"/>
    <col min="543" max="543" width="4.42578125" customWidth="1"/>
    <col min="769" max="769" width="1.42578125" customWidth="1"/>
    <col min="770" max="770" width="7.28515625" customWidth="1"/>
    <col min="771" max="771" width="4.42578125" customWidth="1"/>
    <col min="772" max="772" width="7.5703125" customWidth="1"/>
    <col min="773" max="773" width="5.42578125" customWidth="1"/>
    <col min="774" max="774" width="8.28515625" customWidth="1"/>
    <col min="775" max="775" width="7.42578125" customWidth="1"/>
    <col min="776" max="776" width="3.28515625" customWidth="1"/>
    <col min="777" max="777" width="7.28515625" customWidth="1"/>
    <col min="778" max="778" width="4.42578125" customWidth="1"/>
    <col min="779" max="779" width="7.5703125" customWidth="1"/>
    <col min="780" max="780" width="5.42578125" customWidth="1"/>
    <col min="781" max="781" width="8.28515625" customWidth="1"/>
    <col min="782" max="782" width="7.42578125" customWidth="1"/>
    <col min="783" max="783" width="3" customWidth="1"/>
    <col min="784" max="784" width="7.28515625" customWidth="1"/>
    <col min="785" max="785" width="4.42578125" customWidth="1"/>
    <col min="786" max="786" width="7.5703125" customWidth="1"/>
    <col min="787" max="787" width="5.42578125" customWidth="1"/>
    <col min="788" max="788" width="8.28515625" customWidth="1"/>
    <col min="789" max="789" width="7.42578125" customWidth="1"/>
    <col min="790" max="790" width="3" customWidth="1"/>
    <col min="791" max="791" width="7.28515625" customWidth="1"/>
    <col min="792" max="792" width="4.42578125" customWidth="1"/>
    <col min="793" max="793" width="7.5703125" customWidth="1"/>
    <col min="794" max="794" width="5.42578125" customWidth="1"/>
    <col min="795" max="795" width="8.28515625" customWidth="1"/>
    <col min="796" max="796" width="7.42578125" customWidth="1"/>
    <col min="797" max="797" width="3" customWidth="1"/>
    <col min="798" max="798" width="7.28515625" customWidth="1"/>
    <col min="799" max="799" width="4.42578125" customWidth="1"/>
  </cols>
  <sheetData>
    <row r="1" spans="1:35">
      <c r="A1" s="17"/>
      <c r="B1" s="17" t="s">
        <v>163</v>
      </c>
    </row>
    <row r="2" spans="1:35">
      <c r="A2" s="17"/>
      <c r="B2" s="17" t="s">
        <v>164</v>
      </c>
    </row>
    <row r="3" spans="1:35">
      <c r="A3" s="142"/>
      <c r="B3" s="18" t="str">
        <f>INSTRUÇÕES!B3</f>
        <v>Subseção Judiciária de Ituiutaba</v>
      </c>
    </row>
    <row r="4" spans="1:35" ht="6" customHeight="1"/>
    <row r="5" spans="1:35" ht="6" customHeight="1"/>
    <row r="6" spans="1:35" ht="15.75" customHeight="1">
      <c r="B6" s="767" t="s">
        <v>332</v>
      </c>
      <c r="C6" s="767"/>
      <c r="D6" s="767"/>
      <c r="E6" s="767"/>
      <c r="F6" s="767"/>
      <c r="G6" s="767"/>
      <c r="I6" s="767" t="s">
        <v>336</v>
      </c>
      <c r="J6" s="767"/>
      <c r="K6" s="767"/>
      <c r="L6" s="767"/>
      <c r="M6" s="767"/>
      <c r="N6" s="767"/>
      <c r="P6" s="767" t="s">
        <v>337</v>
      </c>
      <c r="Q6" s="767"/>
      <c r="R6" s="767"/>
      <c r="S6" s="767"/>
      <c r="T6" s="767"/>
      <c r="U6" s="767"/>
      <c r="W6" s="767" t="s">
        <v>338</v>
      </c>
      <c r="X6" s="767"/>
      <c r="Y6" s="767"/>
      <c r="Z6" s="767"/>
      <c r="AA6" s="767"/>
      <c r="AB6" s="767"/>
      <c r="AD6" s="767" t="s">
        <v>339</v>
      </c>
      <c r="AE6" s="767"/>
      <c r="AF6" s="767"/>
      <c r="AG6" s="767"/>
      <c r="AH6" s="767"/>
      <c r="AI6" s="767"/>
    </row>
    <row r="7" spans="1:35">
      <c r="B7" s="259" t="s">
        <v>646</v>
      </c>
      <c r="C7" s="768"/>
      <c r="D7" s="768"/>
      <c r="E7" s="768"/>
      <c r="F7" s="768"/>
      <c r="G7" s="768"/>
      <c r="I7" s="259" t="s">
        <v>646</v>
      </c>
      <c r="J7" s="768"/>
      <c r="K7" s="768"/>
      <c r="L7" s="768"/>
      <c r="M7" s="768"/>
      <c r="N7" s="768"/>
      <c r="P7" s="259" t="s">
        <v>646</v>
      </c>
      <c r="Q7" s="768"/>
      <c r="R7" s="768"/>
      <c r="S7" s="768"/>
      <c r="T7" s="768"/>
      <c r="U7" s="768"/>
      <c r="W7" s="259" t="s">
        <v>646</v>
      </c>
      <c r="X7" s="768"/>
      <c r="Y7" s="768"/>
      <c r="Z7" s="768"/>
      <c r="AA7" s="768"/>
      <c r="AB7" s="768"/>
      <c r="AD7" s="259" t="s">
        <v>646</v>
      </c>
      <c r="AE7" s="768"/>
      <c r="AF7" s="768"/>
      <c r="AG7" s="768"/>
      <c r="AH7" s="768"/>
      <c r="AI7" s="768"/>
    </row>
    <row r="8" spans="1:35" ht="25.5" customHeight="1">
      <c r="B8" s="769" t="s">
        <v>647</v>
      </c>
      <c r="C8" s="769"/>
      <c r="D8" s="260" t="s">
        <v>648</v>
      </c>
      <c r="E8" s="260" t="s">
        <v>649</v>
      </c>
      <c r="F8" s="260" t="s">
        <v>650</v>
      </c>
      <c r="G8" s="260" t="s">
        <v>651</v>
      </c>
      <c r="I8" s="769" t="s">
        <v>647</v>
      </c>
      <c r="J8" s="769"/>
      <c r="K8" s="260" t="s">
        <v>648</v>
      </c>
      <c r="L8" s="260" t="s">
        <v>649</v>
      </c>
      <c r="M8" s="260" t="s">
        <v>650</v>
      </c>
      <c r="N8" s="260" t="s">
        <v>651</v>
      </c>
      <c r="P8" s="769" t="s">
        <v>647</v>
      </c>
      <c r="Q8" s="769"/>
      <c r="R8" s="260" t="s">
        <v>648</v>
      </c>
      <c r="S8" s="260" t="s">
        <v>649</v>
      </c>
      <c r="T8" s="260" t="s">
        <v>650</v>
      </c>
      <c r="U8" s="260" t="s">
        <v>651</v>
      </c>
      <c r="W8" s="769" t="s">
        <v>647</v>
      </c>
      <c r="X8" s="769"/>
      <c r="Y8" s="260" t="s">
        <v>648</v>
      </c>
      <c r="Z8" s="260" t="s">
        <v>649</v>
      </c>
      <c r="AA8" s="260" t="s">
        <v>650</v>
      </c>
      <c r="AB8" s="260" t="s">
        <v>651</v>
      </c>
      <c r="AD8" s="769" t="s">
        <v>647</v>
      </c>
      <c r="AE8" s="769"/>
      <c r="AF8" s="260" t="s">
        <v>648</v>
      </c>
      <c r="AG8" s="260" t="s">
        <v>649</v>
      </c>
      <c r="AH8" s="260" t="s">
        <v>650</v>
      </c>
      <c r="AI8" s="260" t="s">
        <v>651</v>
      </c>
    </row>
    <row r="9" spans="1:35">
      <c r="B9" s="261" t="s">
        <v>652</v>
      </c>
      <c r="C9" s="261" t="s">
        <v>653</v>
      </c>
      <c r="D9" s="261" t="s">
        <v>654</v>
      </c>
      <c r="E9" s="261"/>
      <c r="F9" s="261" t="s">
        <v>655</v>
      </c>
      <c r="G9" s="262">
        <v>100</v>
      </c>
      <c r="I9" s="261" t="s">
        <v>652</v>
      </c>
      <c r="J9" s="261" t="s">
        <v>653</v>
      </c>
      <c r="K9" s="261" t="s">
        <v>654</v>
      </c>
      <c r="L9" s="261"/>
      <c r="M9" s="261" t="s">
        <v>655</v>
      </c>
      <c r="N9" s="262">
        <v>100</v>
      </c>
      <c r="P9" s="261" t="s">
        <v>652</v>
      </c>
      <c r="Q9" s="261" t="s">
        <v>653</v>
      </c>
      <c r="R9" s="261" t="s">
        <v>654</v>
      </c>
      <c r="S9" s="261"/>
      <c r="T9" s="261" t="s">
        <v>655</v>
      </c>
      <c r="U9" s="262">
        <v>100</v>
      </c>
      <c r="W9" s="261" t="s">
        <v>652</v>
      </c>
      <c r="X9" s="261" t="s">
        <v>653</v>
      </c>
      <c r="Y9" s="261" t="s">
        <v>654</v>
      </c>
      <c r="Z9" s="261"/>
      <c r="AA9" s="261" t="s">
        <v>655</v>
      </c>
      <c r="AB9" s="262">
        <v>100</v>
      </c>
      <c r="AD9" s="261" t="s">
        <v>652</v>
      </c>
      <c r="AE9" s="261" t="s">
        <v>653</v>
      </c>
      <c r="AF9" s="261" t="s">
        <v>654</v>
      </c>
      <c r="AG9" s="261"/>
      <c r="AH9" s="261" t="s">
        <v>655</v>
      </c>
      <c r="AI9" s="262">
        <v>100</v>
      </c>
    </row>
    <row r="10" spans="1:35">
      <c r="B10" s="261">
        <v>2023</v>
      </c>
      <c r="C10" s="263" t="s">
        <v>656</v>
      </c>
      <c r="D10" s="264"/>
      <c r="E10" s="265">
        <v>0</v>
      </c>
      <c r="F10" s="264">
        <f t="shared" ref="F10:F22" si="0">D10/30*E10</f>
        <v>0</v>
      </c>
      <c r="G10" s="266">
        <f t="shared" ref="G10:G22" si="1">(G9*F10)+G9</f>
        <v>100</v>
      </c>
      <c r="I10" s="261">
        <f t="shared" ref="I10:I22" si="2">B10+1</f>
        <v>2024</v>
      </c>
      <c r="J10" s="263" t="str">
        <f>$C$10</f>
        <v>AGO</v>
      </c>
      <c r="K10" s="264"/>
      <c r="L10" s="265">
        <f>$E$10</f>
        <v>0</v>
      </c>
      <c r="M10" s="264">
        <f t="shared" ref="M10:M22" si="3">K10/30*L10</f>
        <v>0</v>
      </c>
      <c r="N10" s="266">
        <f t="shared" ref="N10:N22" si="4">(N9*M10)+N9</f>
        <v>100</v>
      </c>
      <c r="P10" s="261">
        <f t="shared" ref="P10:P22" si="5">I10+1</f>
        <v>2025</v>
      </c>
      <c r="Q10" s="263" t="str">
        <f>$C$10</f>
        <v>AGO</v>
      </c>
      <c r="R10" s="264"/>
      <c r="S10" s="265">
        <f>$E$10</f>
        <v>0</v>
      </c>
      <c r="T10" s="264">
        <f t="shared" ref="T10:T22" si="6">R10/30*S10</f>
        <v>0</v>
      </c>
      <c r="U10" s="266">
        <f t="shared" ref="U10:U22" si="7">(U9*T10)+U9</f>
        <v>100</v>
      </c>
      <c r="W10" s="261">
        <f t="shared" ref="W10:W22" si="8">P10+1</f>
        <v>2026</v>
      </c>
      <c r="X10" s="263" t="str">
        <f>$C$10</f>
        <v>AGO</v>
      </c>
      <c r="Y10" s="264"/>
      <c r="Z10" s="265">
        <f>$E$10</f>
        <v>0</v>
      </c>
      <c r="AA10" s="264">
        <f t="shared" ref="AA10:AA22" si="9">Y10/30*Z10</f>
        <v>0</v>
      </c>
      <c r="AB10" s="266">
        <f t="shared" ref="AB10:AB22" si="10">(AB9*AA10)+AB9</f>
        <v>100</v>
      </c>
      <c r="AD10" s="261">
        <f t="shared" ref="AD10:AD22" si="11">W10+1</f>
        <v>2027</v>
      </c>
      <c r="AE10" s="263" t="str">
        <f>$C$10</f>
        <v>AGO</v>
      </c>
      <c r="AF10" s="264"/>
      <c r="AG10" s="265">
        <f>$E$10</f>
        <v>0</v>
      </c>
      <c r="AH10" s="264">
        <f t="shared" ref="AH10:AH22" si="12">AF10/30*AG10</f>
        <v>0</v>
      </c>
      <c r="AI10" s="266">
        <f t="shared" ref="AI10:AI22" si="13">(AI9*AH10)+AI9</f>
        <v>100</v>
      </c>
    </row>
    <row r="11" spans="1:35">
      <c r="B11" s="261">
        <v>2023</v>
      </c>
      <c r="C11" s="263" t="s">
        <v>657</v>
      </c>
      <c r="D11" s="264"/>
      <c r="E11" s="265"/>
      <c r="F11" s="264">
        <f t="shared" si="0"/>
        <v>0</v>
      </c>
      <c r="G11" s="266">
        <f t="shared" si="1"/>
        <v>100</v>
      </c>
      <c r="I11" s="261">
        <f t="shared" si="2"/>
        <v>2024</v>
      </c>
      <c r="J11" s="263" t="str">
        <f>$C$11</f>
        <v>SET</v>
      </c>
      <c r="K11" s="264"/>
      <c r="L11" s="265"/>
      <c r="M11" s="264">
        <f t="shared" si="3"/>
        <v>0</v>
      </c>
      <c r="N11" s="266">
        <f t="shared" si="4"/>
        <v>100</v>
      </c>
      <c r="P11" s="261">
        <f t="shared" si="5"/>
        <v>2025</v>
      </c>
      <c r="Q11" s="263" t="str">
        <f>$C$11</f>
        <v>SET</v>
      </c>
      <c r="R11" s="264"/>
      <c r="S11" s="265"/>
      <c r="T11" s="264">
        <f t="shared" si="6"/>
        <v>0</v>
      </c>
      <c r="U11" s="266">
        <f t="shared" si="7"/>
        <v>100</v>
      </c>
      <c r="W11" s="261">
        <f t="shared" si="8"/>
        <v>2026</v>
      </c>
      <c r="X11" s="263" t="str">
        <f>$C$11</f>
        <v>SET</v>
      </c>
      <c r="Y11" s="264"/>
      <c r="Z11" s="265"/>
      <c r="AA11" s="264">
        <f t="shared" si="9"/>
        <v>0</v>
      </c>
      <c r="AB11" s="266">
        <f t="shared" si="10"/>
        <v>100</v>
      </c>
      <c r="AD11" s="261">
        <f t="shared" si="11"/>
        <v>2027</v>
      </c>
      <c r="AE11" s="263" t="str">
        <f>$C$11</f>
        <v>SET</v>
      </c>
      <c r="AF11" s="264"/>
      <c r="AG11" s="265"/>
      <c r="AH11" s="264">
        <f t="shared" si="12"/>
        <v>0</v>
      </c>
      <c r="AI11" s="266">
        <f t="shared" si="13"/>
        <v>100</v>
      </c>
    </row>
    <row r="12" spans="1:35">
      <c r="B12" s="261">
        <v>2023</v>
      </c>
      <c r="C12" s="263" t="s">
        <v>658</v>
      </c>
      <c r="D12" s="264"/>
      <c r="E12" s="265"/>
      <c r="F12" s="264">
        <f t="shared" si="0"/>
        <v>0</v>
      </c>
      <c r="G12" s="266">
        <f t="shared" si="1"/>
        <v>100</v>
      </c>
      <c r="I12" s="261">
        <f t="shared" si="2"/>
        <v>2024</v>
      </c>
      <c r="J12" s="263" t="str">
        <f>$C$12</f>
        <v>OUT</v>
      </c>
      <c r="K12" s="264"/>
      <c r="L12" s="265"/>
      <c r="M12" s="264">
        <f t="shared" si="3"/>
        <v>0</v>
      </c>
      <c r="N12" s="266">
        <f t="shared" si="4"/>
        <v>100</v>
      </c>
      <c r="P12" s="261">
        <f t="shared" si="5"/>
        <v>2025</v>
      </c>
      <c r="Q12" s="263" t="str">
        <f>$C$12</f>
        <v>OUT</v>
      </c>
      <c r="R12" s="264"/>
      <c r="S12" s="265"/>
      <c r="T12" s="264">
        <f t="shared" si="6"/>
        <v>0</v>
      </c>
      <c r="U12" s="266">
        <f t="shared" si="7"/>
        <v>100</v>
      </c>
      <c r="W12" s="261">
        <f t="shared" si="8"/>
        <v>2026</v>
      </c>
      <c r="X12" s="263" t="str">
        <f>$C$12</f>
        <v>OUT</v>
      </c>
      <c r="Y12" s="264"/>
      <c r="Z12" s="265"/>
      <c r="AA12" s="264">
        <f t="shared" si="9"/>
        <v>0</v>
      </c>
      <c r="AB12" s="266">
        <f t="shared" si="10"/>
        <v>100</v>
      </c>
      <c r="AD12" s="261">
        <f t="shared" si="11"/>
        <v>2027</v>
      </c>
      <c r="AE12" s="263" t="str">
        <f>$C$12</f>
        <v>OUT</v>
      </c>
      <c r="AF12" s="264"/>
      <c r="AG12" s="265"/>
      <c r="AH12" s="264">
        <f t="shared" si="12"/>
        <v>0</v>
      </c>
      <c r="AI12" s="266">
        <f t="shared" si="13"/>
        <v>100</v>
      </c>
    </row>
    <row r="13" spans="1:35">
      <c r="B13" s="261">
        <v>2023</v>
      </c>
      <c r="C13" s="263" t="s">
        <v>659</v>
      </c>
      <c r="D13" s="264"/>
      <c r="E13" s="265"/>
      <c r="F13" s="264">
        <f t="shared" si="0"/>
        <v>0</v>
      </c>
      <c r="G13" s="266">
        <f t="shared" si="1"/>
        <v>100</v>
      </c>
      <c r="I13" s="261">
        <f t="shared" si="2"/>
        <v>2024</v>
      </c>
      <c r="J13" s="263" t="str">
        <f>$C$13</f>
        <v>NOV</v>
      </c>
      <c r="K13" s="264"/>
      <c r="L13" s="265"/>
      <c r="M13" s="264">
        <f t="shared" si="3"/>
        <v>0</v>
      </c>
      <c r="N13" s="266">
        <f t="shared" si="4"/>
        <v>100</v>
      </c>
      <c r="P13" s="261">
        <f t="shared" si="5"/>
        <v>2025</v>
      </c>
      <c r="Q13" s="263" t="str">
        <f>$C$13</f>
        <v>NOV</v>
      </c>
      <c r="R13" s="264"/>
      <c r="S13" s="265"/>
      <c r="T13" s="264">
        <f t="shared" si="6"/>
        <v>0</v>
      </c>
      <c r="U13" s="266">
        <f t="shared" si="7"/>
        <v>100</v>
      </c>
      <c r="W13" s="261">
        <f t="shared" si="8"/>
        <v>2026</v>
      </c>
      <c r="X13" s="263" t="str">
        <f>$C$13</f>
        <v>NOV</v>
      </c>
      <c r="Y13" s="264"/>
      <c r="Z13" s="265"/>
      <c r="AA13" s="264">
        <f t="shared" si="9"/>
        <v>0</v>
      </c>
      <c r="AB13" s="266">
        <f t="shared" si="10"/>
        <v>100</v>
      </c>
      <c r="AD13" s="261">
        <f t="shared" si="11"/>
        <v>2027</v>
      </c>
      <c r="AE13" s="263" t="str">
        <f>$C$13</f>
        <v>NOV</v>
      </c>
      <c r="AF13" s="264"/>
      <c r="AG13" s="265"/>
      <c r="AH13" s="264">
        <f t="shared" si="12"/>
        <v>0</v>
      </c>
      <c r="AI13" s="266">
        <f t="shared" si="13"/>
        <v>100</v>
      </c>
    </row>
    <row r="14" spans="1:35">
      <c r="B14" s="261">
        <v>2023</v>
      </c>
      <c r="C14" s="263" t="s">
        <v>660</v>
      </c>
      <c r="D14" s="264"/>
      <c r="E14" s="265"/>
      <c r="F14" s="264">
        <f t="shared" si="0"/>
        <v>0</v>
      </c>
      <c r="G14" s="266">
        <f t="shared" si="1"/>
        <v>100</v>
      </c>
      <c r="I14" s="261">
        <f t="shared" si="2"/>
        <v>2024</v>
      </c>
      <c r="J14" s="263" t="str">
        <f>$C$14</f>
        <v>DEZ</v>
      </c>
      <c r="K14" s="264"/>
      <c r="L14" s="265"/>
      <c r="M14" s="264">
        <f t="shared" si="3"/>
        <v>0</v>
      </c>
      <c r="N14" s="266">
        <f t="shared" si="4"/>
        <v>100</v>
      </c>
      <c r="P14" s="261">
        <f t="shared" si="5"/>
        <v>2025</v>
      </c>
      <c r="Q14" s="263" t="str">
        <f>$C$14</f>
        <v>DEZ</v>
      </c>
      <c r="R14" s="264"/>
      <c r="S14" s="265"/>
      <c r="T14" s="264">
        <f t="shared" si="6"/>
        <v>0</v>
      </c>
      <c r="U14" s="266">
        <f t="shared" si="7"/>
        <v>100</v>
      </c>
      <c r="W14" s="261">
        <f t="shared" si="8"/>
        <v>2026</v>
      </c>
      <c r="X14" s="263" t="str">
        <f>$C$14</f>
        <v>DEZ</v>
      </c>
      <c r="Y14" s="264"/>
      <c r="Z14" s="265"/>
      <c r="AA14" s="264">
        <f t="shared" si="9"/>
        <v>0</v>
      </c>
      <c r="AB14" s="266">
        <f t="shared" si="10"/>
        <v>100</v>
      </c>
      <c r="AD14" s="261">
        <f t="shared" si="11"/>
        <v>2027</v>
      </c>
      <c r="AE14" s="263" t="str">
        <f>$C$14</f>
        <v>DEZ</v>
      </c>
      <c r="AF14" s="264"/>
      <c r="AG14" s="265"/>
      <c r="AH14" s="264">
        <f t="shared" si="12"/>
        <v>0</v>
      </c>
      <c r="AI14" s="266">
        <f t="shared" si="13"/>
        <v>100</v>
      </c>
    </row>
    <row r="15" spans="1:35">
      <c r="B15" s="261">
        <v>2023</v>
      </c>
      <c r="C15" s="263" t="s">
        <v>660</v>
      </c>
      <c r="D15" s="264"/>
      <c r="E15" s="265"/>
      <c r="F15" s="264">
        <f t="shared" si="0"/>
        <v>0</v>
      </c>
      <c r="G15" s="266">
        <f t="shared" si="1"/>
        <v>100</v>
      </c>
      <c r="I15" s="261">
        <f t="shared" si="2"/>
        <v>2024</v>
      </c>
      <c r="J15" s="263" t="str">
        <f>$C$15</f>
        <v>DEZ</v>
      </c>
      <c r="K15" s="264"/>
      <c r="L15" s="265"/>
      <c r="M15" s="264">
        <f t="shared" si="3"/>
        <v>0</v>
      </c>
      <c r="N15" s="266">
        <f t="shared" si="4"/>
        <v>100</v>
      </c>
      <c r="P15" s="261">
        <f t="shared" si="5"/>
        <v>2025</v>
      </c>
      <c r="Q15" s="263" t="str">
        <f>$C$15</f>
        <v>DEZ</v>
      </c>
      <c r="R15" s="264"/>
      <c r="S15" s="265"/>
      <c r="T15" s="264">
        <f t="shared" si="6"/>
        <v>0</v>
      </c>
      <c r="U15" s="266">
        <f t="shared" si="7"/>
        <v>100</v>
      </c>
      <c r="W15" s="261">
        <f t="shared" si="8"/>
        <v>2026</v>
      </c>
      <c r="X15" s="263" t="str">
        <f>$C$15</f>
        <v>DEZ</v>
      </c>
      <c r="Y15" s="264"/>
      <c r="Z15" s="265"/>
      <c r="AA15" s="264">
        <f t="shared" si="9"/>
        <v>0</v>
      </c>
      <c r="AB15" s="266">
        <f t="shared" si="10"/>
        <v>100</v>
      </c>
      <c r="AD15" s="261">
        <f t="shared" si="11"/>
        <v>2027</v>
      </c>
      <c r="AE15" s="263" t="str">
        <f>$C$15</f>
        <v>DEZ</v>
      </c>
      <c r="AF15" s="264"/>
      <c r="AG15" s="265"/>
      <c r="AH15" s="264">
        <f t="shared" si="12"/>
        <v>0</v>
      </c>
      <c r="AI15" s="266">
        <f t="shared" si="13"/>
        <v>100</v>
      </c>
    </row>
    <row r="16" spans="1:35">
      <c r="B16" s="261">
        <v>2024</v>
      </c>
      <c r="C16" s="267" t="s">
        <v>661</v>
      </c>
      <c r="D16" s="268"/>
      <c r="E16" s="269"/>
      <c r="F16" s="264">
        <f t="shared" si="0"/>
        <v>0</v>
      </c>
      <c r="G16" s="266">
        <f t="shared" si="1"/>
        <v>100</v>
      </c>
      <c r="I16" s="261">
        <f t="shared" si="2"/>
        <v>2025</v>
      </c>
      <c r="J16" s="263" t="str">
        <f>$C$16</f>
        <v>JAN</v>
      </c>
      <c r="K16" s="268"/>
      <c r="L16" s="265"/>
      <c r="M16" s="264">
        <f t="shared" si="3"/>
        <v>0</v>
      </c>
      <c r="N16" s="266">
        <f t="shared" si="4"/>
        <v>100</v>
      </c>
      <c r="P16" s="261">
        <f t="shared" si="5"/>
        <v>2026</v>
      </c>
      <c r="Q16" s="263" t="str">
        <f>$C$16</f>
        <v>JAN</v>
      </c>
      <c r="R16" s="268"/>
      <c r="S16" s="265"/>
      <c r="T16" s="264">
        <f t="shared" si="6"/>
        <v>0</v>
      </c>
      <c r="U16" s="266">
        <f t="shared" si="7"/>
        <v>100</v>
      </c>
      <c r="W16" s="261">
        <f t="shared" si="8"/>
        <v>2027</v>
      </c>
      <c r="X16" s="263" t="str">
        <f>$C$16</f>
        <v>JAN</v>
      </c>
      <c r="Y16" s="268"/>
      <c r="Z16" s="265"/>
      <c r="AA16" s="264">
        <f t="shared" si="9"/>
        <v>0</v>
      </c>
      <c r="AB16" s="266">
        <f t="shared" si="10"/>
        <v>100</v>
      </c>
      <c r="AD16" s="261">
        <f t="shared" si="11"/>
        <v>2028</v>
      </c>
      <c r="AE16" s="263" t="str">
        <f>$C$16</f>
        <v>JAN</v>
      </c>
      <c r="AF16" s="268"/>
      <c r="AG16" s="265"/>
      <c r="AH16" s="264">
        <f t="shared" si="12"/>
        <v>0</v>
      </c>
      <c r="AI16" s="266">
        <f t="shared" si="13"/>
        <v>100</v>
      </c>
    </row>
    <row r="17" spans="2:35">
      <c r="B17" s="261">
        <v>2024</v>
      </c>
      <c r="C17" s="263" t="s">
        <v>662</v>
      </c>
      <c r="D17" s="264"/>
      <c r="E17" s="265"/>
      <c r="F17" s="264">
        <f t="shared" si="0"/>
        <v>0</v>
      </c>
      <c r="G17" s="266">
        <f t="shared" si="1"/>
        <v>100</v>
      </c>
      <c r="I17" s="261">
        <f t="shared" si="2"/>
        <v>2025</v>
      </c>
      <c r="J17" s="263" t="str">
        <f>$C$17</f>
        <v>FEV</v>
      </c>
      <c r="K17" s="264"/>
      <c r="L17" s="265"/>
      <c r="M17" s="264">
        <f t="shared" si="3"/>
        <v>0</v>
      </c>
      <c r="N17" s="266">
        <f t="shared" si="4"/>
        <v>100</v>
      </c>
      <c r="P17" s="261">
        <f t="shared" si="5"/>
        <v>2026</v>
      </c>
      <c r="Q17" s="263" t="str">
        <f>$C$17</f>
        <v>FEV</v>
      </c>
      <c r="R17" s="264"/>
      <c r="S17" s="265"/>
      <c r="T17" s="264">
        <f t="shared" si="6"/>
        <v>0</v>
      </c>
      <c r="U17" s="266">
        <f t="shared" si="7"/>
        <v>100</v>
      </c>
      <c r="W17" s="261">
        <f t="shared" si="8"/>
        <v>2027</v>
      </c>
      <c r="X17" s="263" t="str">
        <f>$C$17</f>
        <v>FEV</v>
      </c>
      <c r="Y17" s="264"/>
      <c r="Z17" s="265"/>
      <c r="AA17" s="264">
        <f t="shared" si="9"/>
        <v>0</v>
      </c>
      <c r="AB17" s="266">
        <f t="shared" si="10"/>
        <v>100</v>
      </c>
      <c r="AD17" s="261">
        <f t="shared" si="11"/>
        <v>2028</v>
      </c>
      <c r="AE17" s="263" t="str">
        <f>$C$17</f>
        <v>FEV</v>
      </c>
      <c r="AF17" s="264"/>
      <c r="AG17" s="265"/>
      <c r="AH17" s="264">
        <f t="shared" si="12"/>
        <v>0</v>
      </c>
      <c r="AI17" s="266">
        <f t="shared" si="13"/>
        <v>100</v>
      </c>
    </row>
    <row r="18" spans="2:35">
      <c r="B18" s="261">
        <v>2024</v>
      </c>
      <c r="C18" s="267" t="s">
        <v>663</v>
      </c>
      <c r="D18" s="264"/>
      <c r="E18" s="265"/>
      <c r="F18" s="264">
        <f t="shared" si="0"/>
        <v>0</v>
      </c>
      <c r="G18" s="266">
        <f t="shared" si="1"/>
        <v>100</v>
      </c>
      <c r="I18" s="261">
        <f t="shared" si="2"/>
        <v>2025</v>
      </c>
      <c r="J18" s="263" t="str">
        <f>$C$18</f>
        <v>MAR</v>
      </c>
      <c r="K18" s="264"/>
      <c r="L18" s="265"/>
      <c r="M18" s="264">
        <f t="shared" si="3"/>
        <v>0</v>
      </c>
      <c r="N18" s="266">
        <f t="shared" si="4"/>
        <v>100</v>
      </c>
      <c r="P18" s="261">
        <f t="shared" si="5"/>
        <v>2026</v>
      </c>
      <c r="Q18" s="263" t="str">
        <f>$C$18</f>
        <v>MAR</v>
      </c>
      <c r="R18" s="264"/>
      <c r="S18" s="265"/>
      <c r="T18" s="264">
        <f t="shared" si="6"/>
        <v>0</v>
      </c>
      <c r="U18" s="266">
        <f t="shared" si="7"/>
        <v>100</v>
      </c>
      <c r="W18" s="261">
        <f t="shared" si="8"/>
        <v>2027</v>
      </c>
      <c r="X18" s="263" t="str">
        <f>$C$18</f>
        <v>MAR</v>
      </c>
      <c r="Y18" s="264"/>
      <c r="Z18" s="265"/>
      <c r="AA18" s="264">
        <f t="shared" si="9"/>
        <v>0</v>
      </c>
      <c r="AB18" s="266">
        <f t="shared" si="10"/>
        <v>100</v>
      </c>
      <c r="AD18" s="261">
        <f t="shared" si="11"/>
        <v>2028</v>
      </c>
      <c r="AE18" s="263" t="str">
        <f>$C$18</f>
        <v>MAR</v>
      </c>
      <c r="AF18" s="264"/>
      <c r="AG18" s="265"/>
      <c r="AH18" s="264">
        <f t="shared" si="12"/>
        <v>0</v>
      </c>
      <c r="AI18" s="266">
        <f t="shared" si="13"/>
        <v>100</v>
      </c>
    </row>
    <row r="19" spans="2:35">
      <c r="B19" s="261">
        <v>2024</v>
      </c>
      <c r="C19" s="263" t="s">
        <v>664</v>
      </c>
      <c r="D19" s="264"/>
      <c r="E19" s="265"/>
      <c r="F19" s="264">
        <f t="shared" si="0"/>
        <v>0</v>
      </c>
      <c r="G19" s="266">
        <f t="shared" si="1"/>
        <v>100</v>
      </c>
      <c r="I19" s="261">
        <f t="shared" si="2"/>
        <v>2025</v>
      </c>
      <c r="J19" s="263" t="str">
        <f>$C$19</f>
        <v>ABR</v>
      </c>
      <c r="K19" s="264"/>
      <c r="L19" s="265"/>
      <c r="M19" s="264">
        <f t="shared" si="3"/>
        <v>0</v>
      </c>
      <c r="N19" s="266">
        <f t="shared" si="4"/>
        <v>100</v>
      </c>
      <c r="P19" s="261">
        <f t="shared" si="5"/>
        <v>2026</v>
      </c>
      <c r="Q19" s="263" t="str">
        <f>$C$19</f>
        <v>ABR</v>
      </c>
      <c r="R19" s="264"/>
      <c r="S19" s="265"/>
      <c r="T19" s="264">
        <f t="shared" si="6"/>
        <v>0</v>
      </c>
      <c r="U19" s="266">
        <f t="shared" si="7"/>
        <v>100</v>
      </c>
      <c r="W19" s="261">
        <f t="shared" si="8"/>
        <v>2027</v>
      </c>
      <c r="X19" s="263" t="str">
        <f>$C$19</f>
        <v>ABR</v>
      </c>
      <c r="Y19" s="264"/>
      <c r="Z19" s="265"/>
      <c r="AA19" s="264">
        <f t="shared" si="9"/>
        <v>0</v>
      </c>
      <c r="AB19" s="266">
        <f t="shared" si="10"/>
        <v>100</v>
      </c>
      <c r="AD19" s="261">
        <f t="shared" si="11"/>
        <v>2028</v>
      </c>
      <c r="AE19" s="263" t="str">
        <f>$C$19</f>
        <v>ABR</v>
      </c>
      <c r="AF19" s="264"/>
      <c r="AG19" s="265"/>
      <c r="AH19" s="264">
        <f t="shared" si="12"/>
        <v>0</v>
      </c>
      <c r="AI19" s="266">
        <f t="shared" si="13"/>
        <v>100</v>
      </c>
    </row>
    <row r="20" spans="2:35">
      <c r="B20" s="261">
        <v>2024</v>
      </c>
      <c r="C20" s="267" t="s">
        <v>665</v>
      </c>
      <c r="D20" s="264"/>
      <c r="E20" s="265"/>
      <c r="F20" s="264">
        <f t="shared" si="0"/>
        <v>0</v>
      </c>
      <c r="G20" s="266">
        <f t="shared" si="1"/>
        <v>100</v>
      </c>
      <c r="I20" s="261">
        <f t="shared" si="2"/>
        <v>2025</v>
      </c>
      <c r="J20" s="263" t="str">
        <f>$C$20</f>
        <v>MAI</v>
      </c>
      <c r="K20" s="264"/>
      <c r="L20" s="265"/>
      <c r="M20" s="264">
        <f t="shared" si="3"/>
        <v>0</v>
      </c>
      <c r="N20" s="266">
        <f t="shared" si="4"/>
        <v>100</v>
      </c>
      <c r="P20" s="261">
        <f t="shared" si="5"/>
        <v>2026</v>
      </c>
      <c r="Q20" s="263" t="str">
        <f>$C$20</f>
        <v>MAI</v>
      </c>
      <c r="R20" s="264"/>
      <c r="S20" s="265"/>
      <c r="T20" s="264">
        <f t="shared" si="6"/>
        <v>0</v>
      </c>
      <c r="U20" s="266">
        <f t="shared" si="7"/>
        <v>100</v>
      </c>
      <c r="W20" s="261">
        <f t="shared" si="8"/>
        <v>2027</v>
      </c>
      <c r="X20" s="263" t="str">
        <f>$C$20</f>
        <v>MAI</v>
      </c>
      <c r="Y20" s="264"/>
      <c r="Z20" s="265"/>
      <c r="AA20" s="264">
        <f t="shared" si="9"/>
        <v>0</v>
      </c>
      <c r="AB20" s="266">
        <f t="shared" si="10"/>
        <v>100</v>
      </c>
      <c r="AD20" s="261">
        <f t="shared" si="11"/>
        <v>2028</v>
      </c>
      <c r="AE20" s="263" t="str">
        <f>$C$20</f>
        <v>MAI</v>
      </c>
      <c r="AF20" s="264"/>
      <c r="AG20" s="265"/>
      <c r="AH20" s="264">
        <f t="shared" si="12"/>
        <v>0</v>
      </c>
      <c r="AI20" s="266">
        <f t="shared" si="13"/>
        <v>100</v>
      </c>
    </row>
    <row r="21" spans="2:35">
      <c r="B21" s="261">
        <v>2024</v>
      </c>
      <c r="C21" s="263" t="s">
        <v>666</v>
      </c>
      <c r="D21" s="264"/>
      <c r="E21" s="265"/>
      <c r="F21" s="264">
        <f t="shared" si="0"/>
        <v>0</v>
      </c>
      <c r="G21" s="266">
        <f t="shared" si="1"/>
        <v>100</v>
      </c>
      <c r="I21" s="261">
        <f t="shared" si="2"/>
        <v>2025</v>
      </c>
      <c r="J21" s="263" t="str">
        <f>$C$21</f>
        <v>JUN</v>
      </c>
      <c r="K21" s="264"/>
      <c r="L21" s="265"/>
      <c r="M21" s="264">
        <f t="shared" si="3"/>
        <v>0</v>
      </c>
      <c r="N21" s="266">
        <f t="shared" si="4"/>
        <v>100</v>
      </c>
      <c r="P21" s="261">
        <f t="shared" si="5"/>
        <v>2026</v>
      </c>
      <c r="Q21" s="263" t="str">
        <f>$C$21</f>
        <v>JUN</v>
      </c>
      <c r="R21" s="264"/>
      <c r="S21" s="265"/>
      <c r="T21" s="264">
        <f t="shared" si="6"/>
        <v>0</v>
      </c>
      <c r="U21" s="266">
        <f t="shared" si="7"/>
        <v>100</v>
      </c>
      <c r="W21" s="261">
        <f t="shared" si="8"/>
        <v>2027</v>
      </c>
      <c r="X21" s="263" t="str">
        <f>$C$21</f>
        <v>JUN</v>
      </c>
      <c r="Y21" s="264"/>
      <c r="Z21" s="265"/>
      <c r="AA21" s="264">
        <f t="shared" si="9"/>
        <v>0</v>
      </c>
      <c r="AB21" s="266">
        <f t="shared" si="10"/>
        <v>100</v>
      </c>
      <c r="AD21" s="261">
        <f t="shared" si="11"/>
        <v>2028</v>
      </c>
      <c r="AE21" s="263" t="str">
        <f>$C$21</f>
        <v>JUN</v>
      </c>
      <c r="AF21" s="264"/>
      <c r="AG21" s="265"/>
      <c r="AH21" s="264">
        <f t="shared" si="12"/>
        <v>0</v>
      </c>
      <c r="AI21" s="266">
        <f t="shared" si="13"/>
        <v>100</v>
      </c>
    </row>
    <row r="22" spans="2:35">
      <c r="B22" s="261">
        <v>2024</v>
      </c>
      <c r="C22" s="267" t="s">
        <v>667</v>
      </c>
      <c r="D22" s="264"/>
      <c r="E22" s="265">
        <v>0</v>
      </c>
      <c r="F22" s="264">
        <f t="shared" si="0"/>
        <v>0</v>
      </c>
      <c r="G22" s="266">
        <f t="shared" si="1"/>
        <v>100</v>
      </c>
      <c r="I22" s="261">
        <f t="shared" si="2"/>
        <v>2025</v>
      </c>
      <c r="J22" s="263" t="str">
        <f>$C$22</f>
        <v>JUL</v>
      </c>
      <c r="K22" s="264"/>
      <c r="L22" s="265">
        <f>$E$22</f>
        <v>0</v>
      </c>
      <c r="M22" s="264">
        <f t="shared" si="3"/>
        <v>0</v>
      </c>
      <c r="N22" s="266">
        <f t="shared" si="4"/>
        <v>100</v>
      </c>
      <c r="P22" s="261">
        <f t="shared" si="5"/>
        <v>2026</v>
      </c>
      <c r="Q22" s="263" t="str">
        <f>$C$22</f>
        <v>JUL</v>
      </c>
      <c r="R22" s="264"/>
      <c r="S22" s="265">
        <f>$E$22</f>
        <v>0</v>
      </c>
      <c r="T22" s="264">
        <f t="shared" si="6"/>
        <v>0</v>
      </c>
      <c r="U22" s="266">
        <f t="shared" si="7"/>
        <v>100</v>
      </c>
      <c r="W22" s="261">
        <f t="shared" si="8"/>
        <v>2027</v>
      </c>
      <c r="X22" s="263" t="str">
        <f>$C$22</f>
        <v>JUL</v>
      </c>
      <c r="Y22" s="264"/>
      <c r="Z22" s="265">
        <f>$E$22</f>
        <v>0</v>
      </c>
      <c r="AA22" s="264">
        <f t="shared" si="9"/>
        <v>0</v>
      </c>
      <c r="AB22" s="266">
        <f t="shared" si="10"/>
        <v>100</v>
      </c>
      <c r="AD22" s="261">
        <f t="shared" si="11"/>
        <v>2028</v>
      </c>
      <c r="AE22" s="263" t="str">
        <f>$C$22</f>
        <v>JUL</v>
      </c>
      <c r="AF22" s="264"/>
      <c r="AG22" s="265">
        <f>$E$22</f>
        <v>0</v>
      </c>
      <c r="AH22" s="264">
        <f t="shared" si="12"/>
        <v>0</v>
      </c>
      <c r="AI22" s="266">
        <f t="shared" si="13"/>
        <v>100</v>
      </c>
    </row>
    <row r="23" spans="2:35">
      <c r="B23" s="770" t="s">
        <v>668</v>
      </c>
      <c r="C23" s="770"/>
      <c r="D23" s="770"/>
      <c r="E23" s="770"/>
      <c r="F23" s="770"/>
      <c r="G23" s="270">
        <f>ROUND(((G22-G9)/G9),4)</f>
        <v>0</v>
      </c>
      <c r="I23" s="770" t="s">
        <v>668</v>
      </c>
      <c r="J23" s="770"/>
      <c r="K23" s="770"/>
      <c r="L23" s="770"/>
      <c r="M23" s="770"/>
      <c r="N23" s="270">
        <f>ROUND(((N22-N9)/N9),4)</f>
        <v>0</v>
      </c>
      <c r="P23" s="770" t="s">
        <v>668</v>
      </c>
      <c r="Q23" s="770"/>
      <c r="R23" s="770"/>
      <c r="S23" s="770"/>
      <c r="T23" s="770"/>
      <c r="U23" s="270">
        <f>ROUND(((U22-U9)/U9),4)</f>
        <v>0</v>
      </c>
      <c r="W23" s="770" t="s">
        <v>668</v>
      </c>
      <c r="X23" s="770"/>
      <c r="Y23" s="770"/>
      <c r="Z23" s="770"/>
      <c r="AA23" s="770"/>
      <c r="AB23" s="270">
        <f>ROUND(((AB22-AB9)/AB9),4)</f>
        <v>0</v>
      </c>
      <c r="AD23" s="770" t="s">
        <v>668</v>
      </c>
      <c r="AE23" s="770"/>
      <c r="AF23" s="770"/>
      <c r="AG23" s="770"/>
      <c r="AH23" s="770"/>
      <c r="AI23" s="270">
        <f>ROUND(((AI22-AI9)/AI9),4)</f>
        <v>0</v>
      </c>
    </row>
  </sheetData>
  <mergeCells count="20">
    <mergeCell ref="B23:F23"/>
    <mergeCell ref="I23:M23"/>
    <mergeCell ref="P23:T23"/>
    <mergeCell ref="W23:AA23"/>
    <mergeCell ref="AD23:AH23"/>
    <mergeCell ref="B8:C8"/>
    <mergeCell ref="I8:J8"/>
    <mergeCell ref="P8:Q8"/>
    <mergeCell ref="W8:X8"/>
    <mergeCell ref="AD8:AE8"/>
    <mergeCell ref="C7:G7"/>
    <mergeCell ref="J7:N7"/>
    <mergeCell ref="Q7:U7"/>
    <mergeCell ref="X7:AB7"/>
    <mergeCell ref="AE7:AI7"/>
    <mergeCell ref="B6:G6"/>
    <mergeCell ref="I6:N6"/>
    <mergeCell ref="P6:U6"/>
    <mergeCell ref="W6:AB6"/>
    <mergeCell ref="AD6:AI6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MJ77"/>
  <sheetViews>
    <sheetView showGridLines="0" topLeftCell="A4" zoomScaleNormal="100" workbookViewId="0">
      <selection activeCell="H81" sqref="H81"/>
    </sheetView>
  </sheetViews>
  <sheetFormatPr defaultColWidth="9.140625" defaultRowHeight="15"/>
  <cols>
    <col min="1" max="1" width="6.28515625" style="12" customWidth="1"/>
    <col min="2" max="2" width="8.7109375" style="13" customWidth="1"/>
    <col min="3" max="3" width="4" style="10" customWidth="1"/>
    <col min="4" max="23" width="9.140625" style="10"/>
    <col min="24" max="24" width="10.7109375" style="10" customWidth="1"/>
    <col min="25" max="256" width="9.140625" style="10"/>
    <col min="257" max="257" width="4.5703125" style="10" customWidth="1"/>
    <col min="258" max="258" width="11.140625" style="10" customWidth="1"/>
    <col min="259" max="259" width="4" style="10" customWidth="1"/>
    <col min="260" max="512" width="9.140625" style="10"/>
    <col min="513" max="513" width="4.5703125" style="10" customWidth="1"/>
    <col min="514" max="514" width="11.140625" style="10" customWidth="1"/>
    <col min="515" max="515" width="4" style="10" customWidth="1"/>
    <col min="516" max="768" width="9.140625" style="10"/>
    <col min="769" max="769" width="4.5703125" style="10" customWidth="1"/>
    <col min="770" max="770" width="11.140625" style="10" customWidth="1"/>
    <col min="771" max="771" width="4" style="10" customWidth="1"/>
    <col min="772" max="1024" width="9.140625" style="10"/>
  </cols>
  <sheetData>
    <row r="1" spans="1:24">
      <c r="A1" s="14"/>
      <c r="B1" s="15" t="s">
        <v>163</v>
      </c>
    </row>
    <row r="2" spans="1:24">
      <c r="A2" s="16"/>
      <c r="B2" s="17" t="s">
        <v>164</v>
      </c>
    </row>
    <row r="3" spans="1:24">
      <c r="A3" s="16"/>
      <c r="B3" s="18" t="s">
        <v>165</v>
      </c>
    </row>
    <row r="4" spans="1:24" s="19" customFormat="1" ht="15.75">
      <c r="A4" s="630" t="s">
        <v>166</v>
      </c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30"/>
      <c r="V4" s="630"/>
      <c r="W4" s="630"/>
      <c r="X4" s="630"/>
    </row>
    <row r="5" spans="1:24" ht="12" customHeight="1"/>
    <row r="6" spans="1:24">
      <c r="A6" s="20" t="s">
        <v>167</v>
      </c>
      <c r="B6" s="21" t="s">
        <v>168</v>
      </c>
    </row>
    <row r="7" spans="1:24" ht="7.5" customHeight="1"/>
    <row r="8" spans="1:24">
      <c r="B8" s="22"/>
      <c r="C8" s="13" t="s">
        <v>169</v>
      </c>
    </row>
    <row r="10" spans="1:24">
      <c r="A10" s="20" t="s">
        <v>170</v>
      </c>
      <c r="B10" s="13" t="s">
        <v>171</v>
      </c>
    </row>
    <row r="12" spans="1:24">
      <c r="A12" s="20" t="s">
        <v>172</v>
      </c>
      <c r="B12" s="13" t="s">
        <v>173</v>
      </c>
    </row>
    <row r="13" spans="1:24">
      <c r="A13" s="20"/>
      <c r="B13" s="13" t="s">
        <v>174</v>
      </c>
    </row>
    <row r="14" spans="1:24" s="24" customFormat="1" ht="17.25" customHeight="1">
      <c r="A14" s="20"/>
      <c r="B14" s="23" t="s">
        <v>175</v>
      </c>
    </row>
    <row r="15" spans="1:24" ht="7.5" customHeight="1"/>
    <row r="16" spans="1:24">
      <c r="B16" s="25" t="s">
        <v>176</v>
      </c>
      <c r="C16" s="26" t="s">
        <v>177</v>
      </c>
      <c r="D16" s="26"/>
      <c r="E16" s="26"/>
      <c r="F16" s="26"/>
      <c r="G16" s="26"/>
    </row>
    <row r="18" spans="3:4">
      <c r="C18" s="27" t="s">
        <v>178</v>
      </c>
      <c r="D18" s="27" t="s">
        <v>179</v>
      </c>
    </row>
    <row r="19" spans="3:4">
      <c r="D19" s="10" t="s">
        <v>180</v>
      </c>
    </row>
    <row r="20" spans="3:4">
      <c r="D20" s="10" t="s">
        <v>181</v>
      </c>
    </row>
    <row r="21" spans="3:4">
      <c r="D21" s="10" t="s">
        <v>182</v>
      </c>
    </row>
    <row r="22" spans="3:4">
      <c r="D22" s="10" t="s">
        <v>183</v>
      </c>
    </row>
    <row r="23" spans="3:4">
      <c r="D23" s="10" t="s">
        <v>184</v>
      </c>
    </row>
    <row r="24" spans="3:4">
      <c r="D24" s="10" t="s">
        <v>185</v>
      </c>
    </row>
    <row r="25" spans="3:4">
      <c r="D25" s="10" t="s">
        <v>186</v>
      </c>
    </row>
    <row r="26" spans="3:4">
      <c r="D26" s="10" t="s">
        <v>187</v>
      </c>
    </row>
    <row r="27" spans="3:4">
      <c r="D27" s="10" t="s">
        <v>188</v>
      </c>
    </row>
    <row r="28" spans="3:4">
      <c r="D28" s="10" t="s">
        <v>189</v>
      </c>
    </row>
    <row r="29" spans="3:4">
      <c r="D29" s="10" t="s">
        <v>190</v>
      </c>
    </row>
    <row r="30" spans="3:4">
      <c r="D30" s="10" t="s">
        <v>191</v>
      </c>
    </row>
    <row r="31" spans="3:4">
      <c r="D31" s="10" t="s">
        <v>192</v>
      </c>
    </row>
    <row r="32" spans="3:4">
      <c r="D32" s="10" t="s">
        <v>193</v>
      </c>
    </row>
    <row r="33" spans="3:8">
      <c r="D33" s="10" t="s">
        <v>194</v>
      </c>
    </row>
    <row r="34" spans="3:8">
      <c r="D34" s="10" t="s">
        <v>195</v>
      </c>
    </row>
    <row r="35" spans="3:8">
      <c r="D35" s="10" t="s">
        <v>196</v>
      </c>
    </row>
    <row r="36" spans="3:8">
      <c r="D36" s="10" t="s">
        <v>197</v>
      </c>
    </row>
    <row r="37" spans="3:8">
      <c r="D37" s="10" t="s">
        <v>198</v>
      </c>
    </row>
    <row r="38" spans="3:8">
      <c r="D38" s="10" t="s">
        <v>199</v>
      </c>
    </row>
    <row r="39" spans="3:8">
      <c r="D39" s="10" t="s">
        <v>200</v>
      </c>
    </row>
    <row r="40" spans="3:8">
      <c r="D40" s="26" t="s">
        <v>201</v>
      </c>
      <c r="E40" s="26"/>
      <c r="F40" s="26"/>
      <c r="G40" s="26"/>
      <c r="H40" s="26"/>
    </row>
    <row r="42" spans="3:8">
      <c r="C42" s="27" t="s">
        <v>202</v>
      </c>
      <c r="D42" s="27" t="s">
        <v>203</v>
      </c>
    </row>
    <row r="43" spans="3:8">
      <c r="D43" s="10" t="s">
        <v>204</v>
      </c>
    </row>
    <row r="44" spans="3:8">
      <c r="D44" s="10" t="s">
        <v>205</v>
      </c>
    </row>
    <row r="45" spans="3:8">
      <c r="D45" s="26" t="s">
        <v>201</v>
      </c>
      <c r="E45" s="26"/>
      <c r="F45" s="26"/>
      <c r="G45" s="26"/>
      <c r="H45" s="26"/>
    </row>
    <row r="47" spans="3:8">
      <c r="C47" s="27" t="s">
        <v>206</v>
      </c>
      <c r="D47" s="27" t="s">
        <v>207</v>
      </c>
    </row>
    <row r="48" spans="3:8">
      <c r="D48" s="10" t="s">
        <v>208</v>
      </c>
    </row>
    <row r="49" spans="3:8">
      <c r="D49" s="10" t="s">
        <v>209</v>
      </c>
    </row>
    <row r="50" spans="3:8">
      <c r="E50" s="10" t="s">
        <v>210</v>
      </c>
    </row>
    <row r="51" spans="3:8">
      <c r="E51" s="28" t="s">
        <v>211</v>
      </c>
    </row>
    <row r="52" spans="3:8">
      <c r="D52" s="10" t="s">
        <v>212</v>
      </c>
    </row>
    <row r="53" spans="3:8">
      <c r="D53" s="26" t="s">
        <v>201</v>
      </c>
      <c r="E53" s="26"/>
      <c r="F53" s="26"/>
      <c r="G53" s="26"/>
      <c r="H53" s="26"/>
    </row>
    <row r="55" spans="3:8">
      <c r="C55" s="27" t="s">
        <v>213</v>
      </c>
      <c r="D55" s="27" t="s">
        <v>214</v>
      </c>
    </row>
    <row r="56" spans="3:8">
      <c r="D56" s="10" t="s">
        <v>215</v>
      </c>
    </row>
    <row r="57" spans="3:8">
      <c r="D57" s="26" t="s">
        <v>201</v>
      </c>
      <c r="E57" s="26"/>
      <c r="F57" s="26"/>
      <c r="G57" s="26"/>
      <c r="H57" s="26"/>
    </row>
    <row r="59" spans="3:8">
      <c r="C59" s="27" t="s">
        <v>216</v>
      </c>
      <c r="D59" s="27" t="s">
        <v>217</v>
      </c>
    </row>
    <row r="60" spans="3:8">
      <c r="D60" s="10" t="s">
        <v>218</v>
      </c>
    </row>
    <row r="61" spans="3:8">
      <c r="D61" s="10" t="s">
        <v>219</v>
      </c>
    </row>
    <row r="62" spans="3:8">
      <c r="D62" s="10" t="s">
        <v>220</v>
      </c>
    </row>
    <row r="63" spans="3:8">
      <c r="D63" s="26" t="s">
        <v>201</v>
      </c>
      <c r="E63" s="26"/>
      <c r="F63" s="26"/>
      <c r="G63" s="26"/>
      <c r="H63" s="26"/>
    </row>
    <row r="64" spans="3:8" ht="19.5" customHeight="1"/>
    <row r="65" spans="1:7">
      <c r="A65" s="20" t="s">
        <v>221</v>
      </c>
      <c r="B65" s="13" t="s">
        <v>222</v>
      </c>
    </row>
    <row r="66" spans="1:7">
      <c r="A66" s="20"/>
      <c r="B66" s="13" t="s">
        <v>174</v>
      </c>
    </row>
    <row r="67" spans="1:7" s="24" customFormat="1" ht="18" customHeight="1">
      <c r="A67" s="12"/>
      <c r="B67" s="20" t="s">
        <v>223</v>
      </c>
      <c r="C67" s="24" t="s">
        <v>224</v>
      </c>
    </row>
    <row r="68" spans="1:7">
      <c r="B68" s="25" t="s">
        <v>225</v>
      </c>
      <c r="C68" s="29" t="s">
        <v>226</v>
      </c>
      <c r="D68" s="29"/>
      <c r="E68" s="29"/>
      <c r="F68" s="29"/>
      <c r="G68" s="29"/>
    </row>
    <row r="69" spans="1:7" ht="24.75" customHeight="1"/>
    <row r="70" spans="1:7" s="24" customFormat="1" ht="15" customHeight="1">
      <c r="A70" s="20" t="s">
        <v>227</v>
      </c>
      <c r="B70" s="30" t="s">
        <v>228</v>
      </c>
    </row>
    <row r="71" spans="1:7" s="24" customFormat="1" ht="15.75" customHeight="1">
      <c r="A71" s="12"/>
      <c r="B71" s="20" t="s">
        <v>229</v>
      </c>
      <c r="C71" s="31" t="s">
        <v>230</v>
      </c>
    </row>
    <row r="72" spans="1:7">
      <c r="B72" s="25" t="s">
        <v>231</v>
      </c>
      <c r="C72" s="32" t="s">
        <v>232</v>
      </c>
      <c r="D72" s="32"/>
      <c r="E72" s="32"/>
      <c r="F72" s="32"/>
    </row>
    <row r="73" spans="1:7" ht="24.75" customHeight="1"/>
    <row r="74" spans="1:7">
      <c r="A74" s="20" t="s">
        <v>233</v>
      </c>
      <c r="B74" s="13" t="s">
        <v>234</v>
      </c>
    </row>
    <row r="75" spans="1:7" s="24" customFormat="1" ht="16.5" customHeight="1">
      <c r="A75" s="12"/>
      <c r="B75" s="20" t="s">
        <v>235</v>
      </c>
      <c r="C75" s="31" t="s">
        <v>236</v>
      </c>
    </row>
    <row r="76" spans="1:7" s="24" customFormat="1" ht="14.25" customHeight="1">
      <c r="A76" s="12"/>
      <c r="B76" s="20" t="s">
        <v>237</v>
      </c>
      <c r="C76" s="33" t="s">
        <v>226</v>
      </c>
      <c r="D76" s="33"/>
      <c r="E76" s="33"/>
      <c r="F76" s="33"/>
      <c r="G76" s="33"/>
    </row>
    <row r="77" spans="1:7" s="24" customFormat="1" ht="23.25" customHeight="1">
      <c r="A77" s="12"/>
      <c r="B77" s="20"/>
      <c r="C77" s="34"/>
      <c r="D77" s="34"/>
      <c r="E77" s="34"/>
      <c r="F77" s="34"/>
      <c r="G77" s="34"/>
    </row>
  </sheetData>
  <sheetProtection password="C494" sheet="1" objects="1" scenarios="1"/>
  <mergeCells count="1">
    <mergeCell ref="A4:X4"/>
  </mergeCells>
  <pageMargins left="0.51180555555555496" right="0.51180555555555496" top="0.78749999999999998" bottom="0.78749999999999998" header="0.51180555555555496" footer="0.51180555555555496"/>
  <pageSetup paperSize="9" fitToHeight="2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1"/>
    <pageSetUpPr fitToPage="1"/>
  </sheetPr>
  <dimension ref="A1:AMG84"/>
  <sheetViews>
    <sheetView showGridLines="0" zoomScale="90" zoomScaleNormal="90" workbookViewId="0">
      <selection activeCell="Q10" sqref="Q10"/>
    </sheetView>
  </sheetViews>
  <sheetFormatPr defaultColWidth="9.140625" defaultRowHeight="15"/>
  <cols>
    <col min="1" max="1" width="9.85546875" style="1" customWidth="1"/>
    <col min="2" max="2" width="10.42578125" style="1" customWidth="1"/>
    <col min="3" max="3" width="39.28515625" style="1" customWidth="1"/>
    <col min="4" max="4" width="12" style="1" customWidth="1"/>
    <col min="5" max="5" width="15.7109375" style="1" customWidth="1"/>
    <col min="6" max="6" width="14.85546875" style="1" customWidth="1"/>
    <col min="7" max="7" width="14" style="1" customWidth="1"/>
    <col min="8" max="8" width="13.5703125" style="1" customWidth="1"/>
    <col min="9" max="9" width="13.42578125" style="1" customWidth="1"/>
    <col min="10" max="10" width="13.5703125" style="2" customWidth="1"/>
    <col min="11" max="11" width="18.28515625" style="2" customWidth="1"/>
    <col min="12" max="12" width="13.28515625" style="1" customWidth="1"/>
    <col min="13" max="13" width="15.140625" style="1" customWidth="1"/>
    <col min="14" max="14" width="12.5703125" style="1" customWidth="1"/>
    <col min="15" max="16" width="14.85546875" style="1" customWidth="1"/>
    <col min="17" max="17" width="13.5703125" style="1" customWidth="1"/>
    <col min="18" max="18" width="15" style="1" customWidth="1"/>
    <col min="19" max="254" width="9.140625" style="1"/>
    <col min="255" max="255" width="9.85546875" style="1" customWidth="1"/>
    <col min="256" max="256" width="10.42578125" style="1" customWidth="1"/>
    <col min="257" max="257" width="39.28515625" style="1" customWidth="1"/>
    <col min="258" max="258" width="15" style="1" customWidth="1"/>
    <col min="259" max="259" width="11" style="1" customWidth="1"/>
    <col min="260" max="260" width="11.140625" style="1" customWidth="1"/>
    <col min="261" max="261" width="12.85546875" style="1" customWidth="1"/>
    <col min="262" max="262" width="13.140625" style="1" customWidth="1"/>
    <col min="263" max="266" width="14.140625" style="1" customWidth="1"/>
    <col min="267" max="267" width="14.42578125" style="1" customWidth="1"/>
    <col min="268" max="268" width="9.7109375" style="1" customWidth="1"/>
    <col min="269" max="269" width="12.7109375" style="1" customWidth="1"/>
    <col min="270" max="272" width="13.5703125" style="1" customWidth="1"/>
    <col min="273" max="273" width="12.140625" style="1" customWidth="1"/>
    <col min="274" max="274" width="15" style="1" customWidth="1"/>
    <col min="275" max="510" width="9.140625" style="1"/>
    <col min="511" max="511" width="9.85546875" style="1" customWidth="1"/>
    <col min="512" max="512" width="10.42578125" style="1" customWidth="1"/>
    <col min="513" max="513" width="39.28515625" style="1" customWidth="1"/>
    <col min="514" max="514" width="15" style="1" customWidth="1"/>
    <col min="515" max="515" width="11" style="1" customWidth="1"/>
    <col min="516" max="516" width="11.140625" style="1" customWidth="1"/>
    <col min="517" max="517" width="12.85546875" style="1" customWidth="1"/>
    <col min="518" max="518" width="13.140625" style="1" customWidth="1"/>
    <col min="519" max="522" width="14.140625" style="1" customWidth="1"/>
    <col min="523" max="523" width="14.42578125" style="1" customWidth="1"/>
    <col min="524" max="524" width="9.7109375" style="1" customWidth="1"/>
    <col min="525" max="525" width="12.7109375" style="1" customWidth="1"/>
    <col min="526" max="528" width="13.5703125" style="1" customWidth="1"/>
    <col min="529" max="529" width="12.140625" style="1" customWidth="1"/>
    <col min="530" max="530" width="15" style="1" customWidth="1"/>
    <col min="531" max="766" width="9.140625" style="1"/>
    <col min="767" max="767" width="9.85546875" style="1" customWidth="1"/>
    <col min="768" max="768" width="10.42578125" style="1" customWidth="1"/>
    <col min="769" max="769" width="39.28515625" style="1" customWidth="1"/>
    <col min="770" max="770" width="15" style="1" customWidth="1"/>
    <col min="771" max="771" width="11" style="1" customWidth="1"/>
    <col min="772" max="772" width="11.140625" style="1" customWidth="1"/>
    <col min="773" max="773" width="12.85546875" style="1" customWidth="1"/>
    <col min="774" max="774" width="13.140625" style="1" customWidth="1"/>
    <col min="775" max="778" width="14.140625" style="1" customWidth="1"/>
    <col min="779" max="779" width="14.42578125" style="1" customWidth="1"/>
    <col min="780" max="780" width="9.7109375" style="1" customWidth="1"/>
    <col min="781" max="781" width="12.7109375" style="1" customWidth="1"/>
    <col min="782" max="784" width="13.5703125" style="1" customWidth="1"/>
    <col min="785" max="785" width="12.140625" style="1" customWidth="1"/>
    <col min="786" max="786" width="15" style="1" customWidth="1"/>
    <col min="787" max="1021" width="9.140625" style="1"/>
  </cols>
  <sheetData>
    <row r="1" spans="1:20">
      <c r="A1" s="35"/>
      <c r="B1" s="36" t="str">
        <f>INSTRUÇÕES!B1</f>
        <v>Tribunal Regional Federal da 6ª Região</v>
      </c>
      <c r="D1" s="10"/>
      <c r="E1" s="10"/>
      <c r="F1" s="10"/>
      <c r="G1" s="10"/>
      <c r="H1" s="10"/>
      <c r="I1" s="10"/>
      <c r="J1" s="37"/>
      <c r="K1" s="37"/>
      <c r="L1" s="10"/>
      <c r="M1" s="10"/>
      <c r="N1" s="10"/>
    </row>
    <row r="2" spans="1:20">
      <c r="A2" s="35"/>
      <c r="B2" s="36" t="str">
        <f>INSTRUÇÕES!B2</f>
        <v>Seção Judiciária de Minas Gerais</v>
      </c>
      <c r="D2" s="10"/>
      <c r="E2" s="10"/>
      <c r="F2" s="10"/>
      <c r="G2" s="10"/>
      <c r="H2" s="10"/>
      <c r="I2" s="10"/>
      <c r="J2" s="37"/>
      <c r="K2" s="37"/>
      <c r="L2" s="10"/>
      <c r="M2" s="10"/>
      <c r="N2" s="10"/>
    </row>
    <row r="3" spans="1:20" ht="18.75">
      <c r="A3" s="35"/>
      <c r="B3" s="36" t="str">
        <f>INSTRUÇÕES!B3</f>
        <v>Subseção Judiciária de Ituiutaba</v>
      </c>
      <c r="D3" s="10"/>
      <c r="E3" s="38" t="s">
        <v>238</v>
      </c>
      <c r="F3" s="10"/>
      <c r="G3" s="10"/>
      <c r="H3" s="10"/>
      <c r="I3" s="10"/>
      <c r="J3" s="37"/>
      <c r="K3" s="37"/>
      <c r="L3" s="10"/>
      <c r="M3" s="10"/>
      <c r="N3" s="10"/>
      <c r="Q3" s="39"/>
    </row>
    <row r="4" spans="1:20" s="4" customFormat="1" ht="24.75" customHeight="1">
      <c r="A4" s="40" t="str">
        <f>CONCATENATE("Sindicato utilizado - ",E14,". Vigência: ",E16,". Sendo a data base da categoria ",E17,". Com número de registro no MTE ",E15,".")</f>
        <v>Sindicato utilizado - SINDEACO. Vigência: 01/01/2023 à 31/12/2023. Sendo a data base da categoria 01º Janeiro. Com número de registro no MTE MG000781/2023.</v>
      </c>
      <c r="B4" s="40"/>
      <c r="C4" s="41"/>
      <c r="D4" s="42"/>
      <c r="E4" s="40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20" s="4" customFormat="1" ht="66.75" customHeight="1">
      <c r="A5" s="631" t="s">
        <v>239</v>
      </c>
      <c r="B5" s="631" t="s">
        <v>240</v>
      </c>
      <c r="C5" s="631" t="s">
        <v>25</v>
      </c>
      <c r="D5" s="631" t="s">
        <v>241</v>
      </c>
      <c r="E5" s="631" t="s">
        <v>242</v>
      </c>
      <c r="F5" s="631" t="s">
        <v>243</v>
      </c>
      <c r="G5" s="631" t="s">
        <v>244</v>
      </c>
      <c r="H5" s="631" t="s">
        <v>245</v>
      </c>
      <c r="I5" s="631" t="s">
        <v>246</v>
      </c>
      <c r="J5" s="631" t="s">
        <v>247</v>
      </c>
      <c r="K5" s="631" t="s">
        <v>248</v>
      </c>
      <c r="L5" s="631" t="s">
        <v>249</v>
      </c>
      <c r="M5" s="632" t="s">
        <v>250</v>
      </c>
      <c r="N5" s="44" t="s">
        <v>251</v>
      </c>
      <c r="O5" s="44" t="s">
        <v>252</v>
      </c>
      <c r="P5" s="44" t="s">
        <v>253</v>
      </c>
      <c r="Q5" s="44" t="s">
        <v>254</v>
      </c>
      <c r="R5" s="631" t="s">
        <v>255</v>
      </c>
      <c r="T5" s="46"/>
    </row>
    <row r="6" spans="1:20" s="4" customFormat="1" ht="30">
      <c r="A6" s="631"/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2"/>
      <c r="N6" s="47" t="s">
        <v>256</v>
      </c>
      <c r="O6" s="48">
        <f>B8+B9</f>
        <v>2</v>
      </c>
      <c r="P6" s="48">
        <f>B8</f>
        <v>1</v>
      </c>
      <c r="Q6" s="48">
        <f>B8+B9</f>
        <v>2</v>
      </c>
      <c r="R6" s="631"/>
      <c r="T6" s="46"/>
    </row>
    <row r="7" spans="1:20" s="4" customFormat="1" ht="24.75" customHeight="1">
      <c r="A7" s="633"/>
      <c r="B7" s="48">
        <v>3</v>
      </c>
      <c r="C7" s="49" t="s">
        <v>257</v>
      </c>
      <c r="D7" s="48">
        <v>150</v>
      </c>
      <c r="E7" s="50">
        <v>1949.29</v>
      </c>
      <c r="F7" s="51">
        <f t="shared" ref="F7:F10" si="0">ROUND(((E7/220)*D7),2)</f>
        <v>1329.06</v>
      </c>
      <c r="G7" s="52"/>
      <c r="H7" s="53"/>
      <c r="I7" s="6">
        <v>0</v>
      </c>
      <c r="J7" s="6">
        <v>0</v>
      </c>
      <c r="K7" s="6"/>
      <c r="L7" s="6">
        <v>0</v>
      </c>
      <c r="M7" s="54">
        <f t="shared" ref="M7:M10" si="1">F7+H7+L7</f>
        <v>1329.06</v>
      </c>
      <c r="N7" s="51">
        <f>Uniformes!H22</f>
        <v>34.11</v>
      </c>
      <c r="O7" s="51"/>
      <c r="P7" s="51"/>
      <c r="Q7" s="51"/>
      <c r="R7" s="5">
        <v>1</v>
      </c>
      <c r="T7" s="46"/>
    </row>
    <row r="8" spans="1:20" s="4" customFormat="1" ht="24" customHeight="1">
      <c r="A8" s="633"/>
      <c r="B8" s="48">
        <v>1</v>
      </c>
      <c r="C8" s="49" t="s">
        <v>258</v>
      </c>
      <c r="D8" s="48">
        <v>200</v>
      </c>
      <c r="E8" s="50">
        <v>1394.24</v>
      </c>
      <c r="F8" s="51">
        <f t="shared" si="0"/>
        <v>1267.49</v>
      </c>
      <c r="G8" s="55"/>
      <c r="H8" s="6"/>
      <c r="I8" s="275">
        <v>0.12</v>
      </c>
      <c r="J8" s="275">
        <v>0.25</v>
      </c>
      <c r="K8" s="276">
        <f>F8</f>
        <v>1267.49</v>
      </c>
      <c r="L8" s="58">
        <f>ROUND((K8*J8*I8),2)</f>
        <v>38.020000000000003</v>
      </c>
      <c r="M8" s="54">
        <f t="shared" si="1"/>
        <v>1305.51</v>
      </c>
      <c r="N8" s="51">
        <f>Uniformes!H15+Uniformes!H36</f>
        <v>31.07</v>
      </c>
      <c r="O8" s="51">
        <f>ROUND((Materiais!$G$39/$O$6),2)</f>
        <v>300.66000000000003</v>
      </c>
      <c r="P8" s="51">
        <f>ROUND((Materiais!$G$51/$P$6),2)</f>
        <v>35.43</v>
      </c>
      <c r="Q8" s="51">
        <f>ROUND((Equipamentos!$G$13/$Q$6),2)</f>
        <v>27.56</v>
      </c>
      <c r="R8" s="5">
        <v>2</v>
      </c>
      <c r="T8" s="46"/>
    </row>
    <row r="9" spans="1:20" s="4" customFormat="1" ht="24" customHeight="1">
      <c r="A9" s="633"/>
      <c r="B9" s="48">
        <v>1</v>
      </c>
      <c r="C9" s="49" t="s">
        <v>259</v>
      </c>
      <c r="D9" s="48">
        <v>200</v>
      </c>
      <c r="E9" s="50">
        <v>1394.24</v>
      </c>
      <c r="F9" s="51">
        <f t="shared" si="0"/>
        <v>1267.49</v>
      </c>
      <c r="G9" s="59">
        <v>0.4</v>
      </c>
      <c r="H9" s="51">
        <f>G9*G27</f>
        <v>528</v>
      </c>
      <c r="I9" s="56"/>
      <c r="J9" s="56"/>
      <c r="K9" s="57"/>
      <c r="L9" s="58"/>
      <c r="M9" s="54">
        <f t="shared" si="1"/>
        <v>1795.49</v>
      </c>
      <c r="N9" s="51">
        <f>Uniformes!H15</f>
        <v>23.59</v>
      </c>
      <c r="O9" s="51">
        <f>ROUND((Materiais!$G$39/$O$6),2)</f>
        <v>300.66000000000003</v>
      </c>
      <c r="P9" s="51"/>
      <c r="Q9" s="51">
        <f>ROUND((Equipamentos!$G$13/$Q$6),2)</f>
        <v>27.56</v>
      </c>
      <c r="R9" s="5">
        <v>2</v>
      </c>
      <c r="T9" s="46"/>
    </row>
    <row r="10" spans="1:20" s="4" customFormat="1" ht="24" customHeight="1">
      <c r="A10" s="633"/>
      <c r="B10" s="48">
        <v>1</v>
      </c>
      <c r="C10" s="49" t="s">
        <v>260</v>
      </c>
      <c r="D10" s="48">
        <v>200</v>
      </c>
      <c r="E10" s="50">
        <v>1978.93</v>
      </c>
      <c r="F10" s="51">
        <f t="shared" si="0"/>
        <v>1799.03</v>
      </c>
      <c r="G10" s="55"/>
      <c r="H10" s="6"/>
      <c r="I10" s="272"/>
      <c r="J10" s="272"/>
      <c r="K10" s="273"/>
      <c r="L10" s="58">
        <f>ROUND((K10*I10*J10),2)</f>
        <v>0</v>
      </c>
      <c r="M10" s="54">
        <f t="shared" si="1"/>
        <v>1799.03</v>
      </c>
      <c r="N10" s="51">
        <f>Uniformes!H29</f>
        <v>27.19</v>
      </c>
      <c r="O10" s="51"/>
      <c r="P10" s="51"/>
      <c r="Q10" s="51">
        <f>Equipamentos!G17</f>
        <v>8.57</v>
      </c>
      <c r="R10" s="5">
        <v>3</v>
      </c>
      <c r="T10" s="46"/>
    </row>
    <row r="11" spans="1:20" ht="34.5" customHeight="1">
      <c r="A11" s="60" t="s">
        <v>261</v>
      </c>
      <c r="B11" s="2"/>
      <c r="C11" s="2"/>
      <c r="D11" s="60"/>
      <c r="F11" s="60"/>
      <c r="G11" s="60" t="s">
        <v>262</v>
      </c>
      <c r="H11" s="60"/>
      <c r="I11" s="60"/>
      <c r="J11" s="60"/>
      <c r="K11" s="40"/>
      <c r="L11" s="61" t="s">
        <v>263</v>
      </c>
      <c r="M11" s="62">
        <f>SUM(M7:M10)</f>
        <v>6229.0899999999992</v>
      </c>
      <c r="N11" s="40"/>
      <c r="O11" s="40"/>
      <c r="P11" s="40"/>
      <c r="Q11" s="40"/>
      <c r="R11" s="40"/>
    </row>
    <row r="12" spans="1:20" ht="24.75" customHeight="1">
      <c r="A12" s="634" t="s">
        <v>264</v>
      </c>
      <c r="B12" s="634"/>
      <c r="C12" s="634"/>
      <c r="D12" s="634"/>
      <c r="E12" s="634"/>
      <c r="F12" s="634"/>
      <c r="G12" s="634"/>
      <c r="N12" s="40"/>
      <c r="O12" s="40"/>
      <c r="P12" s="40"/>
      <c r="Q12" s="40"/>
      <c r="R12" s="40"/>
    </row>
    <row r="13" spans="1:20" ht="24" customHeight="1">
      <c r="A13" s="64">
        <v>1</v>
      </c>
      <c r="B13" s="635" t="s">
        <v>265</v>
      </c>
      <c r="C13" s="635"/>
      <c r="D13" s="635"/>
      <c r="E13" s="636" t="s">
        <v>266</v>
      </c>
      <c r="F13" s="636"/>
      <c r="G13" s="636"/>
      <c r="H13" s="3" t="s">
        <v>267</v>
      </c>
      <c r="N13" s="40"/>
      <c r="O13" s="40"/>
      <c r="P13" s="40"/>
      <c r="Q13" s="40"/>
      <c r="R13" s="7"/>
    </row>
    <row r="14" spans="1:20" ht="24" customHeight="1">
      <c r="A14" s="64">
        <v>2</v>
      </c>
      <c r="B14" s="635" t="s">
        <v>268</v>
      </c>
      <c r="C14" s="635"/>
      <c r="D14" s="635"/>
      <c r="E14" s="636" t="s">
        <v>269</v>
      </c>
      <c r="F14" s="636"/>
      <c r="G14" s="636"/>
      <c r="H14" s="3" t="s">
        <v>270</v>
      </c>
      <c r="N14" s="40"/>
      <c r="O14" s="40"/>
      <c r="P14" s="40"/>
      <c r="Q14" s="40"/>
      <c r="R14" s="7"/>
    </row>
    <row r="15" spans="1:20" ht="24" customHeight="1">
      <c r="A15" s="64">
        <v>3</v>
      </c>
      <c r="B15" s="635" t="s">
        <v>271</v>
      </c>
      <c r="C15" s="635"/>
      <c r="D15" s="635"/>
      <c r="E15" s="636" t="s">
        <v>272</v>
      </c>
      <c r="F15" s="636"/>
      <c r="G15" s="636"/>
      <c r="H15" s="3" t="s">
        <v>273</v>
      </c>
      <c r="N15" s="40"/>
      <c r="O15" s="40"/>
      <c r="P15" s="40"/>
      <c r="Q15" s="40"/>
      <c r="R15" s="7"/>
    </row>
    <row r="16" spans="1:20" ht="24" customHeight="1">
      <c r="A16" s="64">
        <v>4</v>
      </c>
      <c r="B16" s="635" t="s">
        <v>274</v>
      </c>
      <c r="C16" s="635"/>
      <c r="D16" s="635"/>
      <c r="E16" s="636" t="s">
        <v>275</v>
      </c>
      <c r="F16" s="636"/>
      <c r="G16" s="636"/>
      <c r="H16" s="3" t="s">
        <v>276</v>
      </c>
      <c r="N16" s="40"/>
      <c r="O16" s="40"/>
      <c r="P16" s="40"/>
      <c r="Q16" s="40"/>
      <c r="R16" s="7"/>
    </row>
    <row r="17" spans="1:18" ht="24" customHeight="1">
      <c r="A17" s="64">
        <v>5</v>
      </c>
      <c r="B17" s="635" t="s">
        <v>277</v>
      </c>
      <c r="C17" s="635"/>
      <c r="D17" s="635"/>
      <c r="E17" s="636" t="s">
        <v>278</v>
      </c>
      <c r="F17" s="636"/>
      <c r="G17" s="636"/>
      <c r="H17" s="3" t="s">
        <v>279</v>
      </c>
      <c r="N17" s="40"/>
      <c r="O17" s="40"/>
      <c r="P17" s="40"/>
      <c r="Q17" s="40"/>
      <c r="R17" s="7"/>
    </row>
    <row r="18" spans="1:18" s="1" customFormat="1" ht="12.75" customHeight="1">
      <c r="A18" s="65"/>
      <c r="H18" s="3"/>
    </row>
    <row r="19" spans="1:18" s="7" customFormat="1" ht="24.75" customHeight="1">
      <c r="A19" s="634" t="s">
        <v>280</v>
      </c>
      <c r="B19" s="634"/>
      <c r="C19" s="634"/>
      <c r="D19" s="634"/>
      <c r="E19" s="634"/>
      <c r="F19" s="634"/>
      <c r="G19" s="634"/>
      <c r="H19" s="3"/>
      <c r="I19" s="40"/>
      <c r="J19" s="40"/>
      <c r="K19" s="40"/>
      <c r="L19" s="40"/>
      <c r="M19" s="40"/>
      <c r="N19" s="40"/>
      <c r="O19" s="40"/>
      <c r="P19" s="40"/>
      <c r="Q19" s="40"/>
    </row>
    <row r="20" spans="1:18" s="1" customFormat="1" ht="24" customHeight="1">
      <c r="A20" s="64" t="s">
        <v>281</v>
      </c>
      <c r="B20" s="635" t="s">
        <v>282</v>
      </c>
      <c r="C20" s="635"/>
      <c r="D20" s="635"/>
      <c r="E20" s="635"/>
      <c r="F20" s="635"/>
      <c r="G20" s="59">
        <f>Encargos!C57</f>
        <v>0.79049999999999998</v>
      </c>
      <c r="H20" s="3"/>
    </row>
    <row r="21" spans="1:18" s="1" customFormat="1" ht="12.75" customHeight="1">
      <c r="A21" s="65"/>
      <c r="G21" s="2"/>
      <c r="H21" s="3"/>
    </row>
    <row r="22" spans="1:18" s="1" customFormat="1" ht="24.75" customHeight="1">
      <c r="A22" s="11">
        <v>1</v>
      </c>
      <c r="B22" s="635" t="s">
        <v>283</v>
      </c>
      <c r="C22" s="635"/>
      <c r="D22" s="635"/>
      <c r="E22" s="635"/>
      <c r="F22" s="635"/>
      <c r="G22" s="66">
        <f>G23*G24</f>
        <v>0.06</v>
      </c>
      <c r="H22" s="3"/>
    </row>
    <row r="23" spans="1:18" s="1" customFormat="1" ht="24.75" customHeight="1">
      <c r="A23" s="11">
        <v>2</v>
      </c>
      <c r="B23" s="635" t="s">
        <v>284</v>
      </c>
      <c r="C23" s="635"/>
      <c r="D23" s="635"/>
      <c r="E23" s="635"/>
      <c r="F23" s="635"/>
      <c r="G23" s="67">
        <v>0.03</v>
      </c>
      <c r="H23" s="3" t="s">
        <v>285</v>
      </c>
    </row>
    <row r="24" spans="1:18" s="1" customFormat="1" ht="24.75" customHeight="1">
      <c r="A24" s="11">
        <v>3</v>
      </c>
      <c r="B24" s="635" t="s">
        <v>286</v>
      </c>
      <c r="C24" s="635"/>
      <c r="D24" s="635"/>
      <c r="E24" s="635"/>
      <c r="F24" s="635"/>
      <c r="G24" s="68">
        <v>2</v>
      </c>
      <c r="H24" s="3" t="s">
        <v>287</v>
      </c>
    </row>
    <row r="25" spans="1:18" s="1" customFormat="1" ht="12.75" customHeight="1">
      <c r="A25" s="65"/>
      <c r="B25" s="40"/>
      <c r="C25" s="40"/>
      <c r="D25" s="40"/>
      <c r="E25" s="40"/>
      <c r="F25" s="40"/>
      <c r="H25" s="3"/>
    </row>
    <row r="26" spans="1:18" s="1" customFormat="1" ht="24.75" customHeight="1">
      <c r="A26" s="634" t="s">
        <v>288</v>
      </c>
      <c r="B26" s="634"/>
      <c r="C26" s="634"/>
      <c r="D26" s="634"/>
      <c r="E26" s="634"/>
      <c r="F26" s="634"/>
      <c r="G26" s="634"/>
      <c r="H26" s="3"/>
    </row>
    <row r="27" spans="1:18" s="1" customFormat="1" ht="24.75" customHeight="1">
      <c r="A27" s="11">
        <v>1</v>
      </c>
      <c r="B27" s="635" t="s">
        <v>289</v>
      </c>
      <c r="C27" s="635"/>
      <c r="D27" s="635"/>
      <c r="E27" s="635"/>
      <c r="F27" s="635"/>
      <c r="G27" s="50">
        <v>1320</v>
      </c>
      <c r="H27" s="3" t="s">
        <v>290</v>
      </c>
    </row>
    <row r="28" spans="1:18" s="1" customFormat="1" ht="12.75" customHeight="1">
      <c r="A28" s="69"/>
      <c r="B28" s="70"/>
      <c r="C28" s="70"/>
      <c r="D28" s="70"/>
      <c r="E28" s="70"/>
      <c r="F28" s="70"/>
      <c r="G28" s="71"/>
      <c r="H28" s="3"/>
    </row>
    <row r="29" spans="1:18" s="7" customFormat="1" ht="24.75" customHeight="1">
      <c r="A29" s="634" t="s">
        <v>291</v>
      </c>
      <c r="B29" s="634"/>
      <c r="C29" s="634"/>
      <c r="D29" s="634"/>
      <c r="E29" s="634"/>
      <c r="F29" s="634"/>
      <c r="G29" s="634"/>
      <c r="H29" s="3"/>
      <c r="I29" s="1"/>
      <c r="J29" s="1"/>
      <c r="K29" s="40"/>
      <c r="L29" s="40"/>
      <c r="M29" s="40"/>
      <c r="N29" s="40"/>
      <c r="O29" s="40"/>
      <c r="P29" s="40"/>
      <c r="Q29" s="40"/>
    </row>
    <row r="30" spans="1:18" s="1" customFormat="1" ht="26.25" customHeight="1">
      <c r="A30" s="64">
        <v>1</v>
      </c>
      <c r="B30" s="635" t="s">
        <v>292</v>
      </c>
      <c r="C30" s="635"/>
      <c r="D30" s="635"/>
      <c r="E30" s="635"/>
      <c r="F30" s="635"/>
      <c r="G30" s="68">
        <v>4</v>
      </c>
      <c r="H30" s="3" t="s">
        <v>293</v>
      </c>
    </row>
    <row r="31" spans="1:18" s="1" customFormat="1" ht="26.25" customHeight="1">
      <c r="A31" s="72">
        <v>2</v>
      </c>
      <c r="B31" s="635" t="s">
        <v>294</v>
      </c>
      <c r="C31" s="635"/>
      <c r="D31" s="635"/>
      <c r="E31" s="635"/>
      <c r="F31" s="635"/>
      <c r="G31" s="68">
        <v>36.17</v>
      </c>
      <c r="H31" s="3" t="s">
        <v>293</v>
      </c>
    </row>
    <row r="32" spans="1:18" s="1" customFormat="1" ht="26.25" customHeight="1">
      <c r="A32" s="637">
        <v>3</v>
      </c>
      <c r="B32" s="638" t="s">
        <v>295</v>
      </c>
      <c r="C32" s="638"/>
      <c r="D32" s="639" t="s">
        <v>296</v>
      </c>
      <c r="E32" s="639"/>
      <c r="F32" s="639"/>
      <c r="G32" s="73">
        <v>3.2</v>
      </c>
      <c r="H32" s="74" t="s">
        <v>297</v>
      </c>
      <c r="I32" s="40"/>
      <c r="O32" s="8"/>
      <c r="P32" s="8"/>
    </row>
    <row r="33" spans="1:17" s="1" customFormat="1" ht="26.25" customHeight="1">
      <c r="A33" s="637"/>
      <c r="B33" s="638"/>
      <c r="C33" s="638"/>
      <c r="D33" s="639" t="s">
        <v>298</v>
      </c>
      <c r="E33" s="639"/>
      <c r="F33" s="639"/>
      <c r="G33" s="73">
        <v>2</v>
      </c>
      <c r="H33" s="74" t="s">
        <v>299</v>
      </c>
      <c r="I33" s="40"/>
      <c r="O33" s="8"/>
      <c r="P33" s="8"/>
    </row>
    <row r="34" spans="1:17" s="1" customFormat="1" ht="26.25" customHeight="1">
      <c r="A34" s="637"/>
      <c r="B34" s="638"/>
      <c r="C34" s="638"/>
      <c r="D34" s="639" t="s">
        <v>300</v>
      </c>
      <c r="E34" s="639"/>
      <c r="F34" s="639"/>
      <c r="G34" s="75">
        <v>22</v>
      </c>
      <c r="H34" s="3" t="s">
        <v>301</v>
      </c>
      <c r="I34" s="40"/>
      <c r="O34" s="8"/>
      <c r="P34" s="8"/>
    </row>
    <row r="35" spans="1:17" ht="26.25" customHeight="1">
      <c r="A35" s="637"/>
      <c r="B35" s="638"/>
      <c r="C35" s="638"/>
      <c r="D35" s="640" t="s">
        <v>302</v>
      </c>
      <c r="E35" s="640"/>
      <c r="F35" s="640"/>
      <c r="G35" s="76">
        <v>0.06</v>
      </c>
      <c r="H35" s="74" t="s">
        <v>303</v>
      </c>
      <c r="O35" s="8"/>
      <c r="P35" s="8"/>
    </row>
    <row r="36" spans="1:17" s="1" customFormat="1" ht="29.25" customHeight="1">
      <c r="A36" s="637">
        <v>4</v>
      </c>
      <c r="B36" s="638" t="s">
        <v>304</v>
      </c>
      <c r="C36" s="638"/>
      <c r="D36" s="640" t="s">
        <v>305</v>
      </c>
      <c r="E36" s="640"/>
      <c r="F36" s="640"/>
      <c r="G36" s="68">
        <v>347.81</v>
      </c>
      <c r="H36" s="74" t="s">
        <v>306</v>
      </c>
      <c r="I36" s="40"/>
    </row>
    <row r="37" spans="1:17" ht="26.25" customHeight="1">
      <c r="A37" s="637"/>
      <c r="B37" s="638"/>
      <c r="C37" s="638"/>
      <c r="D37" s="639" t="s">
        <v>300</v>
      </c>
      <c r="E37" s="639"/>
      <c r="F37" s="639"/>
      <c r="G37" s="75">
        <f>G34</f>
        <v>22</v>
      </c>
      <c r="H37" s="3" t="s">
        <v>301</v>
      </c>
      <c r="I37" s="77"/>
      <c r="J37" s="77"/>
      <c r="K37" s="40"/>
      <c r="O37" s="8"/>
      <c r="P37" s="8"/>
    </row>
    <row r="38" spans="1:17" s="1" customFormat="1" ht="26.25" customHeight="1">
      <c r="A38" s="637"/>
      <c r="B38" s="638"/>
      <c r="C38" s="638"/>
      <c r="D38" s="640" t="s">
        <v>302</v>
      </c>
      <c r="E38" s="640"/>
      <c r="F38" s="640"/>
      <c r="G38" s="67">
        <v>0</v>
      </c>
      <c r="H38" s="74" t="s">
        <v>303</v>
      </c>
      <c r="O38" s="8"/>
      <c r="P38" s="8"/>
    </row>
    <row r="39" spans="1:17" s="1" customFormat="1" ht="26.25" customHeight="1">
      <c r="A39" s="64">
        <v>5</v>
      </c>
      <c r="B39" s="641" t="s">
        <v>307</v>
      </c>
      <c r="C39" s="641"/>
      <c r="D39" s="641"/>
      <c r="E39" s="641"/>
      <c r="F39" s="641"/>
      <c r="G39" s="68">
        <v>0</v>
      </c>
      <c r="H39" s="3" t="s">
        <v>308</v>
      </c>
      <c r="O39" s="8"/>
      <c r="P39" s="8"/>
    </row>
    <row r="40" spans="1:17" s="1" customFormat="1" ht="26.25" customHeight="1">
      <c r="A40" s="64">
        <v>6</v>
      </c>
      <c r="B40" s="641" t="s">
        <v>307</v>
      </c>
      <c r="C40" s="641"/>
      <c r="D40" s="641"/>
      <c r="E40" s="641"/>
      <c r="F40" s="641"/>
      <c r="G40" s="68">
        <v>0</v>
      </c>
      <c r="H40" s="3" t="s">
        <v>308</v>
      </c>
    </row>
    <row r="41" spans="1:17" s="1" customFormat="1" ht="12.75" customHeight="1">
      <c r="H41" s="3"/>
    </row>
    <row r="42" spans="1:17" s="7" customFormat="1" ht="24.75" customHeight="1">
      <c r="A42" s="634" t="s">
        <v>309</v>
      </c>
      <c r="B42" s="634"/>
      <c r="C42" s="634"/>
      <c r="D42" s="634"/>
      <c r="E42" s="634"/>
      <c r="F42" s="634"/>
      <c r="G42" s="634"/>
      <c r="H42" s="3"/>
      <c r="I42" s="40"/>
      <c r="J42" s="40"/>
      <c r="K42" s="40"/>
      <c r="L42" s="40"/>
      <c r="M42" s="40"/>
      <c r="N42" s="40"/>
      <c r="O42" s="40"/>
      <c r="P42" s="40"/>
      <c r="Q42" s="40"/>
    </row>
    <row r="43" spans="1:17" s="1" customFormat="1" ht="24.75" customHeight="1">
      <c r="A43" s="64">
        <v>1</v>
      </c>
      <c r="B43" s="635" t="s">
        <v>310</v>
      </c>
      <c r="C43" s="635"/>
      <c r="D43" s="635"/>
      <c r="E43" s="635"/>
      <c r="F43" s="635"/>
      <c r="G43" s="67">
        <v>0.03</v>
      </c>
      <c r="H43" s="3" t="s">
        <v>311</v>
      </c>
    </row>
    <row r="44" spans="1:17" s="1" customFormat="1" ht="24.75" customHeight="1">
      <c r="A44" s="64">
        <v>2</v>
      </c>
      <c r="B44" s="635" t="s">
        <v>312</v>
      </c>
      <c r="C44" s="635"/>
      <c r="D44" s="635"/>
      <c r="E44" s="635"/>
      <c r="F44" s="635"/>
      <c r="G44" s="67">
        <v>6.7900000000000002E-2</v>
      </c>
      <c r="H44" s="3" t="s">
        <v>311</v>
      </c>
    </row>
    <row r="45" spans="1:17" s="1" customFormat="1" ht="12.75" customHeight="1">
      <c r="H45" s="3"/>
    </row>
    <row r="46" spans="1:17" s="7" customFormat="1" ht="24.75" customHeight="1">
      <c r="A46" s="634" t="s">
        <v>313</v>
      </c>
      <c r="B46" s="634"/>
      <c r="C46" s="634"/>
      <c r="D46" s="634"/>
      <c r="E46" s="634"/>
      <c r="F46" s="634"/>
      <c r="G46" s="634"/>
      <c r="H46" s="3"/>
      <c r="I46" s="40"/>
      <c r="J46" s="40"/>
      <c r="K46" s="40"/>
      <c r="L46" s="40"/>
      <c r="M46" s="40"/>
      <c r="N46" s="40"/>
      <c r="O46" s="40"/>
      <c r="P46" s="40"/>
      <c r="Q46" s="40"/>
    </row>
    <row r="47" spans="1:17" s="7" customFormat="1" ht="24.75" customHeight="1">
      <c r="A47" s="632" t="s">
        <v>314</v>
      </c>
      <c r="B47" s="632" t="str">
        <f>IF(F50="LUCRO REAL","INFORMAR ALÍQUOTAS MÉDIAS DE RECOLHIMENTO DOS ÚLTIMOS 12 (DOZE) MESES.",IF(F50="LUCRO PRESUMIDO","ALÍQUOTAS FIXAS - PIS: 0,65%; COFINS: 3,00%.",IF(F50="SIMPLES NACIONAL","NECESSÁRIO COMUNICAR A EXCLUSÃO DO SIMPLES NACIONAL - REGIME DE CONTRATAÇÃO INCOMPATÍVEL COM A LEI 123/2003. DEFINIR OUTRO REGIME TRIBUTÁRIO PARA O PRESENTE PROCESSO, OU APRESENTAR AS JUSTIFICATIVAS LEGAIS.","INFORMAR ALÍQUOTA E APRESENTAR AS JUSTIFICATIVAS LEGAIS.")))</f>
        <v>INFORMAR ALÍQUOTAS MÉDIAS DE RECOLHIMENTO DOS ÚLTIMOS 12 (DOZE) MESES.</v>
      </c>
      <c r="C47" s="632"/>
      <c r="D47" s="632"/>
      <c r="E47" s="632"/>
      <c r="F47" s="632"/>
      <c r="G47" s="632"/>
      <c r="H47" s="3"/>
      <c r="I47" s="40"/>
      <c r="J47" s="40"/>
      <c r="K47" s="40"/>
      <c r="L47" s="40"/>
      <c r="M47" s="40"/>
      <c r="N47" s="40"/>
      <c r="O47" s="40"/>
      <c r="P47" s="40"/>
      <c r="Q47" s="40"/>
    </row>
    <row r="48" spans="1:17" s="7" customFormat="1" ht="24.75" customHeight="1">
      <c r="A48" s="632"/>
      <c r="B48" s="632"/>
      <c r="C48" s="632"/>
      <c r="D48" s="632"/>
      <c r="E48" s="632"/>
      <c r="F48" s="632"/>
      <c r="G48" s="632"/>
      <c r="H48" s="3"/>
      <c r="I48" s="40"/>
      <c r="J48" s="40"/>
      <c r="K48" s="40"/>
      <c r="L48" s="40"/>
      <c r="M48" s="40"/>
      <c r="N48" s="40"/>
      <c r="O48" s="40"/>
      <c r="P48" s="40"/>
      <c r="Q48" s="40"/>
    </row>
    <row r="49" spans="1:17" s="7" customFormat="1" ht="24.75" customHeight="1">
      <c r="A49" s="632"/>
      <c r="B49" s="632"/>
      <c r="C49" s="632"/>
      <c r="D49" s="632"/>
      <c r="E49" s="632"/>
      <c r="F49" s="632"/>
      <c r="G49" s="632"/>
      <c r="H49" s="3"/>
      <c r="I49" s="40"/>
      <c r="J49" s="40"/>
      <c r="K49" s="40"/>
      <c r="L49" s="40"/>
      <c r="M49" s="40"/>
      <c r="N49" s="40"/>
      <c r="O49" s="40"/>
      <c r="P49" s="40"/>
      <c r="Q49" s="40"/>
    </row>
    <row r="50" spans="1:17" s="1" customFormat="1" ht="24" customHeight="1">
      <c r="A50" s="64">
        <v>1</v>
      </c>
      <c r="B50" s="635" t="s">
        <v>315</v>
      </c>
      <c r="C50" s="635"/>
      <c r="D50" s="635"/>
      <c r="E50" s="635"/>
      <c r="F50" s="636" t="s">
        <v>316</v>
      </c>
      <c r="G50" s="636"/>
      <c r="H50" s="3" t="s">
        <v>317</v>
      </c>
      <c r="Q50" s="78"/>
    </row>
    <row r="51" spans="1:17" s="1" customFormat="1" ht="24" customHeight="1">
      <c r="A51" s="64">
        <v>2</v>
      </c>
      <c r="B51" s="635" t="s">
        <v>318</v>
      </c>
      <c r="C51" s="635"/>
      <c r="D51" s="635"/>
      <c r="E51" s="635"/>
      <c r="F51" s="635"/>
      <c r="G51" s="67">
        <v>7.5999999999999998E-2</v>
      </c>
      <c r="H51" s="3" t="s">
        <v>319</v>
      </c>
    </row>
    <row r="52" spans="1:17" s="1" customFormat="1" ht="24" customHeight="1">
      <c r="A52" s="64">
        <v>3</v>
      </c>
      <c r="B52" s="635" t="s">
        <v>320</v>
      </c>
      <c r="C52" s="635"/>
      <c r="D52" s="635"/>
      <c r="E52" s="635"/>
      <c r="F52" s="635"/>
      <c r="G52" s="67">
        <v>1.6500000000000001E-2</v>
      </c>
      <c r="H52" s="3" t="s">
        <v>319</v>
      </c>
    </row>
    <row r="53" spans="1:17" s="1" customFormat="1" ht="24" customHeight="1">
      <c r="A53" s="64">
        <v>4</v>
      </c>
      <c r="B53" s="635" t="s">
        <v>321</v>
      </c>
      <c r="C53" s="635"/>
      <c r="D53" s="635"/>
      <c r="E53" s="635"/>
      <c r="F53" s="635"/>
      <c r="G53" s="67">
        <v>0.04</v>
      </c>
      <c r="H53" s="3" t="s">
        <v>322</v>
      </c>
    </row>
    <row r="54" spans="1:17" s="1" customFormat="1" ht="24" customHeight="1">
      <c r="A54" s="64">
        <v>5</v>
      </c>
      <c r="B54" s="641" t="s">
        <v>307</v>
      </c>
      <c r="C54" s="641"/>
      <c r="D54" s="641"/>
      <c r="E54" s="641"/>
      <c r="F54" s="641"/>
      <c r="G54" s="67">
        <v>0</v>
      </c>
      <c r="H54" s="3" t="s">
        <v>323</v>
      </c>
    </row>
    <row r="55" spans="1:17" s="1" customFormat="1" ht="21.75" customHeight="1">
      <c r="A55" s="64">
        <v>6</v>
      </c>
      <c r="B55" s="635" t="s">
        <v>324</v>
      </c>
      <c r="C55" s="635"/>
      <c r="D55" s="635"/>
      <c r="E55" s="635"/>
      <c r="F55" s="635"/>
      <c r="G55" s="59">
        <f>SUM(G51:G54)</f>
        <v>0.13250000000000001</v>
      </c>
      <c r="H55" s="3"/>
    </row>
    <row r="56" spans="1:17" ht="12.75" customHeight="1"/>
    <row r="57" spans="1:17" s="1" customFormat="1"/>
    <row r="58" spans="1:17" hidden="1"/>
    <row r="59" spans="1:17" ht="66.75" hidden="1" customHeight="1">
      <c r="A59" s="632" t="s">
        <v>325</v>
      </c>
      <c r="B59" s="632"/>
      <c r="C59" s="632"/>
      <c r="D59" s="632"/>
      <c r="E59" s="632"/>
      <c r="F59" s="632"/>
      <c r="G59" s="632"/>
      <c r="H59" s="632"/>
      <c r="I59" s="63" t="s">
        <v>326</v>
      </c>
      <c r="J59" s="45" t="s">
        <v>327</v>
      </c>
      <c r="K59" s="63" t="s">
        <v>326</v>
      </c>
      <c r="L59" s="63" t="s">
        <v>328</v>
      </c>
      <c r="M59" s="79" t="s">
        <v>329</v>
      </c>
      <c r="N59" s="45" t="s">
        <v>330</v>
      </c>
      <c r="O59" s="45" t="s">
        <v>331</v>
      </c>
      <c r="P59" s="80"/>
      <c r="Q59" s="81"/>
    </row>
    <row r="60" spans="1:17" ht="15" hidden="1" customHeight="1">
      <c r="A60" s="637" t="s">
        <v>332</v>
      </c>
      <c r="B60" s="637"/>
      <c r="C60" s="64" t="s">
        <v>333</v>
      </c>
      <c r="D60" s="82">
        <f>IPCA!G23</f>
        <v>0</v>
      </c>
      <c r="E60" s="635" t="s">
        <v>334</v>
      </c>
      <c r="F60" s="635"/>
      <c r="G60" s="635"/>
      <c r="H60" s="635"/>
      <c r="I60" s="83" t="s">
        <v>335</v>
      </c>
      <c r="J60" s="83" t="s">
        <v>335</v>
      </c>
      <c r="K60" s="83" t="s">
        <v>335</v>
      </c>
      <c r="L60" s="83" t="s">
        <v>335</v>
      </c>
      <c r="M60" s="84">
        <f>ROUND((100%+D60),2)</f>
        <v>1</v>
      </c>
      <c r="N60" s="85"/>
      <c r="O60" s="86"/>
      <c r="P60" s="87"/>
      <c r="Q60" s="87"/>
    </row>
    <row r="61" spans="1:17" ht="15" hidden="1" customHeight="1">
      <c r="A61" s="637" t="s">
        <v>336</v>
      </c>
      <c r="B61" s="637"/>
      <c r="C61" s="64" t="s">
        <v>333</v>
      </c>
      <c r="D61" s="82">
        <f>IPCA!N23</f>
        <v>0</v>
      </c>
      <c r="E61" s="635" t="s">
        <v>334</v>
      </c>
      <c r="F61" s="635"/>
      <c r="G61" s="635"/>
      <c r="H61" s="635"/>
      <c r="I61" s="83" t="s">
        <v>335</v>
      </c>
      <c r="J61" s="83" t="s">
        <v>335</v>
      </c>
      <c r="K61" s="83" t="s">
        <v>335</v>
      </c>
      <c r="L61" s="83" t="s">
        <v>335</v>
      </c>
      <c r="M61" s="84">
        <f>ROUND((100%+D61),2)</f>
        <v>1</v>
      </c>
      <c r="N61" s="85"/>
      <c r="O61" s="86"/>
      <c r="P61" s="87"/>
      <c r="Q61" s="87"/>
    </row>
    <row r="62" spans="1:17" ht="15" hidden="1" customHeight="1">
      <c r="A62" s="637" t="s">
        <v>337</v>
      </c>
      <c r="B62" s="637"/>
      <c r="C62" s="64" t="s">
        <v>333</v>
      </c>
      <c r="D62" s="82">
        <f>IPCA!U23</f>
        <v>0</v>
      </c>
      <c r="E62" s="635" t="s">
        <v>334</v>
      </c>
      <c r="F62" s="635"/>
      <c r="G62" s="635"/>
      <c r="H62" s="635"/>
      <c r="I62" s="83" t="s">
        <v>335</v>
      </c>
      <c r="J62" s="83" t="s">
        <v>335</v>
      </c>
      <c r="K62" s="83" t="s">
        <v>335</v>
      </c>
      <c r="L62" s="83" t="s">
        <v>335</v>
      </c>
      <c r="M62" s="84">
        <f>ROUND((100%+D62),2)</f>
        <v>1</v>
      </c>
      <c r="N62" s="85"/>
      <c r="O62" s="86"/>
      <c r="P62" s="87"/>
      <c r="Q62" s="87"/>
    </row>
    <row r="63" spans="1:17" ht="15" hidden="1" customHeight="1">
      <c r="A63" s="637" t="s">
        <v>338</v>
      </c>
      <c r="B63" s="637"/>
      <c r="C63" s="64" t="s">
        <v>333</v>
      </c>
      <c r="D63" s="82">
        <f>IPCA!AB23</f>
        <v>0</v>
      </c>
      <c r="E63" s="635" t="s">
        <v>334</v>
      </c>
      <c r="F63" s="635"/>
      <c r="G63" s="635"/>
      <c r="H63" s="635"/>
      <c r="I63" s="83" t="s">
        <v>335</v>
      </c>
      <c r="J63" s="83" t="s">
        <v>335</v>
      </c>
      <c r="K63" s="83" t="s">
        <v>335</v>
      </c>
      <c r="L63" s="83" t="s">
        <v>335</v>
      </c>
      <c r="M63" s="84">
        <f>ROUND((100%+D63),2)</f>
        <v>1</v>
      </c>
      <c r="N63" s="85"/>
      <c r="O63" s="86"/>
      <c r="P63" s="87"/>
      <c r="Q63" s="87"/>
    </row>
    <row r="64" spans="1:17" ht="15" hidden="1" customHeight="1">
      <c r="A64" s="637" t="s">
        <v>339</v>
      </c>
      <c r="B64" s="637"/>
      <c r="C64" s="64" t="s">
        <v>333</v>
      </c>
      <c r="D64" s="82">
        <f>IPCA!AI23</f>
        <v>0</v>
      </c>
      <c r="E64" s="635" t="s">
        <v>334</v>
      </c>
      <c r="F64" s="635"/>
      <c r="G64" s="635"/>
      <c r="H64" s="635"/>
      <c r="I64" s="83" t="s">
        <v>335</v>
      </c>
      <c r="J64" s="83" t="s">
        <v>335</v>
      </c>
      <c r="K64" s="83" t="s">
        <v>335</v>
      </c>
      <c r="L64" s="83" t="s">
        <v>335</v>
      </c>
      <c r="M64" s="84">
        <f>ROUND((100%+D64),2)</f>
        <v>1</v>
      </c>
      <c r="N64" s="85"/>
      <c r="O64" s="86"/>
      <c r="P64" s="87"/>
      <c r="Q64" s="87"/>
    </row>
    <row r="65" spans="1:11" hidden="1">
      <c r="B65" s="88"/>
      <c r="C65" s="88"/>
      <c r="D65" s="88"/>
      <c r="E65" s="88"/>
    </row>
    <row r="66" spans="1:11" ht="30" hidden="1" customHeight="1">
      <c r="A66" s="632" t="s">
        <v>340</v>
      </c>
      <c r="B66" s="632"/>
      <c r="C66" s="632"/>
      <c r="D66" s="89" t="s">
        <v>341</v>
      </c>
      <c r="E66" s="88"/>
    </row>
    <row r="67" spans="1:11" ht="15.75" hidden="1" customHeight="1">
      <c r="A67" s="632"/>
      <c r="B67" s="632"/>
      <c r="C67" s="632"/>
      <c r="D67" s="83" t="s">
        <v>342</v>
      </c>
      <c r="E67" s="88"/>
    </row>
    <row r="68" spans="1:11" ht="30" hidden="1" customHeight="1">
      <c r="A68" s="632" t="s">
        <v>343</v>
      </c>
      <c r="B68" s="632"/>
      <c r="C68" s="632"/>
      <c r="D68" s="89" t="s">
        <v>341</v>
      </c>
      <c r="E68" s="88"/>
    </row>
    <row r="69" spans="1:11" ht="15.75" hidden="1" customHeight="1">
      <c r="A69" s="632"/>
      <c r="B69" s="632"/>
      <c r="C69" s="632"/>
      <c r="D69" s="83" t="s">
        <v>342</v>
      </c>
      <c r="E69" s="88"/>
    </row>
    <row r="70" spans="1:11" ht="30" hidden="1" customHeight="1">
      <c r="A70" s="632" t="s">
        <v>344</v>
      </c>
      <c r="B70" s="632"/>
      <c r="C70" s="632"/>
      <c r="D70" s="89" t="s">
        <v>341</v>
      </c>
      <c r="E70" s="88"/>
    </row>
    <row r="71" spans="1:11" ht="15.75" hidden="1" customHeight="1">
      <c r="A71" s="632"/>
      <c r="B71" s="632"/>
      <c r="C71" s="632"/>
      <c r="D71" s="83" t="s">
        <v>342</v>
      </c>
      <c r="E71" s="88"/>
    </row>
    <row r="72" spans="1:11" ht="42.75" hidden="1" customHeight="1">
      <c r="A72" s="632" t="s">
        <v>345</v>
      </c>
      <c r="B72" s="632"/>
      <c r="C72" s="632"/>
      <c r="D72" s="89" t="s">
        <v>341</v>
      </c>
      <c r="E72" s="90" t="s">
        <v>346</v>
      </c>
      <c r="F72" s="89" t="s">
        <v>76</v>
      </c>
      <c r="G72" s="89" t="s">
        <v>77</v>
      </c>
      <c r="H72" s="89" t="s">
        <v>78</v>
      </c>
      <c r="I72" s="89" t="s">
        <v>79</v>
      </c>
      <c r="J72" s="89" t="s">
        <v>80</v>
      </c>
      <c r="K72" s="88" t="s">
        <v>347</v>
      </c>
    </row>
    <row r="73" spans="1:11" ht="15.75" hidden="1" customHeight="1">
      <c r="A73" s="632"/>
      <c r="B73" s="632"/>
      <c r="C73" s="632"/>
      <c r="D73" s="83" t="s">
        <v>342</v>
      </c>
      <c r="E73" s="91">
        <f>G30</f>
        <v>4</v>
      </c>
      <c r="F73" s="92">
        <f>ROUND(IF(Dados!$M$60="SIM",E73*Dados!$N$60,E73),2)</f>
        <v>4</v>
      </c>
      <c r="G73" s="92">
        <f>ROUND(IF(Dados!$M$61="SIM",F73*Dados!$N$61,F73),2)</f>
        <v>4</v>
      </c>
      <c r="H73" s="92">
        <f>ROUND(IF(Dados!$M$62="SIM",G73*Dados!$N$62,G73),2)</f>
        <v>4</v>
      </c>
      <c r="I73" s="92">
        <f>ROUND(IF(Dados!$M$63="SIM",H73*Dados!$N$63,H73),2)</f>
        <v>4</v>
      </c>
      <c r="J73" s="92">
        <f>ROUND(IF(Dados!$M$64="SIM",I73*Dados!$N$64,I73),2)</f>
        <v>4</v>
      </c>
      <c r="K73" s="2">
        <f>IF(D73="INICIAL",E73,IF(D73="1º IPCA",F73,IF(D73="2º IPCA",G73,IF(D73="3º IPCA",H73,IF(D73="4º IPCA",I73,IF(D73="5º IPCA",J73,))))))</f>
        <v>4</v>
      </c>
    </row>
    <row r="74" spans="1:11" hidden="1">
      <c r="E74" s="88"/>
    </row>
    <row r="75" spans="1:11" ht="15.75" hidden="1" customHeight="1">
      <c r="A75" s="642" t="s">
        <v>348</v>
      </c>
      <c r="B75" s="642"/>
      <c r="C75" s="642"/>
      <c r="D75" s="642"/>
      <c r="E75" s="642"/>
      <c r="F75" s="642"/>
      <c r="G75" s="642"/>
      <c r="H75" s="642"/>
    </row>
    <row r="76" spans="1:11" hidden="1">
      <c r="A76" s="643" t="s">
        <v>349</v>
      </c>
      <c r="B76" s="643"/>
      <c r="C76" s="643"/>
      <c r="D76" s="643"/>
      <c r="E76" s="643"/>
      <c r="F76" s="644" t="s">
        <v>350</v>
      </c>
      <c r="G76" s="644"/>
      <c r="H76" s="93"/>
    </row>
    <row r="77" spans="1:11" ht="43.5" hidden="1" customHeight="1">
      <c r="A77" s="645" t="s">
        <v>351</v>
      </c>
      <c r="B77" s="645"/>
      <c r="C77" s="645"/>
      <c r="D77" s="645"/>
      <c r="E77" s="645"/>
      <c r="F77" s="645"/>
      <c r="G77" s="645"/>
      <c r="H77" s="645"/>
    </row>
    <row r="78" spans="1:11" hidden="1">
      <c r="A78" s="643" t="s">
        <v>352</v>
      </c>
      <c r="B78" s="643"/>
      <c r="C78" s="643"/>
      <c r="D78" s="643"/>
      <c r="E78" s="643"/>
      <c r="F78" s="644" t="s">
        <v>350</v>
      </c>
      <c r="G78" s="644"/>
      <c r="H78" s="93"/>
    </row>
    <row r="79" spans="1:11" ht="43.5" hidden="1" customHeight="1">
      <c r="A79" s="646" t="s">
        <v>353</v>
      </c>
      <c r="B79" s="646"/>
      <c r="C79" s="646"/>
      <c r="D79" s="646"/>
      <c r="E79" s="646"/>
      <c r="F79" s="646"/>
      <c r="G79" s="646"/>
      <c r="H79" s="646"/>
    </row>
    <row r="80" spans="1:11" hidden="1">
      <c r="A80" s="643" t="s">
        <v>354</v>
      </c>
      <c r="B80" s="643"/>
      <c r="C80" s="643"/>
      <c r="D80" s="643"/>
      <c r="E80" s="643"/>
      <c r="F80" s="644" t="s">
        <v>350</v>
      </c>
      <c r="G80" s="644"/>
      <c r="H80" s="93"/>
    </row>
    <row r="81" spans="1:8" ht="43.5" hidden="1" customHeight="1">
      <c r="A81" s="645" t="s">
        <v>355</v>
      </c>
      <c r="B81" s="645"/>
      <c r="C81" s="645"/>
      <c r="D81" s="645"/>
      <c r="E81" s="645"/>
      <c r="F81" s="645"/>
      <c r="G81" s="645"/>
      <c r="H81" s="645"/>
    </row>
    <row r="82" spans="1:8" hidden="1">
      <c r="A82" s="647" t="s">
        <v>356</v>
      </c>
      <c r="B82" s="647"/>
      <c r="C82" s="647"/>
      <c r="D82" s="647"/>
      <c r="E82" s="647"/>
      <c r="F82" s="644" t="s">
        <v>350</v>
      </c>
      <c r="G82" s="644"/>
      <c r="H82" s="94"/>
    </row>
    <row r="83" spans="1:8" ht="43.5" hidden="1" customHeight="1">
      <c r="A83" s="645" t="s">
        <v>357</v>
      </c>
      <c r="B83" s="645"/>
      <c r="C83" s="645"/>
      <c r="D83" s="645"/>
      <c r="E83" s="645"/>
      <c r="F83" s="645"/>
      <c r="G83" s="645"/>
      <c r="H83" s="645"/>
    </row>
    <row r="84" spans="1:8" hidden="1">
      <c r="A84" s="95"/>
      <c r="H84" s="96"/>
    </row>
  </sheetData>
  <sheetProtection password="C494" sheet="1" objects="1" scenarios="1"/>
  <mergeCells count="90">
    <mergeCell ref="A83:H83"/>
    <mergeCell ref="A79:H79"/>
    <mergeCell ref="A80:E80"/>
    <mergeCell ref="F80:G80"/>
    <mergeCell ref="A81:H81"/>
    <mergeCell ref="A82:E82"/>
    <mergeCell ref="F82:G82"/>
    <mergeCell ref="A76:E76"/>
    <mergeCell ref="F76:G76"/>
    <mergeCell ref="A77:H77"/>
    <mergeCell ref="A78:E78"/>
    <mergeCell ref="F78:G78"/>
    <mergeCell ref="A66:C67"/>
    <mergeCell ref="A68:C69"/>
    <mergeCell ref="A70:C71"/>
    <mergeCell ref="A72:C73"/>
    <mergeCell ref="A75:H75"/>
    <mergeCell ref="A62:B62"/>
    <mergeCell ref="E62:H62"/>
    <mergeCell ref="A63:B63"/>
    <mergeCell ref="E63:H63"/>
    <mergeCell ref="A64:B64"/>
    <mergeCell ref="E64:H64"/>
    <mergeCell ref="A59:H59"/>
    <mergeCell ref="A60:B60"/>
    <mergeCell ref="E60:H60"/>
    <mergeCell ref="A61:B61"/>
    <mergeCell ref="E61:H61"/>
    <mergeCell ref="B51:F51"/>
    <mergeCell ref="B52:F52"/>
    <mergeCell ref="B53:F53"/>
    <mergeCell ref="B54:F54"/>
    <mergeCell ref="B55:F55"/>
    <mergeCell ref="A46:G46"/>
    <mergeCell ref="A47:A49"/>
    <mergeCell ref="B47:G49"/>
    <mergeCell ref="B50:E50"/>
    <mergeCell ref="F50:G50"/>
    <mergeCell ref="B39:F39"/>
    <mergeCell ref="B40:F40"/>
    <mergeCell ref="A42:G42"/>
    <mergeCell ref="B43:F43"/>
    <mergeCell ref="B44:F44"/>
    <mergeCell ref="A36:A38"/>
    <mergeCell ref="B36:C38"/>
    <mergeCell ref="D36:F36"/>
    <mergeCell ref="D37:F37"/>
    <mergeCell ref="D38:F38"/>
    <mergeCell ref="A32:A35"/>
    <mergeCell ref="B32:C35"/>
    <mergeCell ref="D32:F32"/>
    <mergeCell ref="D33:F33"/>
    <mergeCell ref="D34:F34"/>
    <mergeCell ref="D35:F35"/>
    <mergeCell ref="A26:G26"/>
    <mergeCell ref="B27:F27"/>
    <mergeCell ref="A29:G29"/>
    <mergeCell ref="B30:F30"/>
    <mergeCell ref="B31:F31"/>
    <mergeCell ref="A19:G19"/>
    <mergeCell ref="B20:F20"/>
    <mergeCell ref="B22:F22"/>
    <mergeCell ref="B23:F23"/>
    <mergeCell ref="B24:F24"/>
    <mergeCell ref="B15:D15"/>
    <mergeCell ref="E15:G15"/>
    <mergeCell ref="B16:D16"/>
    <mergeCell ref="E16:G16"/>
    <mergeCell ref="B17:D17"/>
    <mergeCell ref="E17:G17"/>
    <mergeCell ref="A12:G12"/>
    <mergeCell ref="B13:D13"/>
    <mergeCell ref="E13:G13"/>
    <mergeCell ref="B14:D14"/>
    <mergeCell ref="E14:G14"/>
    <mergeCell ref="K5:K6"/>
    <mergeCell ref="L5:L6"/>
    <mergeCell ref="M5:M6"/>
    <mergeCell ref="R5:R6"/>
    <mergeCell ref="A7:A10"/>
    <mergeCell ref="F5:F6"/>
    <mergeCell ref="G5:G6"/>
    <mergeCell ref="H5:H6"/>
    <mergeCell ref="I5:I6"/>
    <mergeCell ref="J5:J6"/>
    <mergeCell ref="A5:A6"/>
    <mergeCell ref="B5:B6"/>
    <mergeCell ref="C5:C6"/>
    <mergeCell ref="D5:D6"/>
    <mergeCell ref="E5:E6"/>
  </mergeCells>
  <dataValidations count="3">
    <dataValidation type="list" allowBlank="1" showInputMessage="1" showErrorMessage="1" sqref="F50" xr:uid="{00000000-0002-0000-0200-000000000000}">
      <formula1>"LUCRO REAL,LUCRO PRESUMIDO,SIMPLES NACIONAL,OUTRO"</formula1>
      <formula2>0</formula2>
    </dataValidation>
    <dataValidation type="list" allowBlank="1" showInputMessage="1" showErrorMessage="1" sqref="I60:L64" xr:uid="{00000000-0002-0000-0200-000001000000}">
      <formula1>"NÃO,SIM"</formula1>
      <formula2>0</formula2>
    </dataValidation>
    <dataValidation type="list" allowBlank="1" showInputMessage="1" showErrorMessage="1" sqref="D67 D69 D71 D73" xr:uid="{00000000-0002-0000-0200-000002000000}">
      <formula1>"INICIAL,1º IPCA,2º IPCA,3º IPCA,4º IPCA,5º IPCA"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1"/>
    <pageSetUpPr fitToPage="1"/>
  </sheetPr>
  <dimension ref="A1:H61"/>
  <sheetViews>
    <sheetView showGridLines="0" zoomScaleNormal="100" workbookViewId="0">
      <selection activeCell="E22" sqref="E22"/>
    </sheetView>
  </sheetViews>
  <sheetFormatPr defaultColWidth="9" defaultRowHeight="15"/>
  <cols>
    <col min="2" max="2" width="55.5703125" customWidth="1"/>
    <col min="3" max="3" width="13.140625" customWidth="1"/>
    <col min="4" max="4" width="4.85546875" customWidth="1"/>
    <col min="5" max="5" width="41.7109375" customWidth="1"/>
    <col min="6" max="8" width="11" customWidth="1"/>
    <col min="258" max="258" width="55.5703125" customWidth="1"/>
    <col min="259" max="259" width="13.140625" customWidth="1"/>
    <col min="261" max="261" width="35.140625" customWidth="1"/>
    <col min="262" max="264" width="11" customWidth="1"/>
    <col min="514" max="514" width="55.5703125" customWidth="1"/>
    <col min="515" max="515" width="13.140625" customWidth="1"/>
    <col min="517" max="517" width="35.140625" customWidth="1"/>
    <col min="518" max="520" width="11" customWidth="1"/>
    <col min="770" max="770" width="55.5703125" customWidth="1"/>
    <col min="771" max="771" width="13.140625" customWidth="1"/>
    <col min="773" max="773" width="35.140625" customWidth="1"/>
    <col min="774" max="776" width="11" customWidth="1"/>
  </cols>
  <sheetData>
    <row r="1" spans="1:4">
      <c r="A1" s="97"/>
      <c r="B1" s="98" t="str">
        <f>INSTRUÇÕES!B1</f>
        <v>Tribunal Regional Federal da 6ª Região</v>
      </c>
      <c r="C1" s="99"/>
    </row>
    <row r="2" spans="1:4">
      <c r="A2" s="100"/>
      <c r="B2" s="36" t="str">
        <f>INSTRUÇÕES!B2</f>
        <v>Seção Judiciária de Minas Gerais</v>
      </c>
      <c r="C2" s="101"/>
    </row>
    <row r="3" spans="1:4">
      <c r="A3" s="102"/>
      <c r="B3" s="36" t="str">
        <f>INSTRUÇÕES!B3</f>
        <v>Subseção Judiciária de Ituiutaba</v>
      </c>
      <c r="C3" s="101"/>
    </row>
    <row r="4" spans="1:4" ht="21.75" customHeight="1">
      <c r="A4" s="648" t="s">
        <v>358</v>
      </c>
      <c r="B4" s="648"/>
      <c r="C4" s="648"/>
    </row>
    <row r="5" spans="1:4" ht="21.75" customHeight="1">
      <c r="A5" s="648" t="s">
        <v>359</v>
      </c>
      <c r="B5" s="648"/>
      <c r="C5" s="648"/>
    </row>
    <row r="6" spans="1:4" ht="26.25" customHeight="1">
      <c r="A6" s="649" t="s">
        <v>360</v>
      </c>
      <c r="B6" s="649"/>
      <c r="C6" s="649"/>
    </row>
    <row r="7" spans="1:4">
      <c r="A7" s="650" t="s">
        <v>361</v>
      </c>
      <c r="B7" s="650"/>
      <c r="C7" s="650"/>
    </row>
    <row r="8" spans="1:4" ht="15.75" customHeight="1">
      <c r="A8" s="103" t="s">
        <v>60</v>
      </c>
      <c r="B8" s="104" t="s">
        <v>362</v>
      </c>
      <c r="C8" s="105" t="s">
        <v>363</v>
      </c>
    </row>
    <row r="9" spans="1:4" ht="15.75" customHeight="1">
      <c r="A9" s="106" t="s">
        <v>364</v>
      </c>
      <c r="B9" s="651" t="s">
        <v>365</v>
      </c>
      <c r="C9" s="651"/>
    </row>
    <row r="10" spans="1:4" ht="15.75" customHeight="1">
      <c r="A10" s="107">
        <v>1</v>
      </c>
      <c r="B10" s="108" t="s">
        <v>366</v>
      </c>
      <c r="C10" s="109">
        <v>0.2</v>
      </c>
    </row>
    <row r="11" spans="1:4" ht="15.75" customHeight="1">
      <c r="A11" s="107">
        <v>2</v>
      </c>
      <c r="B11" s="108" t="s">
        <v>367</v>
      </c>
      <c r="C11" s="109">
        <v>1.4999999999999999E-2</v>
      </c>
    </row>
    <row r="12" spans="1:4" ht="15.75" customHeight="1">
      <c r="A12" s="107">
        <v>3</v>
      </c>
      <c r="B12" s="108" t="s">
        <v>368</v>
      </c>
      <c r="C12" s="109">
        <v>0.01</v>
      </c>
    </row>
    <row r="13" spans="1:4" ht="15.75" customHeight="1">
      <c r="A13" s="107">
        <v>4</v>
      </c>
      <c r="B13" s="108" t="s">
        <v>369</v>
      </c>
      <c r="C13" s="109">
        <v>2E-3</v>
      </c>
    </row>
    <row r="14" spans="1:4" ht="15.75" customHeight="1">
      <c r="A14" s="107">
        <v>5</v>
      </c>
      <c r="B14" s="108" t="s">
        <v>370</v>
      </c>
      <c r="C14" s="109">
        <v>2.5000000000000001E-2</v>
      </c>
    </row>
    <row r="15" spans="1:4" ht="15.75" customHeight="1">
      <c r="A15" s="107">
        <v>6</v>
      </c>
      <c r="B15" s="108" t="s">
        <v>371</v>
      </c>
      <c r="C15" s="109">
        <v>0.08</v>
      </c>
    </row>
    <row r="16" spans="1:4" ht="15.75" customHeight="1">
      <c r="A16" s="107">
        <v>7</v>
      </c>
      <c r="B16" s="108" t="s">
        <v>372</v>
      </c>
      <c r="C16" s="110">
        <f>Dados!G22</f>
        <v>0.06</v>
      </c>
      <c r="D16" s="111" t="s">
        <v>373</v>
      </c>
    </row>
    <row r="17" spans="1:3" ht="15.75" customHeight="1">
      <c r="A17" s="107">
        <v>8</v>
      </c>
      <c r="B17" s="108" t="s">
        <v>374</v>
      </c>
      <c r="C17" s="109">
        <v>6.0000000000000001E-3</v>
      </c>
    </row>
    <row r="18" spans="1:3" ht="15.75" customHeight="1">
      <c r="A18" s="652" t="s">
        <v>375</v>
      </c>
      <c r="B18" s="652"/>
      <c r="C18" s="112">
        <f>SUM(C10:C17)</f>
        <v>0.39800000000000008</v>
      </c>
    </row>
    <row r="19" spans="1:3" ht="15.75" customHeight="1">
      <c r="A19" s="653" t="s">
        <v>376</v>
      </c>
      <c r="B19" s="653"/>
      <c r="C19" s="653"/>
    </row>
    <row r="20" spans="1:3" ht="15.75" customHeight="1">
      <c r="A20" s="653" t="s">
        <v>377</v>
      </c>
      <c r="B20" s="653"/>
      <c r="C20" s="653"/>
    </row>
    <row r="21" spans="1:3" ht="15.75" customHeight="1">
      <c r="A21" s="107">
        <v>9</v>
      </c>
      <c r="B21" s="113" t="s">
        <v>378</v>
      </c>
      <c r="C21" s="114">
        <f>ROUND((100%/11),4)</f>
        <v>9.0899999999999995E-2</v>
      </c>
    </row>
    <row r="22" spans="1:3" ht="15.75" customHeight="1">
      <c r="A22" s="107">
        <v>10</v>
      </c>
      <c r="B22" s="113" t="s">
        <v>379</v>
      </c>
      <c r="C22" s="114">
        <f>ROUND((C21/3),4)</f>
        <v>3.0300000000000001E-2</v>
      </c>
    </row>
    <row r="23" spans="1:3" ht="15.75" customHeight="1">
      <c r="A23" s="654" t="s">
        <v>380</v>
      </c>
      <c r="B23" s="654"/>
      <c r="C23" s="115">
        <f>SUM(C21:C22)</f>
        <v>0.1212</v>
      </c>
    </row>
    <row r="24" spans="1:3" ht="15.75" customHeight="1">
      <c r="A24" s="655" t="s">
        <v>381</v>
      </c>
      <c r="B24" s="655"/>
      <c r="C24" s="110">
        <f>(C18*C23)</f>
        <v>4.8237600000000012E-2</v>
      </c>
    </row>
    <row r="25" spans="1:3" ht="15.75" customHeight="1">
      <c r="A25" s="654" t="s">
        <v>382</v>
      </c>
      <c r="B25" s="654"/>
      <c r="C25" s="115">
        <f>SUM(C23:C24)</f>
        <v>0.16943760000000002</v>
      </c>
    </row>
    <row r="26" spans="1:3" ht="15.75" customHeight="1">
      <c r="A26" s="106" t="s">
        <v>383</v>
      </c>
      <c r="B26" s="651" t="s">
        <v>384</v>
      </c>
      <c r="C26" s="651"/>
    </row>
    <row r="27" spans="1:3" ht="15.75" customHeight="1">
      <c r="A27" s="107">
        <v>11</v>
      </c>
      <c r="B27" s="108" t="s">
        <v>385</v>
      </c>
      <c r="C27" s="109">
        <f>ROUND((0.0144*0.1*0.4509*6/12),4)</f>
        <v>2.9999999999999997E-4</v>
      </c>
    </row>
    <row r="28" spans="1:3" ht="15.75" customHeight="1">
      <c r="A28" s="655" t="s">
        <v>386</v>
      </c>
      <c r="B28" s="655"/>
      <c r="C28" s="116">
        <f>C18*C27</f>
        <v>1.1940000000000002E-4</v>
      </c>
    </row>
    <row r="29" spans="1:3" ht="15.75" customHeight="1">
      <c r="A29" s="654" t="s">
        <v>387</v>
      </c>
      <c r="B29" s="654"/>
      <c r="C29" s="117">
        <f>SUM(C27:C28)</f>
        <v>4.194E-4</v>
      </c>
    </row>
    <row r="30" spans="1:3" ht="15.75" customHeight="1">
      <c r="A30" s="106" t="s">
        <v>388</v>
      </c>
      <c r="B30" s="651" t="s">
        <v>389</v>
      </c>
      <c r="C30" s="651"/>
    </row>
    <row r="31" spans="1:3" ht="15.75" customHeight="1">
      <c r="A31" s="107">
        <v>12</v>
      </c>
      <c r="B31" s="108" t="s">
        <v>390</v>
      </c>
      <c r="C31" s="109">
        <f>ROUND((100%/12)*5%,4)</f>
        <v>4.1999999999999997E-3</v>
      </c>
    </row>
    <row r="32" spans="1:3" ht="15.75" customHeight="1">
      <c r="A32" s="656" t="s">
        <v>391</v>
      </c>
      <c r="B32" s="656"/>
      <c r="C32" s="110">
        <f>C15*C31</f>
        <v>3.3599999999999998E-4</v>
      </c>
    </row>
    <row r="33" spans="1:8" ht="15.75" customHeight="1">
      <c r="A33" s="107">
        <v>13</v>
      </c>
      <c r="B33" s="108" t="s">
        <v>392</v>
      </c>
      <c r="C33" s="114">
        <f>ROUND((C15*0.4*0.9*(1+1/11+1/11+(1/3*1/11))),5)</f>
        <v>3.4909999999999997E-2</v>
      </c>
    </row>
    <row r="34" spans="1:8" ht="15.75" customHeight="1">
      <c r="A34" s="107">
        <v>14</v>
      </c>
      <c r="B34" s="108" t="s">
        <v>393</v>
      </c>
      <c r="C34" s="109">
        <f>ROUND((100%/30)*7/12,4)</f>
        <v>1.9400000000000001E-2</v>
      </c>
    </row>
    <row r="35" spans="1:8" ht="15.75" customHeight="1">
      <c r="A35" s="656" t="s">
        <v>394</v>
      </c>
      <c r="B35" s="656"/>
      <c r="C35" s="110">
        <f>ROUND((C34*C18),4)</f>
        <v>7.7000000000000002E-3</v>
      </c>
    </row>
    <row r="36" spans="1:8" ht="15.75" customHeight="1">
      <c r="A36" s="107">
        <v>15</v>
      </c>
      <c r="B36" s="108" t="s">
        <v>395</v>
      </c>
      <c r="C36" s="110">
        <f>(0.4*C15/100)</f>
        <v>3.2000000000000003E-4</v>
      </c>
    </row>
    <row r="37" spans="1:8" ht="15.75" customHeight="1">
      <c r="A37" s="657" t="s">
        <v>396</v>
      </c>
      <c r="B37" s="657"/>
      <c r="C37" s="115">
        <f>SUM(C31:C36)</f>
        <v>6.6865999999999995E-2</v>
      </c>
    </row>
    <row r="38" spans="1:8" ht="15.75" customHeight="1">
      <c r="A38" s="106" t="s">
        <v>397</v>
      </c>
      <c r="B38" s="651" t="s">
        <v>398</v>
      </c>
      <c r="C38" s="651"/>
    </row>
    <row r="39" spans="1:8" ht="15.75" customHeight="1">
      <c r="A39" s="107">
        <v>16</v>
      </c>
      <c r="B39" s="108" t="s">
        <v>399</v>
      </c>
      <c r="C39" s="114">
        <f>ROUND((100%/11),4)</f>
        <v>9.0899999999999995E-2</v>
      </c>
    </row>
    <row r="40" spans="1:8" ht="15.75" customHeight="1">
      <c r="A40" s="107">
        <v>17</v>
      </c>
      <c r="B40" s="108" t="s">
        <v>400</v>
      </c>
      <c r="C40" s="109">
        <f>ROUND((5.96/30/12),4)</f>
        <v>1.66E-2</v>
      </c>
    </row>
    <row r="41" spans="1:8" ht="15.75" customHeight="1">
      <c r="A41" s="107">
        <v>18</v>
      </c>
      <c r="B41" s="108" t="s">
        <v>401</v>
      </c>
      <c r="C41" s="109">
        <f>ROUND((5/30/12)*0.022,4)</f>
        <v>2.9999999999999997E-4</v>
      </c>
    </row>
    <row r="42" spans="1:8" ht="15.75" customHeight="1">
      <c r="A42" s="107">
        <v>19</v>
      </c>
      <c r="B42" s="108" t="s">
        <v>402</v>
      </c>
      <c r="C42" s="109">
        <f>ROUND((1/30/12),4)</f>
        <v>2.8E-3</v>
      </c>
    </row>
    <row r="43" spans="1:8" ht="15.75" customHeight="1">
      <c r="A43" s="107">
        <v>20</v>
      </c>
      <c r="B43" s="108" t="s">
        <v>403</v>
      </c>
      <c r="C43" s="109">
        <f>ROUND((15/30/12*0.0078),4)</f>
        <v>2.9999999999999997E-4</v>
      </c>
    </row>
    <row r="44" spans="1:8" ht="15.75" customHeight="1">
      <c r="A44" s="657" t="s">
        <v>380</v>
      </c>
      <c r="B44" s="657"/>
      <c r="C44" s="115">
        <f>SUM(C39:C43)</f>
        <v>0.11089999999999998</v>
      </c>
      <c r="E44" s="658" t="s">
        <v>404</v>
      </c>
      <c r="F44" s="658"/>
      <c r="G44" s="658"/>
      <c r="H44" s="658"/>
    </row>
    <row r="45" spans="1:8" ht="15.75" customHeight="1">
      <c r="A45" s="656" t="s">
        <v>405</v>
      </c>
      <c r="B45" s="656"/>
      <c r="C45" s="110">
        <f>C18*C44</f>
        <v>4.4138200000000002E-2</v>
      </c>
      <c r="E45" s="658"/>
      <c r="F45" s="658"/>
      <c r="G45" s="658"/>
      <c r="H45" s="658"/>
    </row>
    <row r="46" spans="1:8" ht="15" customHeight="1">
      <c r="A46" s="657" t="s">
        <v>406</v>
      </c>
      <c r="B46" s="657"/>
      <c r="C46" s="115">
        <f>SUM(C44:C45)</f>
        <v>0.15503819999999999</v>
      </c>
      <c r="E46" s="659" t="s">
        <v>407</v>
      </c>
      <c r="F46" s="660" t="s">
        <v>408</v>
      </c>
      <c r="G46" s="660"/>
      <c r="H46" s="660"/>
    </row>
    <row r="47" spans="1:8" ht="15.75" customHeight="1">
      <c r="A47" s="118" t="s">
        <v>409</v>
      </c>
      <c r="B47" s="119" t="s">
        <v>410</v>
      </c>
      <c r="C47" s="120" t="s">
        <v>281</v>
      </c>
      <c r="E47" s="659"/>
      <c r="F47" s="660" t="s">
        <v>411</v>
      </c>
      <c r="G47" s="660"/>
      <c r="H47" s="660"/>
    </row>
    <row r="48" spans="1:8" ht="15.75" customHeight="1">
      <c r="A48" s="107">
        <v>21</v>
      </c>
      <c r="B48" s="108" t="s">
        <v>412</v>
      </c>
      <c r="C48" s="109">
        <f>1*1%/12</f>
        <v>8.3333333333333339E-4</v>
      </c>
      <c r="E48" s="121" t="s">
        <v>413</v>
      </c>
      <c r="F48" s="122" t="s">
        <v>414</v>
      </c>
      <c r="G48" s="122" t="s">
        <v>415</v>
      </c>
      <c r="H48" s="123" t="s">
        <v>416</v>
      </c>
    </row>
    <row r="49" spans="1:8" ht="15.75" customHeight="1">
      <c r="A49" s="657" t="s">
        <v>417</v>
      </c>
      <c r="B49" s="657"/>
      <c r="C49" s="115">
        <f>SUM(C47:C48)</f>
        <v>8.3333333333333339E-4</v>
      </c>
      <c r="E49" s="121" t="s">
        <v>418</v>
      </c>
      <c r="F49" s="124">
        <v>0.34300000000000003</v>
      </c>
      <c r="G49" s="124">
        <v>0.39800000000000002</v>
      </c>
      <c r="H49" s="125">
        <f>$C$18</f>
        <v>0.39800000000000008</v>
      </c>
    </row>
    <row r="50" spans="1:8" ht="15.75" customHeight="1">
      <c r="A50" s="661" t="s">
        <v>419</v>
      </c>
      <c r="B50" s="661"/>
      <c r="C50" s="661"/>
      <c r="E50" s="121" t="s">
        <v>420</v>
      </c>
      <c r="F50" s="124">
        <v>5.0000000000000001E-3</v>
      </c>
      <c r="G50" s="124">
        <v>0.06</v>
      </c>
      <c r="H50" s="125">
        <f>$C$16</f>
        <v>0.06</v>
      </c>
    </row>
    <row r="51" spans="1:8" ht="15.75" customHeight="1">
      <c r="A51" s="656" t="s">
        <v>365</v>
      </c>
      <c r="B51" s="656"/>
      <c r="C51" s="110">
        <f>ROUND(C18,4)</f>
        <v>0.39800000000000002</v>
      </c>
      <c r="E51" s="126" t="s">
        <v>421</v>
      </c>
      <c r="F51" s="127">
        <f>$C$21</f>
        <v>9.0899999999999995E-2</v>
      </c>
      <c r="G51" s="127">
        <f>$F$51</f>
        <v>9.0899999999999995E-2</v>
      </c>
      <c r="H51" s="128">
        <f>$F$51</f>
        <v>9.0899999999999995E-2</v>
      </c>
    </row>
    <row r="52" spans="1:8" ht="15.75" customHeight="1">
      <c r="A52" s="656" t="s">
        <v>422</v>
      </c>
      <c r="B52" s="656"/>
      <c r="C52" s="110">
        <f>ROUND(C25,4)</f>
        <v>0.1694</v>
      </c>
      <c r="E52" s="126" t="s">
        <v>423</v>
      </c>
      <c r="F52" s="127">
        <f>$C$39</f>
        <v>9.0899999999999995E-2</v>
      </c>
      <c r="G52" s="127">
        <f>$F$52</f>
        <v>9.0899999999999995E-2</v>
      </c>
      <c r="H52" s="128">
        <f>$F$52</f>
        <v>9.0899999999999995E-2</v>
      </c>
    </row>
    <row r="53" spans="1:8" ht="15.75" customHeight="1">
      <c r="A53" s="656" t="s">
        <v>384</v>
      </c>
      <c r="B53" s="656"/>
      <c r="C53" s="110">
        <f>ROUND(C29,4)</f>
        <v>4.0000000000000002E-4</v>
      </c>
      <c r="E53" s="126" t="s">
        <v>424</v>
      </c>
      <c r="F53" s="127">
        <f>$C$22</f>
        <v>3.0300000000000001E-2</v>
      </c>
      <c r="G53" s="127">
        <f>$F$53</f>
        <v>3.0300000000000001E-2</v>
      </c>
      <c r="H53" s="128">
        <f>$F$53</f>
        <v>3.0300000000000001E-2</v>
      </c>
    </row>
    <row r="54" spans="1:8" ht="15.75" customHeight="1">
      <c r="A54" s="656" t="s">
        <v>425</v>
      </c>
      <c r="B54" s="656"/>
      <c r="C54" s="110">
        <f>ROUND(C37,4)</f>
        <v>6.6900000000000001E-2</v>
      </c>
      <c r="E54" s="129" t="s">
        <v>380</v>
      </c>
      <c r="F54" s="130">
        <f>SUM(F51:F53)</f>
        <v>0.21209999999999998</v>
      </c>
      <c r="G54" s="130">
        <f>SUM(G51:G53)</f>
        <v>0.21209999999999998</v>
      </c>
      <c r="H54" s="131">
        <f>SUM(H51:H53)</f>
        <v>0.21209999999999998</v>
      </c>
    </row>
    <row r="55" spans="1:8" ht="15.75" customHeight="1">
      <c r="A55" s="656" t="s">
        <v>426</v>
      </c>
      <c r="B55" s="656"/>
      <c r="C55" s="110">
        <f>ROUND(C46,4)</f>
        <v>0.155</v>
      </c>
      <c r="E55" s="126" t="s">
        <v>427</v>
      </c>
      <c r="F55" s="127">
        <f>F54*F49</f>
        <v>7.2750300000000004E-2</v>
      </c>
      <c r="G55" s="127">
        <f>G54*G49</f>
        <v>8.4415799999999999E-2</v>
      </c>
      <c r="H55" s="128">
        <f>H54*H49</f>
        <v>8.4415800000000013E-2</v>
      </c>
    </row>
    <row r="56" spans="1:8" ht="15.75" customHeight="1">
      <c r="A56" s="656" t="s">
        <v>412</v>
      </c>
      <c r="B56" s="656"/>
      <c r="C56" s="110">
        <f>ROUND(C49,4)</f>
        <v>8.0000000000000004E-4</v>
      </c>
      <c r="E56" s="126" t="s">
        <v>428</v>
      </c>
      <c r="F56" s="127">
        <v>3.4909999999999997E-2</v>
      </c>
      <c r="G56" s="127">
        <v>3.4909999999999997E-2</v>
      </c>
      <c r="H56" s="128">
        <v>3.4909999999999997E-2</v>
      </c>
    </row>
    <row r="57" spans="1:8" ht="15.75" customHeight="1">
      <c r="A57" s="662" t="s">
        <v>429</v>
      </c>
      <c r="B57" s="662"/>
      <c r="C57" s="112">
        <f>SUM(C51:C56)</f>
        <v>0.79049999999999998</v>
      </c>
      <c r="E57" s="132" t="s">
        <v>430</v>
      </c>
      <c r="F57" s="133">
        <v>0.3197603</v>
      </c>
      <c r="G57" s="133">
        <v>0.33142579999999999</v>
      </c>
      <c r="H57" s="134">
        <f>SUM(H54:H56)</f>
        <v>0.33142579999999999</v>
      </c>
    </row>
    <row r="58" spans="1:8" ht="24">
      <c r="A58" s="135" t="s">
        <v>51</v>
      </c>
      <c r="B58" s="136"/>
      <c r="C58" s="137"/>
      <c r="E58" s="126" t="s">
        <v>431</v>
      </c>
      <c r="F58" s="127" t="s">
        <v>281</v>
      </c>
      <c r="G58" s="127" t="s">
        <v>281</v>
      </c>
      <c r="H58" s="128" t="s">
        <v>281</v>
      </c>
    </row>
    <row r="59" spans="1:8" ht="54.75" customHeight="1">
      <c r="A59" s="663" t="s">
        <v>432</v>
      </c>
      <c r="B59" s="663"/>
      <c r="C59" s="663"/>
      <c r="E59" s="138" t="s">
        <v>433</v>
      </c>
      <c r="F59" s="139">
        <v>0.3197603</v>
      </c>
      <c r="G59" s="139">
        <v>0.33142579999999999</v>
      </c>
      <c r="H59" s="140">
        <f>H57</f>
        <v>0.33142579999999999</v>
      </c>
    </row>
    <row r="61" spans="1:8" ht="12.75" customHeight="1"/>
  </sheetData>
  <sheetProtection password="C494" sheet="1" objects="1" scenarios="1"/>
  <mergeCells count="36">
    <mergeCell ref="A54:B54"/>
    <mergeCell ref="A55:B55"/>
    <mergeCell ref="A56:B56"/>
    <mergeCell ref="A57:B57"/>
    <mergeCell ref="A59:C59"/>
    <mergeCell ref="A49:B49"/>
    <mergeCell ref="A50:C50"/>
    <mergeCell ref="A51:B51"/>
    <mergeCell ref="A52:B52"/>
    <mergeCell ref="A53:B53"/>
    <mergeCell ref="E44:H45"/>
    <mergeCell ref="A45:B45"/>
    <mergeCell ref="A46:B46"/>
    <mergeCell ref="E46:E47"/>
    <mergeCell ref="F46:H46"/>
    <mergeCell ref="F47:H47"/>
    <mergeCell ref="A32:B32"/>
    <mergeCell ref="A35:B35"/>
    <mergeCell ref="A37:B37"/>
    <mergeCell ref="B38:C38"/>
    <mergeCell ref="A44:B44"/>
    <mergeCell ref="A25:B25"/>
    <mergeCell ref="B26:C26"/>
    <mergeCell ref="A28:B28"/>
    <mergeCell ref="A29:B29"/>
    <mergeCell ref="B30:C30"/>
    <mergeCell ref="A18:B18"/>
    <mergeCell ref="A19:C19"/>
    <mergeCell ref="A20:C20"/>
    <mergeCell ref="A23:B23"/>
    <mergeCell ref="A24:B24"/>
    <mergeCell ref="A4:C4"/>
    <mergeCell ref="A5:C5"/>
    <mergeCell ref="A6:C6"/>
    <mergeCell ref="A7:C7"/>
    <mergeCell ref="B9:C9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91"/>
  </sheetPr>
  <dimension ref="A1:L51"/>
  <sheetViews>
    <sheetView showGridLines="0" zoomScaleNormal="100" workbookViewId="0">
      <selection activeCell="F11" sqref="F11"/>
    </sheetView>
  </sheetViews>
  <sheetFormatPr defaultColWidth="9" defaultRowHeight="15"/>
  <cols>
    <col min="1" max="1" width="5" style="285" customWidth="1"/>
    <col min="2" max="2" width="59.140625" style="282" customWidth="1"/>
    <col min="3" max="3" width="10.42578125" style="282" customWidth="1"/>
    <col min="4" max="4" width="18.42578125" style="282" customWidth="1"/>
    <col min="5" max="5" width="11.5703125" style="282" customWidth="1"/>
    <col min="6" max="6" width="9.42578125" style="285" customWidth="1"/>
    <col min="7" max="7" width="11.42578125" style="282" customWidth="1"/>
    <col min="8" max="8" width="23.7109375" style="315" customWidth="1"/>
    <col min="9" max="9" width="4.28515625" style="315" customWidth="1"/>
    <col min="10" max="10" width="11.42578125" style="315" customWidth="1"/>
    <col min="11" max="11" width="12.42578125" style="282" customWidth="1"/>
    <col min="12" max="12" width="10" style="315" customWidth="1"/>
    <col min="13" max="256" width="9" style="315"/>
    <col min="257" max="257" width="8.28515625" style="315" customWidth="1"/>
    <col min="258" max="258" width="44.5703125" style="315" customWidth="1"/>
    <col min="259" max="259" width="7.42578125" style="315" customWidth="1"/>
    <col min="260" max="260" width="13" style="315" customWidth="1"/>
    <col min="261" max="261" width="11.7109375" style="315" customWidth="1"/>
    <col min="262" max="262" width="10.5703125" style="315" customWidth="1"/>
    <col min="263" max="263" width="14.42578125" style="315" customWidth="1"/>
    <col min="264" max="264" width="35.42578125" style="315" customWidth="1"/>
    <col min="265" max="265" width="14" style="315" customWidth="1"/>
    <col min="266" max="266" width="11.7109375" style="315" customWidth="1"/>
    <col min="267" max="267" width="13.5703125" style="315" customWidth="1"/>
    <col min="268" max="512" width="9" style="315"/>
    <col min="513" max="513" width="8.28515625" style="315" customWidth="1"/>
    <col min="514" max="514" width="44.5703125" style="315" customWidth="1"/>
    <col min="515" max="515" width="7.42578125" style="315" customWidth="1"/>
    <col min="516" max="516" width="13" style="315" customWidth="1"/>
    <col min="517" max="517" width="11.7109375" style="315" customWidth="1"/>
    <col min="518" max="518" width="10.5703125" style="315" customWidth="1"/>
    <col min="519" max="519" width="14.42578125" style="315" customWidth="1"/>
    <col min="520" max="520" width="35.42578125" style="315" customWidth="1"/>
    <col min="521" max="521" width="14" style="315" customWidth="1"/>
    <col min="522" max="522" width="11.7109375" style="315" customWidth="1"/>
    <col min="523" max="523" width="13.5703125" style="315" customWidth="1"/>
    <col min="524" max="768" width="9" style="315"/>
    <col min="769" max="769" width="8.28515625" style="315" customWidth="1"/>
    <col min="770" max="770" width="44.5703125" style="315" customWidth="1"/>
    <col min="771" max="771" width="7.42578125" style="315" customWidth="1"/>
    <col min="772" max="772" width="13" style="315" customWidth="1"/>
    <col min="773" max="773" width="11.7109375" style="315" customWidth="1"/>
    <col min="774" max="774" width="10.5703125" style="315" customWidth="1"/>
    <col min="775" max="775" width="14.42578125" style="315" customWidth="1"/>
    <col min="776" max="776" width="35.42578125" style="315" customWidth="1"/>
    <col min="777" max="777" width="14" style="315" customWidth="1"/>
    <col min="778" max="778" width="11.7109375" style="315" customWidth="1"/>
    <col min="779" max="779" width="13.5703125" style="315" customWidth="1"/>
    <col min="780" max="16384" width="9" style="315"/>
  </cols>
  <sheetData>
    <row r="1" spans="1:12" s="282" customFormat="1" ht="15" customHeight="1">
      <c r="A1" s="277"/>
      <c r="B1" s="278" t="str">
        <f>INSTRUÇÕES!B1</f>
        <v>Tribunal Regional Federal da 6ª Região</v>
      </c>
      <c r="C1" s="279"/>
      <c r="D1" s="279"/>
      <c r="E1" s="279"/>
      <c r="F1" s="280"/>
      <c r="G1" s="279"/>
      <c r="H1" s="281"/>
    </row>
    <row r="2" spans="1:12" s="282" customFormat="1" ht="17.25" customHeight="1">
      <c r="A2" s="283"/>
      <c r="B2" s="284" t="str">
        <f>INSTRUÇÕES!B2</f>
        <v>Seção Judiciária de Minas Gerais</v>
      </c>
      <c r="F2" s="285"/>
      <c r="H2" s="286"/>
    </row>
    <row r="3" spans="1:12" s="282" customFormat="1" ht="16.5" customHeight="1">
      <c r="A3" s="283"/>
      <c r="B3" s="284" t="str">
        <f>INSTRUÇÕES!B3</f>
        <v>Subseção Judiciária de Ituiutaba</v>
      </c>
      <c r="F3" s="285"/>
      <c r="H3" s="286"/>
    </row>
    <row r="4" spans="1:12" s="282" customFormat="1" ht="27.75" customHeight="1">
      <c r="A4" s="666" t="s">
        <v>434</v>
      </c>
      <c r="B4" s="666"/>
      <c r="C4" s="666"/>
      <c r="D4" s="666"/>
      <c r="E4" s="666"/>
      <c r="F4" s="666"/>
      <c r="G4" s="666"/>
      <c r="H4" s="666"/>
      <c r="I4" s="287"/>
      <c r="J4" s="287"/>
    </row>
    <row r="5" spans="1:12" s="288" customFormat="1" ht="24" customHeight="1">
      <c r="A5" s="667" t="s">
        <v>435</v>
      </c>
      <c r="B5" s="667"/>
      <c r="C5" s="667"/>
      <c r="D5" s="667"/>
      <c r="E5" s="667"/>
      <c r="F5" s="667"/>
      <c r="G5" s="667"/>
      <c r="H5" s="667"/>
      <c r="K5" s="289"/>
    </row>
    <row r="6" spans="1:12" s="282" customFormat="1" ht="12.75" customHeight="1">
      <c r="A6" s="668" t="s">
        <v>60</v>
      </c>
      <c r="B6" s="669" t="s">
        <v>436</v>
      </c>
      <c r="C6" s="669"/>
      <c r="D6" s="669"/>
      <c r="E6" s="670" t="s">
        <v>62</v>
      </c>
      <c r="F6" s="670"/>
      <c r="G6" s="670"/>
      <c r="H6" s="671" t="s">
        <v>437</v>
      </c>
      <c r="I6" s="291"/>
      <c r="J6" s="291"/>
    </row>
    <row r="7" spans="1:12" s="282" customFormat="1" ht="12.75" customHeight="1">
      <c r="A7" s="668"/>
      <c r="B7" s="669"/>
      <c r="C7" s="669"/>
      <c r="D7" s="669"/>
      <c r="E7" s="670"/>
      <c r="F7" s="670"/>
      <c r="G7" s="670"/>
      <c r="H7" s="671"/>
      <c r="I7" s="291"/>
      <c r="J7" s="664" t="s">
        <v>438</v>
      </c>
      <c r="K7" s="664"/>
      <c r="L7" s="664"/>
    </row>
    <row r="8" spans="1:12" s="282" customFormat="1" ht="24">
      <c r="A8" s="668"/>
      <c r="B8" s="290" t="s">
        <v>66</v>
      </c>
      <c r="C8" s="292" t="s">
        <v>67</v>
      </c>
      <c r="D8" s="292" t="s">
        <v>68</v>
      </c>
      <c r="E8" s="292" t="s">
        <v>71</v>
      </c>
      <c r="F8" s="292" t="s">
        <v>439</v>
      </c>
      <c r="G8" s="292" t="s">
        <v>70</v>
      </c>
      <c r="H8" s="671"/>
      <c r="I8" s="291"/>
      <c r="J8" s="293" t="s">
        <v>440</v>
      </c>
      <c r="K8" s="294" t="s">
        <v>73</v>
      </c>
      <c r="L8" s="293" t="s">
        <v>441</v>
      </c>
    </row>
    <row r="9" spans="1:12" s="282" customFormat="1" ht="38.25">
      <c r="A9" s="295">
        <v>1</v>
      </c>
      <c r="B9" s="296" t="s">
        <v>442</v>
      </c>
      <c r="C9" s="297" t="s">
        <v>83</v>
      </c>
      <c r="D9" s="296" t="s">
        <v>84</v>
      </c>
      <c r="E9" s="298">
        <f>'Ocorrências Mensais - FAT'!G26</f>
        <v>1</v>
      </c>
      <c r="F9" s="579">
        <v>12.89</v>
      </c>
      <c r="G9" s="300">
        <f t="shared" ref="G9:G38" si="0">E9*F9</f>
        <v>12.89</v>
      </c>
      <c r="H9" s="301"/>
      <c r="I9" s="291"/>
      <c r="J9" s="302">
        <v>1</v>
      </c>
      <c r="K9" s="303" t="s">
        <v>443</v>
      </c>
      <c r="L9" s="304">
        <f t="shared" ref="L9:L38" si="1">IF(K9="Semestral",6,IF(K9="Mensal",1,IF(K9="Anual",12,IF(K9="Bienal",24,IF(K9="Trimestral",3,IF(K9="Bimestral",2,IF(K9="Quadrimestral",4)))))))</f>
        <v>1</v>
      </c>
    </row>
    <row r="10" spans="1:12" s="282" customFormat="1" ht="12.75">
      <c r="A10" s="295">
        <v>2</v>
      </c>
      <c r="B10" s="305" t="s">
        <v>85</v>
      </c>
      <c r="C10" s="306" t="s">
        <v>67</v>
      </c>
      <c r="D10" s="305" t="s">
        <v>86</v>
      </c>
      <c r="E10" s="298">
        <f>'Ocorrências Mensais - FAT'!G27</f>
        <v>5</v>
      </c>
      <c r="F10" s="579">
        <v>7.52</v>
      </c>
      <c r="G10" s="300">
        <f t="shared" si="0"/>
        <v>37.599999999999994</v>
      </c>
      <c r="H10" s="301"/>
      <c r="I10" s="291"/>
      <c r="J10" s="302">
        <v>5</v>
      </c>
      <c r="K10" s="303" t="s">
        <v>443</v>
      </c>
      <c r="L10" s="304">
        <f t="shared" si="1"/>
        <v>1</v>
      </c>
    </row>
    <row r="11" spans="1:12" s="282" customFormat="1" ht="38.25">
      <c r="A11" s="295">
        <v>3</v>
      </c>
      <c r="B11" s="296" t="s">
        <v>444</v>
      </c>
      <c r="C11" s="297" t="s">
        <v>83</v>
      </c>
      <c r="D11" s="296" t="s">
        <v>86</v>
      </c>
      <c r="E11" s="298">
        <f>'Ocorrências Mensais - FAT'!G28</f>
        <v>0.66666666666666663</v>
      </c>
      <c r="F11" s="579">
        <v>37.869999999999997</v>
      </c>
      <c r="G11" s="300">
        <f t="shared" si="0"/>
        <v>25.246666666666663</v>
      </c>
      <c r="H11" s="301"/>
      <c r="I11" s="291"/>
      <c r="J11" s="302">
        <v>2</v>
      </c>
      <c r="K11" s="303" t="s">
        <v>445</v>
      </c>
      <c r="L11" s="304">
        <f t="shared" si="1"/>
        <v>3</v>
      </c>
    </row>
    <row r="12" spans="1:12" s="282" customFormat="1" ht="12.75">
      <c r="A12" s="295">
        <v>4</v>
      </c>
      <c r="B12" s="296" t="s">
        <v>88</v>
      </c>
      <c r="C12" s="297" t="s">
        <v>67</v>
      </c>
      <c r="D12" s="296" t="s">
        <v>89</v>
      </c>
      <c r="E12" s="298">
        <f>'Ocorrências Mensais - FAT'!G29</f>
        <v>8.3333333333333329E-2</v>
      </c>
      <c r="F12" s="579">
        <v>11.75</v>
      </c>
      <c r="G12" s="300">
        <f t="shared" si="0"/>
        <v>0.97916666666666663</v>
      </c>
      <c r="H12" s="301"/>
      <c r="I12" s="291"/>
      <c r="J12" s="302">
        <v>1</v>
      </c>
      <c r="K12" s="303" t="s">
        <v>446</v>
      </c>
      <c r="L12" s="304">
        <f t="shared" si="1"/>
        <v>12</v>
      </c>
    </row>
    <row r="13" spans="1:12" s="282" customFormat="1" ht="12.75">
      <c r="A13" s="295">
        <v>5</v>
      </c>
      <c r="B13" s="296" t="s">
        <v>90</v>
      </c>
      <c r="C13" s="297" t="s">
        <v>67</v>
      </c>
      <c r="D13" s="296" t="s">
        <v>91</v>
      </c>
      <c r="E13" s="298">
        <f>'Ocorrências Mensais - FAT'!G30</f>
        <v>8.3333333333333329E-2</v>
      </c>
      <c r="F13" s="579">
        <v>8.61</v>
      </c>
      <c r="G13" s="300">
        <f t="shared" si="0"/>
        <v>0.71749999999999992</v>
      </c>
      <c r="H13" s="301"/>
      <c r="I13" s="291"/>
      <c r="J13" s="302">
        <v>1</v>
      </c>
      <c r="K13" s="303" t="s">
        <v>446</v>
      </c>
      <c r="L13" s="304">
        <f t="shared" si="1"/>
        <v>12</v>
      </c>
    </row>
    <row r="14" spans="1:12" s="282" customFormat="1" ht="38.25">
      <c r="A14" s="295">
        <v>6</v>
      </c>
      <c r="B14" s="296" t="s">
        <v>447</v>
      </c>
      <c r="C14" s="297" t="s">
        <v>83</v>
      </c>
      <c r="D14" s="296" t="s">
        <v>93</v>
      </c>
      <c r="E14" s="298">
        <f>'Ocorrências Mensais - FAT'!G31</f>
        <v>2</v>
      </c>
      <c r="F14" s="579">
        <v>11.95</v>
      </c>
      <c r="G14" s="300">
        <f t="shared" si="0"/>
        <v>23.9</v>
      </c>
      <c r="H14" s="301"/>
      <c r="I14" s="291"/>
      <c r="J14" s="302">
        <v>2</v>
      </c>
      <c r="K14" s="303" t="s">
        <v>443</v>
      </c>
      <c r="L14" s="304">
        <f t="shared" si="1"/>
        <v>1</v>
      </c>
    </row>
    <row r="15" spans="1:12" s="282" customFormat="1" ht="51">
      <c r="A15" s="295">
        <v>7</v>
      </c>
      <c r="B15" s="296" t="s">
        <v>448</v>
      </c>
      <c r="C15" s="297" t="s">
        <v>83</v>
      </c>
      <c r="D15" s="296" t="s">
        <v>95</v>
      </c>
      <c r="E15" s="298">
        <f>'Ocorrências Mensais - FAT'!G32</f>
        <v>1</v>
      </c>
      <c r="F15" s="579">
        <v>22.84</v>
      </c>
      <c r="G15" s="300">
        <f t="shared" si="0"/>
        <v>22.84</v>
      </c>
      <c r="H15" s="307"/>
      <c r="I15" s="291"/>
      <c r="J15" s="302">
        <v>1</v>
      </c>
      <c r="K15" s="303" t="s">
        <v>443</v>
      </c>
      <c r="L15" s="304">
        <f t="shared" si="1"/>
        <v>1</v>
      </c>
    </row>
    <row r="16" spans="1:12" s="282" customFormat="1" ht="12.75">
      <c r="A16" s="308">
        <v>8</v>
      </c>
      <c r="B16" s="296" t="s">
        <v>96</v>
      </c>
      <c r="C16" s="297" t="s">
        <v>67</v>
      </c>
      <c r="D16" s="296" t="s">
        <v>97</v>
      </c>
      <c r="E16" s="298">
        <f>'Ocorrências Mensais - FAT'!G33</f>
        <v>0.16666666666666666</v>
      </c>
      <c r="F16" s="579">
        <v>5.24</v>
      </c>
      <c r="G16" s="300">
        <f t="shared" si="0"/>
        <v>0.87333333333333329</v>
      </c>
      <c r="H16" s="307"/>
      <c r="I16" s="291"/>
      <c r="J16" s="302">
        <v>1</v>
      </c>
      <c r="K16" s="303" t="s">
        <v>449</v>
      </c>
      <c r="L16" s="304">
        <f t="shared" si="1"/>
        <v>6</v>
      </c>
    </row>
    <row r="17" spans="1:12" s="282" customFormat="1" ht="51">
      <c r="A17" s="295">
        <v>9</v>
      </c>
      <c r="B17" s="296" t="s">
        <v>450</v>
      </c>
      <c r="C17" s="297" t="s">
        <v>67</v>
      </c>
      <c r="D17" s="296" t="s">
        <v>99</v>
      </c>
      <c r="E17" s="298">
        <f>'Ocorrências Mensais - FAT'!G34</f>
        <v>2</v>
      </c>
      <c r="F17" s="579">
        <v>1.92</v>
      </c>
      <c r="G17" s="300">
        <f t="shared" si="0"/>
        <v>3.84</v>
      </c>
      <c r="H17" s="301"/>
      <c r="I17" s="291"/>
      <c r="J17" s="302">
        <v>2</v>
      </c>
      <c r="K17" s="303" t="s">
        <v>443</v>
      </c>
      <c r="L17" s="304">
        <f t="shared" si="1"/>
        <v>1</v>
      </c>
    </row>
    <row r="18" spans="1:12" s="282" customFormat="1" ht="12.75">
      <c r="A18" s="295">
        <v>10</v>
      </c>
      <c r="B18" s="296" t="s">
        <v>100</v>
      </c>
      <c r="C18" s="297" t="s">
        <v>67</v>
      </c>
      <c r="D18" s="296" t="s">
        <v>101</v>
      </c>
      <c r="E18" s="298">
        <f>'Ocorrências Mensais - FAT'!G35</f>
        <v>3</v>
      </c>
      <c r="F18" s="579">
        <v>3.03</v>
      </c>
      <c r="G18" s="300">
        <f t="shared" si="0"/>
        <v>9.09</v>
      </c>
      <c r="H18" s="301"/>
      <c r="I18" s="291"/>
      <c r="J18" s="302">
        <v>6</v>
      </c>
      <c r="K18" s="303" t="s">
        <v>451</v>
      </c>
      <c r="L18" s="304">
        <f t="shared" si="1"/>
        <v>2</v>
      </c>
    </row>
    <row r="19" spans="1:12" s="282" customFormat="1" ht="12.75">
      <c r="A19" s="295">
        <v>11</v>
      </c>
      <c r="B19" s="296" t="s">
        <v>102</v>
      </c>
      <c r="C19" s="297" t="s">
        <v>103</v>
      </c>
      <c r="D19" s="296" t="s">
        <v>99</v>
      </c>
      <c r="E19" s="298">
        <f>'Ocorrências Mensais - FAT'!G36</f>
        <v>1</v>
      </c>
      <c r="F19" s="579">
        <v>2.02</v>
      </c>
      <c r="G19" s="300">
        <f t="shared" si="0"/>
        <v>2.02</v>
      </c>
      <c r="H19" s="301"/>
      <c r="I19" s="291"/>
      <c r="J19" s="302">
        <v>1</v>
      </c>
      <c r="K19" s="303" t="s">
        <v>443</v>
      </c>
      <c r="L19" s="304">
        <f t="shared" si="1"/>
        <v>1</v>
      </c>
    </row>
    <row r="20" spans="1:12" s="282" customFormat="1" ht="12.75">
      <c r="A20" s="295">
        <v>12</v>
      </c>
      <c r="B20" s="296" t="s">
        <v>104</v>
      </c>
      <c r="C20" s="297" t="s">
        <v>83</v>
      </c>
      <c r="D20" s="296"/>
      <c r="E20" s="298">
        <f>'Ocorrências Mensais - FAT'!G37</f>
        <v>0.5</v>
      </c>
      <c r="F20" s="579">
        <v>34.57</v>
      </c>
      <c r="G20" s="300">
        <f t="shared" si="0"/>
        <v>17.285</v>
      </c>
      <c r="H20" s="301"/>
      <c r="I20" s="291"/>
      <c r="J20" s="302">
        <v>1</v>
      </c>
      <c r="K20" s="303" t="s">
        <v>451</v>
      </c>
      <c r="L20" s="304">
        <f t="shared" si="1"/>
        <v>2</v>
      </c>
    </row>
    <row r="21" spans="1:12" s="282" customFormat="1" ht="51">
      <c r="A21" s="295">
        <v>13</v>
      </c>
      <c r="B21" s="296" t="s">
        <v>452</v>
      </c>
      <c r="C21" s="297" t="s">
        <v>67</v>
      </c>
      <c r="D21" s="296" t="s">
        <v>95</v>
      </c>
      <c r="E21" s="298">
        <f>'Ocorrências Mensais - FAT'!G38</f>
        <v>0.66666666666666663</v>
      </c>
      <c r="F21" s="579">
        <v>3.49</v>
      </c>
      <c r="G21" s="300">
        <f t="shared" si="0"/>
        <v>2.3266666666666667</v>
      </c>
      <c r="H21" s="301"/>
      <c r="I21" s="291"/>
      <c r="J21" s="302">
        <v>2</v>
      </c>
      <c r="K21" s="303" t="s">
        <v>445</v>
      </c>
      <c r="L21" s="304">
        <f t="shared" si="1"/>
        <v>3</v>
      </c>
    </row>
    <row r="22" spans="1:12" s="282" customFormat="1" ht="38.25">
      <c r="A22" s="295">
        <v>14</v>
      </c>
      <c r="B22" s="296" t="s">
        <v>453</v>
      </c>
      <c r="C22" s="297" t="s">
        <v>67</v>
      </c>
      <c r="D22" s="296" t="s">
        <v>107</v>
      </c>
      <c r="E22" s="298">
        <f>'Ocorrências Mensais - FAT'!G39</f>
        <v>0.33333333333333331</v>
      </c>
      <c r="F22" s="579">
        <v>8.16</v>
      </c>
      <c r="G22" s="300">
        <f t="shared" si="0"/>
        <v>2.7199999999999998</v>
      </c>
      <c r="H22" s="307"/>
      <c r="I22" s="291"/>
      <c r="J22" s="302">
        <v>1</v>
      </c>
      <c r="K22" s="303" t="s">
        <v>445</v>
      </c>
      <c r="L22" s="304">
        <f t="shared" si="1"/>
        <v>3</v>
      </c>
    </row>
    <row r="23" spans="1:12" s="282" customFormat="1" ht="12.75">
      <c r="A23" s="295">
        <v>15</v>
      </c>
      <c r="B23" s="296" t="s">
        <v>108</v>
      </c>
      <c r="C23" s="297" t="s">
        <v>67</v>
      </c>
      <c r="D23" s="296" t="s">
        <v>109</v>
      </c>
      <c r="E23" s="298">
        <f>'Ocorrências Mensais - FAT'!G40</f>
        <v>4</v>
      </c>
      <c r="F23" s="579">
        <v>4.05</v>
      </c>
      <c r="G23" s="300">
        <f t="shared" si="0"/>
        <v>16.2</v>
      </c>
      <c r="H23" s="307"/>
      <c r="I23" s="291"/>
      <c r="J23" s="302">
        <v>4</v>
      </c>
      <c r="K23" s="303" t="s">
        <v>443</v>
      </c>
      <c r="L23" s="304">
        <f t="shared" si="1"/>
        <v>1</v>
      </c>
    </row>
    <row r="24" spans="1:12" s="282" customFormat="1" ht="12.75">
      <c r="A24" s="295">
        <v>16</v>
      </c>
      <c r="B24" s="296" t="s">
        <v>110</v>
      </c>
      <c r="C24" s="297" t="s">
        <v>67</v>
      </c>
      <c r="D24" s="296" t="s">
        <v>111</v>
      </c>
      <c r="E24" s="298">
        <f>'Ocorrências Mensais - FAT'!G41</f>
        <v>8.3333333333333329E-2</v>
      </c>
      <c r="F24" s="579">
        <v>181.63</v>
      </c>
      <c r="G24" s="300">
        <f t="shared" si="0"/>
        <v>15.135833333333332</v>
      </c>
      <c r="H24" s="307"/>
      <c r="I24" s="291"/>
      <c r="J24" s="302">
        <v>1</v>
      </c>
      <c r="K24" s="303" t="s">
        <v>446</v>
      </c>
      <c r="L24" s="304">
        <f t="shared" si="1"/>
        <v>12</v>
      </c>
    </row>
    <row r="25" spans="1:12" s="282" customFormat="1" ht="12.75">
      <c r="A25" s="295">
        <v>17</v>
      </c>
      <c r="B25" s="296" t="s">
        <v>454</v>
      </c>
      <c r="C25" s="297" t="s">
        <v>67</v>
      </c>
      <c r="D25" s="296" t="s">
        <v>113</v>
      </c>
      <c r="E25" s="298">
        <f>'Ocorrências Mensais - FAT'!G42</f>
        <v>0.16666666666666666</v>
      </c>
      <c r="F25" s="579">
        <v>10.07</v>
      </c>
      <c r="G25" s="300">
        <f t="shared" si="0"/>
        <v>1.6783333333333332</v>
      </c>
      <c r="H25" s="301"/>
      <c r="I25" s="291"/>
      <c r="J25" s="302">
        <v>1</v>
      </c>
      <c r="K25" s="303" t="s">
        <v>449</v>
      </c>
      <c r="L25" s="304">
        <f t="shared" si="1"/>
        <v>6</v>
      </c>
    </row>
    <row r="26" spans="1:12" s="282" customFormat="1" ht="25.5">
      <c r="A26" s="295">
        <v>18</v>
      </c>
      <c r="B26" s="309" t="s">
        <v>455</v>
      </c>
      <c r="C26" s="310" t="s">
        <v>115</v>
      </c>
      <c r="D26" s="296" t="s">
        <v>116</v>
      </c>
      <c r="E26" s="298">
        <f>'Ocorrências Mensais - FAT'!G43</f>
        <v>1</v>
      </c>
      <c r="F26" s="579">
        <v>14.87</v>
      </c>
      <c r="G26" s="300">
        <f t="shared" si="0"/>
        <v>14.87</v>
      </c>
      <c r="H26" s="301"/>
      <c r="I26" s="291"/>
      <c r="J26" s="302">
        <v>1</v>
      </c>
      <c r="K26" s="303" t="s">
        <v>443</v>
      </c>
      <c r="L26" s="304">
        <f t="shared" si="1"/>
        <v>1</v>
      </c>
    </row>
    <row r="27" spans="1:12" s="282" customFormat="1" ht="12.75">
      <c r="A27" s="295">
        <v>19</v>
      </c>
      <c r="B27" s="296" t="s">
        <v>117</v>
      </c>
      <c r="C27" s="297" t="s">
        <v>115</v>
      </c>
      <c r="D27" s="296" t="s">
        <v>118</v>
      </c>
      <c r="E27" s="298">
        <f>'Ocorrências Mensais - FAT'!G44</f>
        <v>8</v>
      </c>
      <c r="F27" s="579">
        <v>12.62</v>
      </c>
      <c r="G27" s="300">
        <f t="shared" si="0"/>
        <v>100.96</v>
      </c>
      <c r="H27" s="301"/>
      <c r="I27" s="291"/>
      <c r="J27" s="302">
        <v>8</v>
      </c>
      <c r="K27" s="303" t="s">
        <v>443</v>
      </c>
      <c r="L27" s="304">
        <f t="shared" si="1"/>
        <v>1</v>
      </c>
    </row>
    <row r="28" spans="1:12" s="282" customFormat="1" ht="12.75">
      <c r="A28" s="295">
        <v>20</v>
      </c>
      <c r="B28" s="296" t="s">
        <v>456</v>
      </c>
      <c r="C28" s="297" t="s">
        <v>67</v>
      </c>
      <c r="D28" s="296" t="s">
        <v>120</v>
      </c>
      <c r="E28" s="298">
        <f>'Ocorrências Mensais - FAT'!G45</f>
        <v>8</v>
      </c>
      <c r="F28" s="579">
        <v>17.190000000000001</v>
      </c>
      <c r="G28" s="300">
        <f t="shared" si="0"/>
        <v>137.52000000000001</v>
      </c>
      <c r="H28" s="307"/>
      <c r="I28" s="291"/>
      <c r="J28" s="302">
        <v>8</v>
      </c>
      <c r="K28" s="303" t="s">
        <v>443</v>
      </c>
      <c r="L28" s="304">
        <f t="shared" si="1"/>
        <v>1</v>
      </c>
    </row>
    <row r="29" spans="1:12" s="282" customFormat="1" ht="25.5">
      <c r="A29" s="295">
        <v>21</v>
      </c>
      <c r="B29" s="296" t="s">
        <v>457</v>
      </c>
      <c r="C29" s="297" t="s">
        <v>67</v>
      </c>
      <c r="D29" s="296" t="s">
        <v>122</v>
      </c>
      <c r="E29" s="298">
        <f>'Ocorrências Mensais - FAT'!G46</f>
        <v>0.16666666666666666</v>
      </c>
      <c r="F29" s="579">
        <v>16.28</v>
      </c>
      <c r="G29" s="300">
        <f t="shared" si="0"/>
        <v>2.7133333333333334</v>
      </c>
      <c r="H29" s="307"/>
      <c r="I29" s="291"/>
      <c r="J29" s="302">
        <v>1</v>
      </c>
      <c r="K29" s="303" t="s">
        <v>449</v>
      </c>
      <c r="L29" s="304">
        <f t="shared" si="1"/>
        <v>6</v>
      </c>
    </row>
    <row r="30" spans="1:12" s="282" customFormat="1" ht="12.75">
      <c r="A30" s="295">
        <v>22</v>
      </c>
      <c r="B30" s="296" t="s">
        <v>458</v>
      </c>
      <c r="C30" s="297" t="s">
        <v>103</v>
      </c>
      <c r="D30" s="296" t="s">
        <v>124</v>
      </c>
      <c r="E30" s="298">
        <f>'Ocorrências Mensais - FAT'!G47</f>
        <v>0.5</v>
      </c>
      <c r="F30" s="579">
        <v>10.28</v>
      </c>
      <c r="G30" s="300">
        <f t="shared" si="0"/>
        <v>5.14</v>
      </c>
      <c r="H30" s="301"/>
      <c r="I30" s="291"/>
      <c r="J30" s="302">
        <v>1</v>
      </c>
      <c r="K30" s="303" t="s">
        <v>451</v>
      </c>
      <c r="L30" s="304">
        <f t="shared" si="1"/>
        <v>2</v>
      </c>
    </row>
    <row r="31" spans="1:12" s="282" customFormat="1" ht="51">
      <c r="A31" s="295">
        <v>23</v>
      </c>
      <c r="B31" s="296" t="s">
        <v>459</v>
      </c>
      <c r="C31" s="297" t="s">
        <v>67</v>
      </c>
      <c r="D31" s="296" t="s">
        <v>126</v>
      </c>
      <c r="E31" s="298">
        <f>'Ocorrências Mensais - FAT'!G48</f>
        <v>1</v>
      </c>
      <c r="F31" s="579">
        <v>12.3</v>
      </c>
      <c r="G31" s="300">
        <f t="shared" si="0"/>
        <v>12.3</v>
      </c>
      <c r="H31" s="301"/>
      <c r="I31" s="291"/>
      <c r="J31" s="302">
        <v>1</v>
      </c>
      <c r="K31" s="303" t="s">
        <v>443</v>
      </c>
      <c r="L31" s="304">
        <f t="shared" si="1"/>
        <v>1</v>
      </c>
    </row>
    <row r="32" spans="1:12" s="282" customFormat="1" ht="12.75">
      <c r="A32" s="295">
        <v>24</v>
      </c>
      <c r="B32" s="296" t="s">
        <v>127</v>
      </c>
      <c r="C32" s="297" t="s">
        <v>83</v>
      </c>
      <c r="D32" s="296" t="s">
        <v>128</v>
      </c>
      <c r="E32" s="298">
        <f>'Ocorrências Mensais - FAT'!G49</f>
        <v>2</v>
      </c>
      <c r="F32" s="579">
        <v>21.94</v>
      </c>
      <c r="G32" s="300">
        <f t="shared" si="0"/>
        <v>43.88</v>
      </c>
      <c r="H32" s="301"/>
      <c r="I32" s="291"/>
      <c r="J32" s="302">
        <v>2</v>
      </c>
      <c r="K32" s="303" t="s">
        <v>443</v>
      </c>
      <c r="L32" s="304">
        <f t="shared" si="1"/>
        <v>1</v>
      </c>
    </row>
    <row r="33" spans="1:12" s="282" customFormat="1" ht="15" customHeight="1">
      <c r="A33" s="295">
        <v>25</v>
      </c>
      <c r="B33" s="296" t="s">
        <v>129</v>
      </c>
      <c r="C33" s="297" t="s">
        <v>67</v>
      </c>
      <c r="D33" s="296" t="s">
        <v>130</v>
      </c>
      <c r="E33" s="298">
        <f>'Ocorrências Mensais - FAT'!G50</f>
        <v>3</v>
      </c>
      <c r="F33" s="579">
        <v>6.35</v>
      </c>
      <c r="G33" s="300">
        <f t="shared" si="0"/>
        <v>19.049999999999997</v>
      </c>
      <c r="H33" s="301"/>
      <c r="I33" s="291"/>
      <c r="J33" s="302">
        <v>6</v>
      </c>
      <c r="K33" s="303" t="s">
        <v>451</v>
      </c>
      <c r="L33" s="304">
        <f t="shared" si="1"/>
        <v>2</v>
      </c>
    </row>
    <row r="34" spans="1:12" s="282" customFormat="1" ht="51">
      <c r="A34" s="295">
        <v>26</v>
      </c>
      <c r="B34" s="296" t="s">
        <v>460</v>
      </c>
      <c r="C34" s="297" t="s">
        <v>132</v>
      </c>
      <c r="D34" s="296" t="s">
        <v>133</v>
      </c>
      <c r="E34" s="298">
        <f>'Ocorrências Mensais - FAT'!G51</f>
        <v>1</v>
      </c>
      <c r="F34" s="579">
        <v>16.02</v>
      </c>
      <c r="G34" s="300">
        <f t="shared" si="0"/>
        <v>16.02</v>
      </c>
      <c r="H34" s="307"/>
      <c r="I34" s="291"/>
      <c r="J34" s="302">
        <v>1</v>
      </c>
      <c r="K34" s="303" t="s">
        <v>443</v>
      </c>
      <c r="L34" s="304">
        <f t="shared" si="1"/>
        <v>1</v>
      </c>
    </row>
    <row r="35" spans="1:12" s="282" customFormat="1" ht="51">
      <c r="A35" s="295">
        <v>27</v>
      </c>
      <c r="B35" s="296" t="s">
        <v>461</v>
      </c>
      <c r="C35" s="297" t="s">
        <v>132</v>
      </c>
      <c r="D35" s="296" t="s">
        <v>133</v>
      </c>
      <c r="E35" s="298">
        <f>'Ocorrências Mensais - FAT'!G52</f>
        <v>1</v>
      </c>
      <c r="F35" s="579">
        <v>44.67</v>
      </c>
      <c r="G35" s="300">
        <f t="shared" si="0"/>
        <v>44.67</v>
      </c>
      <c r="H35" s="307"/>
      <c r="I35" s="291"/>
      <c r="J35" s="302">
        <v>1</v>
      </c>
      <c r="K35" s="303" t="s">
        <v>443</v>
      </c>
      <c r="L35" s="304">
        <f t="shared" si="1"/>
        <v>1</v>
      </c>
    </row>
    <row r="36" spans="1:12" s="282" customFormat="1" ht="12.75">
      <c r="A36" s="295">
        <v>28</v>
      </c>
      <c r="B36" s="296" t="s">
        <v>135</v>
      </c>
      <c r="C36" s="297" t="s">
        <v>67</v>
      </c>
      <c r="D36" s="296" t="s">
        <v>136</v>
      </c>
      <c r="E36" s="298">
        <f>'Ocorrências Mensais - FAT'!G53</f>
        <v>0.16666666666666666</v>
      </c>
      <c r="F36" s="579">
        <v>26.36</v>
      </c>
      <c r="G36" s="300">
        <f t="shared" si="0"/>
        <v>4.3933333333333326</v>
      </c>
      <c r="H36" s="307"/>
      <c r="I36" s="291"/>
      <c r="J36" s="302">
        <v>1</v>
      </c>
      <c r="K36" s="303" t="s">
        <v>449</v>
      </c>
      <c r="L36" s="304">
        <f t="shared" si="1"/>
        <v>6</v>
      </c>
    </row>
    <row r="37" spans="1:12" s="282" customFormat="1" ht="12.75">
      <c r="A37" s="295">
        <v>29</v>
      </c>
      <c r="B37" s="296" t="s">
        <v>137</v>
      </c>
      <c r="C37" s="297" t="s">
        <v>67</v>
      </c>
      <c r="D37" s="296" t="s">
        <v>136</v>
      </c>
      <c r="E37" s="298">
        <f>'Ocorrências Mensais - FAT'!G54</f>
        <v>0.16666666666666666</v>
      </c>
      <c r="F37" s="579">
        <v>18.7</v>
      </c>
      <c r="G37" s="300">
        <f t="shared" si="0"/>
        <v>3.1166666666666663</v>
      </c>
      <c r="H37" s="307"/>
      <c r="I37" s="291"/>
      <c r="J37" s="302">
        <v>1</v>
      </c>
      <c r="K37" s="303" t="s">
        <v>449</v>
      </c>
      <c r="L37" s="304">
        <f t="shared" si="1"/>
        <v>6</v>
      </c>
    </row>
    <row r="38" spans="1:12" s="282" customFormat="1" ht="12.75">
      <c r="A38" s="295">
        <v>30</v>
      </c>
      <c r="B38" s="296" t="s">
        <v>138</v>
      </c>
      <c r="C38" s="297" t="s">
        <v>67</v>
      </c>
      <c r="D38" s="296" t="s">
        <v>136</v>
      </c>
      <c r="E38" s="298">
        <f>'Ocorrências Mensais - FAT'!G55</f>
        <v>0.16666666666666666</v>
      </c>
      <c r="F38" s="579">
        <v>8.06</v>
      </c>
      <c r="G38" s="300">
        <f t="shared" si="0"/>
        <v>1.3433333333333333</v>
      </c>
      <c r="H38" s="307"/>
      <c r="I38" s="291"/>
      <c r="J38" s="302">
        <v>1</v>
      </c>
      <c r="K38" s="303" t="s">
        <v>449</v>
      </c>
      <c r="L38" s="304">
        <f t="shared" si="1"/>
        <v>6</v>
      </c>
    </row>
    <row r="39" spans="1:12" ht="16.5" thickBot="1">
      <c r="A39" s="665" t="s">
        <v>139</v>
      </c>
      <c r="B39" s="665"/>
      <c r="C39" s="665"/>
      <c r="D39" s="665"/>
      <c r="E39" s="665"/>
      <c r="F39" s="665"/>
      <c r="G39" s="311">
        <f>SUM(G9:G38)</f>
        <v>601.31916666666655</v>
      </c>
      <c r="H39" s="312"/>
      <c r="I39" s="313"/>
      <c r="J39" s="313"/>
      <c r="K39" s="314"/>
    </row>
    <row r="40" spans="1:12">
      <c r="A40" s="316"/>
      <c r="H40" s="317"/>
    </row>
    <row r="41" spans="1:12" ht="18.75">
      <c r="A41" s="666" t="s">
        <v>462</v>
      </c>
      <c r="B41" s="666"/>
      <c r="C41" s="666"/>
      <c r="D41" s="666"/>
      <c r="E41" s="666"/>
      <c r="F41" s="666"/>
      <c r="G41" s="666"/>
      <c r="H41" s="666"/>
      <c r="I41" s="282"/>
      <c r="J41" s="282"/>
      <c r="L41" s="282"/>
    </row>
    <row r="42" spans="1:12">
      <c r="A42" s="318"/>
      <c r="B42" s="319"/>
      <c r="C42" s="319"/>
      <c r="D42" s="319"/>
      <c r="E42" s="319"/>
      <c r="F42" s="319"/>
      <c r="G42" s="319"/>
      <c r="H42" s="320"/>
      <c r="I42" s="282"/>
      <c r="J42" s="282"/>
      <c r="L42" s="282"/>
    </row>
    <row r="43" spans="1:12" ht="15" customHeight="1">
      <c r="A43" s="668" t="s">
        <v>60</v>
      </c>
      <c r="B43" s="669" t="s">
        <v>436</v>
      </c>
      <c r="C43" s="669"/>
      <c r="D43" s="669"/>
      <c r="E43" s="669" t="s">
        <v>62</v>
      </c>
      <c r="F43" s="669"/>
      <c r="G43" s="669"/>
      <c r="H43" s="671" t="s">
        <v>437</v>
      </c>
      <c r="I43" s="282"/>
      <c r="J43" s="664" t="s">
        <v>438</v>
      </c>
      <c r="K43" s="664"/>
      <c r="L43" s="664"/>
    </row>
    <row r="44" spans="1:12" ht="36">
      <c r="A44" s="668"/>
      <c r="B44" s="290" t="s">
        <v>66</v>
      </c>
      <c r="C44" s="292" t="s">
        <v>67</v>
      </c>
      <c r="D44" s="292" t="s">
        <v>463</v>
      </c>
      <c r="E44" s="292" t="s">
        <v>71</v>
      </c>
      <c r="F44" s="292" t="s">
        <v>464</v>
      </c>
      <c r="G44" s="292" t="s">
        <v>465</v>
      </c>
      <c r="H44" s="671"/>
      <c r="I44" s="282"/>
      <c r="J44" s="321" t="s">
        <v>440</v>
      </c>
      <c r="K44" s="322" t="s">
        <v>73</v>
      </c>
      <c r="L44" s="293" t="s">
        <v>441</v>
      </c>
    </row>
    <row r="45" spans="1:12">
      <c r="A45" s="323">
        <v>1</v>
      </c>
      <c r="B45" s="324" t="s">
        <v>145</v>
      </c>
      <c r="C45" s="325" t="s">
        <v>67</v>
      </c>
      <c r="D45" s="324" t="s">
        <v>146</v>
      </c>
      <c r="E45" s="298">
        <f>'Ocorrências Mensais - FAT'!G64</f>
        <v>8.3333333333333329E-2</v>
      </c>
      <c r="F45" s="580">
        <v>8.77</v>
      </c>
      <c r="G45" s="300">
        <f t="shared" ref="G45:G50" si="2">E45*F45</f>
        <v>0.73083333333333322</v>
      </c>
      <c r="H45" s="327"/>
      <c r="I45" s="282"/>
      <c r="J45" s="325">
        <v>1</v>
      </c>
      <c r="K45" s="325" t="s">
        <v>446</v>
      </c>
      <c r="L45" s="304">
        <f t="shared" ref="L45:L50" si="3">IF(K45="Semestral",6,IF(K45="Mensal",1,IF(K45="Anual",12,IF(K45="Bienal",24,IF(K45="Trimestral",3,IF(K45="Bimestral",2,IF(K45="Quadrimestral",4)))))))</f>
        <v>12</v>
      </c>
    </row>
    <row r="46" spans="1:12" ht="15" customHeight="1">
      <c r="A46" s="323">
        <v>2</v>
      </c>
      <c r="B46" s="324" t="s">
        <v>466</v>
      </c>
      <c r="C46" s="325" t="s">
        <v>67</v>
      </c>
      <c r="D46" s="324" t="s">
        <v>95</v>
      </c>
      <c r="E46" s="298">
        <f>'Ocorrências Mensais - FAT'!G65</f>
        <v>3</v>
      </c>
      <c r="F46" s="580">
        <v>2.33</v>
      </c>
      <c r="G46" s="300">
        <f t="shared" si="2"/>
        <v>6.99</v>
      </c>
      <c r="H46" s="327"/>
      <c r="I46" s="282"/>
      <c r="J46" s="325">
        <v>3</v>
      </c>
      <c r="K46" s="325" t="s">
        <v>443</v>
      </c>
      <c r="L46" s="304">
        <f t="shared" si="3"/>
        <v>1</v>
      </c>
    </row>
    <row r="47" spans="1:12" ht="51.75">
      <c r="A47" s="323">
        <v>3</v>
      </c>
      <c r="B47" s="328" t="s">
        <v>450</v>
      </c>
      <c r="C47" s="297" t="s">
        <v>67</v>
      </c>
      <c r="D47" s="329" t="s">
        <v>467</v>
      </c>
      <c r="E47" s="298">
        <f>'Ocorrências Mensais - FAT'!G66</f>
        <v>4</v>
      </c>
      <c r="F47" s="581">
        <v>1.92</v>
      </c>
      <c r="G47" s="300">
        <f t="shared" si="2"/>
        <v>7.68</v>
      </c>
      <c r="H47" s="327"/>
      <c r="I47" s="282"/>
      <c r="J47" s="297">
        <v>4</v>
      </c>
      <c r="K47" s="297" t="s">
        <v>443</v>
      </c>
      <c r="L47" s="304">
        <f t="shared" si="3"/>
        <v>1</v>
      </c>
    </row>
    <row r="48" spans="1:12">
      <c r="A48" s="323">
        <v>4</v>
      </c>
      <c r="B48" s="324" t="s">
        <v>148</v>
      </c>
      <c r="C48" s="325" t="s">
        <v>103</v>
      </c>
      <c r="D48" s="324" t="s">
        <v>149</v>
      </c>
      <c r="E48" s="298">
        <f>'Ocorrências Mensais - FAT'!G67</f>
        <v>1</v>
      </c>
      <c r="F48" s="580">
        <v>3.61</v>
      </c>
      <c r="G48" s="300">
        <f t="shared" si="2"/>
        <v>3.61</v>
      </c>
      <c r="H48" s="327"/>
      <c r="I48" s="282"/>
      <c r="J48" s="325">
        <v>1</v>
      </c>
      <c r="K48" s="325" t="s">
        <v>443</v>
      </c>
      <c r="L48" s="304">
        <f t="shared" si="3"/>
        <v>1</v>
      </c>
    </row>
    <row r="49" spans="1:12">
      <c r="A49" s="323">
        <v>5</v>
      </c>
      <c r="B49" s="324" t="s">
        <v>468</v>
      </c>
      <c r="C49" s="325" t="s">
        <v>67</v>
      </c>
      <c r="D49" s="324" t="s">
        <v>95</v>
      </c>
      <c r="E49" s="298">
        <f>'Ocorrências Mensais - FAT'!G68</f>
        <v>2</v>
      </c>
      <c r="F49" s="580">
        <v>3.58</v>
      </c>
      <c r="G49" s="300">
        <f t="shared" si="2"/>
        <v>7.16</v>
      </c>
      <c r="H49" s="327"/>
      <c r="I49" s="282"/>
      <c r="J49" s="325">
        <v>2</v>
      </c>
      <c r="K49" s="325" t="s">
        <v>443</v>
      </c>
      <c r="L49" s="304">
        <f t="shared" si="3"/>
        <v>1</v>
      </c>
    </row>
    <row r="50" spans="1:12">
      <c r="A50" s="323">
        <v>6</v>
      </c>
      <c r="B50" s="324" t="s">
        <v>469</v>
      </c>
      <c r="C50" s="325" t="s">
        <v>67</v>
      </c>
      <c r="D50" s="324" t="s">
        <v>101</v>
      </c>
      <c r="E50" s="298">
        <f>'Ocorrências Mensais - FAT'!G69</f>
        <v>2</v>
      </c>
      <c r="F50" s="580">
        <v>4.63</v>
      </c>
      <c r="G50" s="300">
        <f t="shared" si="2"/>
        <v>9.26</v>
      </c>
      <c r="H50" s="327"/>
      <c r="I50" s="282"/>
      <c r="J50" s="325">
        <v>4</v>
      </c>
      <c r="K50" s="325" t="s">
        <v>451</v>
      </c>
      <c r="L50" s="304">
        <f t="shared" si="3"/>
        <v>2</v>
      </c>
    </row>
    <row r="51" spans="1:12" ht="16.5" thickBot="1">
      <c r="A51" s="665" t="s">
        <v>139</v>
      </c>
      <c r="B51" s="665"/>
      <c r="C51" s="665"/>
      <c r="D51" s="665"/>
      <c r="E51" s="665"/>
      <c r="F51" s="665"/>
      <c r="G51" s="311">
        <f>SUM(G45:G50)</f>
        <v>35.430833333333332</v>
      </c>
      <c r="H51" s="312"/>
      <c r="I51" s="282"/>
      <c r="J51" s="282"/>
      <c r="L51" s="282"/>
    </row>
  </sheetData>
  <sheetProtection password="C494" sheet="1" objects="1" scenarios="1"/>
  <mergeCells count="15">
    <mergeCell ref="J43:L43"/>
    <mergeCell ref="A51:F51"/>
    <mergeCell ref="A41:H41"/>
    <mergeCell ref="A43:A44"/>
    <mergeCell ref="B43:D43"/>
    <mergeCell ref="E43:G43"/>
    <mergeCell ref="H43:H44"/>
    <mergeCell ref="J7:L7"/>
    <mergeCell ref="A39:F39"/>
    <mergeCell ref="A4:H4"/>
    <mergeCell ref="A5:H5"/>
    <mergeCell ref="A6:A8"/>
    <mergeCell ref="B6:D7"/>
    <mergeCell ref="E6:G7"/>
    <mergeCell ref="H6:H8"/>
  </mergeCells>
  <dataValidations count="1">
    <dataValidation type="list" allowBlank="1" showInputMessage="1" showErrorMessage="1" sqref="K45:K50 K9:K38" xr:uid="{00000000-0002-0000-0400-000000000000}">
      <formula1>"Mensal,Bimestral,Trimestral,Quadrimestral,Semestral,Anual,Bienal"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scale="4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91"/>
  </sheetPr>
  <dimension ref="A1:H17"/>
  <sheetViews>
    <sheetView showGridLines="0" zoomScaleNormal="100" workbookViewId="0">
      <selection activeCell="J19" sqref="J19"/>
    </sheetView>
  </sheetViews>
  <sheetFormatPr defaultColWidth="9" defaultRowHeight="15"/>
  <cols>
    <col min="1" max="1" width="5.5703125" style="282" customWidth="1"/>
    <col min="2" max="2" width="45.140625" style="282" customWidth="1"/>
    <col min="3" max="3" width="7.85546875" style="282" customWidth="1"/>
    <col min="4" max="7" width="13.7109375" style="282" customWidth="1"/>
    <col min="8" max="256" width="9" style="315"/>
    <col min="257" max="257" width="5.5703125" style="315" customWidth="1"/>
    <col min="258" max="258" width="45.140625" style="315" customWidth="1"/>
    <col min="259" max="259" width="6.28515625" style="315" customWidth="1"/>
    <col min="260" max="263" width="13.7109375" style="315" customWidth="1"/>
    <col min="264" max="512" width="9" style="315"/>
    <col min="513" max="513" width="5.5703125" style="315" customWidth="1"/>
    <col min="514" max="514" width="45.140625" style="315" customWidth="1"/>
    <col min="515" max="515" width="6.28515625" style="315" customWidth="1"/>
    <col min="516" max="519" width="13.7109375" style="315" customWidth="1"/>
    <col min="520" max="768" width="9" style="315"/>
    <col min="769" max="769" width="5.5703125" style="315" customWidth="1"/>
    <col min="770" max="770" width="45.140625" style="315" customWidth="1"/>
    <col min="771" max="771" width="6.28515625" style="315" customWidth="1"/>
    <col min="772" max="775" width="13.7109375" style="315" customWidth="1"/>
    <col min="776" max="16384" width="9" style="315"/>
  </cols>
  <sheetData>
    <row r="1" spans="1:7" s="282" customFormat="1" ht="11.25" customHeight="1">
      <c r="A1" s="330"/>
      <c r="B1" s="278" t="str">
        <f>INSTRUÇÕES!B1</f>
        <v>Tribunal Regional Federal da 6ª Região</v>
      </c>
      <c r="C1" s="331"/>
      <c r="D1" s="332"/>
      <c r="E1" s="332"/>
      <c r="F1" s="332"/>
      <c r="G1" s="333"/>
    </row>
    <row r="2" spans="1:7" s="282" customFormat="1" ht="11.25" customHeight="1">
      <c r="A2" s="334"/>
      <c r="B2" s="284" t="str">
        <f>INSTRUÇÕES!B2</f>
        <v>Seção Judiciária de Minas Gerais</v>
      </c>
      <c r="C2" s="335"/>
      <c r="D2" s="336"/>
      <c r="E2" s="336"/>
      <c r="F2" s="336"/>
      <c r="G2" s="337"/>
    </row>
    <row r="3" spans="1:7" s="282" customFormat="1" ht="10.5" customHeight="1">
      <c r="A3" s="338"/>
      <c r="B3" s="284" t="str">
        <f>INSTRUÇÕES!B3</f>
        <v>Subseção Judiciária de Ituiutaba</v>
      </c>
      <c r="C3" s="335"/>
      <c r="D3" s="336"/>
      <c r="E3" s="336"/>
      <c r="F3" s="336"/>
      <c r="G3" s="337"/>
    </row>
    <row r="4" spans="1:7" s="282" customFormat="1" ht="21.75" customHeight="1" thickBot="1">
      <c r="A4" s="680" t="s">
        <v>470</v>
      </c>
      <c r="B4" s="680"/>
      <c r="C4" s="680"/>
      <c r="D4" s="680"/>
      <c r="E4" s="680"/>
      <c r="F4" s="680"/>
      <c r="G4" s="680"/>
    </row>
    <row r="5" spans="1:7" s="282" customFormat="1" ht="26.25" customHeight="1">
      <c r="A5" s="681" t="s">
        <v>435</v>
      </c>
      <c r="B5" s="681"/>
      <c r="C5" s="681"/>
      <c r="D5" s="681"/>
      <c r="E5" s="681"/>
      <c r="F5" s="681"/>
      <c r="G5" s="681"/>
    </row>
    <row r="6" spans="1:7" s="282" customFormat="1" ht="15.75">
      <c r="A6" s="339"/>
      <c r="B6" s="340"/>
      <c r="C6" s="340"/>
      <c r="D6" s="340" t="s">
        <v>471</v>
      </c>
      <c r="E6" s="340"/>
      <c r="G6" s="341">
        <v>0.2</v>
      </c>
    </row>
    <row r="7" spans="1:7" s="282" customFormat="1" ht="25.5">
      <c r="A7" s="342" t="s">
        <v>472</v>
      </c>
      <c r="B7" s="343" t="s">
        <v>473</v>
      </c>
      <c r="C7" s="343" t="s">
        <v>474</v>
      </c>
      <c r="D7" s="344" t="s">
        <v>475</v>
      </c>
      <c r="E7" s="344" t="s">
        <v>476</v>
      </c>
      <c r="F7" s="344" t="s">
        <v>477</v>
      </c>
      <c r="G7" s="345" t="s">
        <v>478</v>
      </c>
    </row>
    <row r="8" spans="1:7" s="282" customFormat="1" ht="12.75">
      <c r="A8" s="682" t="s">
        <v>479</v>
      </c>
      <c r="B8" s="682"/>
      <c r="C8" s="682"/>
      <c r="D8" s="682"/>
      <c r="E8" s="682"/>
      <c r="F8" s="682"/>
      <c r="G8" s="682"/>
    </row>
    <row r="9" spans="1:7" s="282" customFormat="1" ht="12.75">
      <c r="A9" s="346">
        <v>1</v>
      </c>
      <c r="B9" s="347" t="s">
        <v>480</v>
      </c>
      <c r="C9" s="348">
        <v>1</v>
      </c>
      <c r="D9" s="582">
        <v>143.59</v>
      </c>
      <c r="E9" s="349">
        <f t="shared" ref="E9:E16" si="0">ROUND((D9*C9),2)</f>
        <v>143.59</v>
      </c>
      <c r="F9" s="349">
        <f t="shared" ref="F9:F16" si="1">ROUND(E9*$G$6,2)</f>
        <v>28.72</v>
      </c>
      <c r="G9" s="350">
        <f t="shared" ref="G9:G16" si="2">ROUND(F9/12,2)</f>
        <v>2.39</v>
      </c>
    </row>
    <row r="10" spans="1:7" s="282" customFormat="1" ht="25.5">
      <c r="A10" s="346">
        <v>2</v>
      </c>
      <c r="B10" s="351" t="s">
        <v>481</v>
      </c>
      <c r="C10" s="348">
        <v>1</v>
      </c>
      <c r="D10" s="582">
        <v>1344.96</v>
      </c>
      <c r="E10" s="349">
        <f t="shared" si="0"/>
        <v>1344.96</v>
      </c>
      <c r="F10" s="349">
        <f t="shared" si="1"/>
        <v>268.99</v>
      </c>
      <c r="G10" s="350">
        <f t="shared" si="2"/>
        <v>22.42</v>
      </c>
    </row>
    <row r="11" spans="1:7" s="282" customFormat="1" ht="12.75">
      <c r="A11" s="346">
        <v>3</v>
      </c>
      <c r="B11" s="351" t="s">
        <v>482</v>
      </c>
      <c r="C11" s="348">
        <v>1</v>
      </c>
      <c r="D11" s="582">
        <v>1181.6500000000001</v>
      </c>
      <c r="E11" s="349">
        <f t="shared" si="0"/>
        <v>1181.6500000000001</v>
      </c>
      <c r="F11" s="349">
        <f t="shared" si="1"/>
        <v>236.33</v>
      </c>
      <c r="G11" s="350">
        <f t="shared" si="2"/>
        <v>19.690000000000001</v>
      </c>
    </row>
    <row r="12" spans="1:7" s="282" customFormat="1" ht="12.75">
      <c r="A12" s="346">
        <v>4</v>
      </c>
      <c r="B12" s="347" t="s">
        <v>483</v>
      </c>
      <c r="C12" s="348">
        <v>1</v>
      </c>
      <c r="D12" s="583">
        <v>636.77</v>
      </c>
      <c r="E12" s="349">
        <f t="shared" si="0"/>
        <v>636.77</v>
      </c>
      <c r="F12" s="349">
        <f t="shared" si="1"/>
        <v>127.35</v>
      </c>
      <c r="G12" s="350">
        <f t="shared" si="2"/>
        <v>10.61</v>
      </c>
    </row>
    <row r="13" spans="1:7" s="282" customFormat="1" ht="15" customHeight="1">
      <c r="A13" s="674" t="s">
        <v>484</v>
      </c>
      <c r="B13" s="675"/>
      <c r="C13" s="675"/>
      <c r="D13" s="675"/>
      <c r="E13" s="675"/>
      <c r="F13" s="676"/>
      <c r="G13" s="352">
        <f>SUM(G9:G12)</f>
        <v>55.11</v>
      </c>
    </row>
    <row r="14" spans="1:7" s="282" customFormat="1" ht="15" customHeight="1">
      <c r="A14" s="274"/>
      <c r="B14" s="271"/>
      <c r="C14" s="271"/>
      <c r="D14" s="271"/>
      <c r="E14" s="271"/>
      <c r="F14" s="271"/>
      <c r="G14" s="353"/>
    </row>
    <row r="15" spans="1:7" s="282" customFormat="1" ht="15" customHeight="1">
      <c r="A15" s="677" t="s">
        <v>485</v>
      </c>
      <c r="B15" s="678"/>
      <c r="C15" s="678"/>
      <c r="D15" s="678"/>
      <c r="E15" s="678"/>
      <c r="F15" s="678"/>
      <c r="G15" s="679"/>
    </row>
    <row r="16" spans="1:7" s="282" customFormat="1" ht="12.75">
      <c r="A16" s="346">
        <v>1</v>
      </c>
      <c r="B16" s="354" t="s">
        <v>486</v>
      </c>
      <c r="C16" s="348">
        <v>1</v>
      </c>
      <c r="D16" s="355">
        <v>514.4</v>
      </c>
      <c r="E16" s="349">
        <f t="shared" si="0"/>
        <v>514.4</v>
      </c>
      <c r="F16" s="349">
        <f t="shared" si="1"/>
        <v>102.88</v>
      </c>
      <c r="G16" s="350">
        <f t="shared" si="2"/>
        <v>8.57</v>
      </c>
    </row>
    <row r="17" spans="1:8" s="282" customFormat="1" ht="15.75" customHeight="1" thickBot="1">
      <c r="A17" s="672" t="s">
        <v>487</v>
      </c>
      <c r="B17" s="673"/>
      <c r="C17" s="673"/>
      <c r="D17" s="673"/>
      <c r="E17" s="673"/>
      <c r="F17" s="673"/>
      <c r="G17" s="356">
        <f>SUM(G16:G16)</f>
        <v>8.57</v>
      </c>
      <c r="H17" s="357"/>
    </row>
  </sheetData>
  <sheetProtection password="C494" sheet="1" objects="1" scenarios="1"/>
  <mergeCells count="6">
    <mergeCell ref="A17:F17"/>
    <mergeCell ref="A13:F13"/>
    <mergeCell ref="A15:G15"/>
    <mergeCell ref="A4:G4"/>
    <mergeCell ref="A5:G5"/>
    <mergeCell ref="A8:G8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91"/>
  </sheetPr>
  <dimension ref="A1:R36"/>
  <sheetViews>
    <sheetView showGridLines="0" zoomScale="80" zoomScaleNormal="80" workbookViewId="0">
      <selection activeCell="V12" sqref="V12"/>
    </sheetView>
  </sheetViews>
  <sheetFormatPr defaultColWidth="9" defaultRowHeight="15"/>
  <cols>
    <col min="1" max="1" width="14.42578125" style="407" customWidth="1"/>
    <col min="2" max="2" width="7.7109375" style="437" customWidth="1"/>
    <col min="3" max="3" width="6.140625" style="371" customWidth="1"/>
    <col min="4" max="4" width="56.140625" style="366" customWidth="1"/>
    <col min="5" max="5" width="15.85546875" style="366" customWidth="1"/>
    <col min="6" max="6" width="12.42578125" style="371" customWidth="1"/>
    <col min="7" max="7" width="12.42578125" style="372" customWidth="1"/>
    <col min="8" max="8" width="10.85546875" style="438" customWidth="1"/>
    <col min="9" max="10" width="9" style="315"/>
    <col min="11" max="11" width="11.5703125" style="315" hidden="1" customWidth="1"/>
    <col min="12" max="12" width="16.42578125" style="434" hidden="1" customWidth="1"/>
    <col min="13" max="17" width="11.28515625" style="434" hidden="1" customWidth="1"/>
    <col min="18" max="18" width="11.5703125" style="315" hidden="1" customWidth="1"/>
    <col min="19" max="256" width="9" style="315"/>
    <col min="257" max="257" width="13.28515625" style="315" customWidth="1"/>
    <col min="258" max="258" width="7.7109375" style="315" customWidth="1"/>
    <col min="259" max="259" width="6.140625" style="315" customWidth="1"/>
    <col min="260" max="260" width="56.140625" style="315" customWidth="1"/>
    <col min="261" max="261" width="9.28515625" style="315" customWidth="1"/>
    <col min="262" max="263" width="12.42578125" style="315" customWidth="1"/>
    <col min="264" max="264" width="10.85546875" style="315" customWidth="1"/>
    <col min="265" max="267" width="9" style="315"/>
    <col min="268" max="268" width="11.42578125" style="315" customWidth="1"/>
    <col min="269" max="273" width="11.28515625" style="315" customWidth="1"/>
    <col min="274" max="512" width="9" style="315"/>
    <col min="513" max="513" width="13.28515625" style="315" customWidth="1"/>
    <col min="514" max="514" width="7.7109375" style="315" customWidth="1"/>
    <col min="515" max="515" width="6.140625" style="315" customWidth="1"/>
    <col min="516" max="516" width="56.140625" style="315" customWidth="1"/>
    <col min="517" max="517" width="9.28515625" style="315" customWidth="1"/>
    <col min="518" max="519" width="12.42578125" style="315" customWidth="1"/>
    <col min="520" max="520" width="10.85546875" style="315" customWidth="1"/>
    <col min="521" max="523" width="9" style="315"/>
    <col min="524" max="524" width="11.42578125" style="315" customWidth="1"/>
    <col min="525" max="529" width="11.28515625" style="315" customWidth="1"/>
    <col min="530" max="768" width="9" style="315"/>
    <col min="769" max="769" width="13.28515625" style="315" customWidth="1"/>
    <col min="770" max="770" width="7.7109375" style="315" customWidth="1"/>
    <col min="771" max="771" width="6.140625" style="315" customWidth="1"/>
    <col min="772" max="772" width="56.140625" style="315" customWidth="1"/>
    <col min="773" max="773" width="9.28515625" style="315" customWidth="1"/>
    <col min="774" max="775" width="12.42578125" style="315" customWidth="1"/>
    <col min="776" max="776" width="10.85546875" style="315" customWidth="1"/>
    <col min="777" max="779" width="9" style="315"/>
    <col min="780" max="780" width="11.42578125" style="315" customWidth="1"/>
    <col min="781" max="785" width="11.28515625" style="315" customWidth="1"/>
    <col min="786" max="16384" width="9" style="315"/>
  </cols>
  <sheetData>
    <row r="1" spans="1:18" s="366" customFormat="1" ht="12.75" customHeight="1">
      <c r="A1" s="358"/>
      <c r="B1" s="359" t="str">
        <f>INSTRUÇÕES!B1</f>
        <v>Tribunal Regional Federal da 6ª Região</v>
      </c>
      <c r="C1" s="360"/>
      <c r="D1" s="361"/>
      <c r="E1" s="362"/>
      <c r="F1" s="363"/>
      <c r="G1" s="364"/>
      <c r="H1" s="365"/>
      <c r="L1" s="687" t="s">
        <v>65</v>
      </c>
      <c r="M1" s="687"/>
      <c r="N1" s="687"/>
      <c r="O1" s="687"/>
      <c r="P1" s="687"/>
      <c r="Q1" s="687"/>
    </row>
    <row r="2" spans="1:18" s="366" customFormat="1" ht="12.75" customHeight="1">
      <c r="A2" s="367"/>
      <c r="B2" s="368" t="str">
        <f>INSTRUÇÕES!B2</f>
        <v>Seção Judiciária de Minas Gerais</v>
      </c>
      <c r="C2" s="369"/>
      <c r="D2" s="370"/>
      <c r="F2" s="371"/>
      <c r="G2" s="372"/>
      <c r="H2" s="373"/>
      <c r="L2" s="687"/>
      <c r="M2" s="687"/>
      <c r="N2" s="687"/>
      <c r="O2" s="687"/>
      <c r="P2" s="687"/>
      <c r="Q2" s="687"/>
    </row>
    <row r="3" spans="1:18" s="377" customFormat="1">
      <c r="A3" s="367"/>
      <c r="B3" s="374" t="str">
        <f>INSTRUÇÕES!B3</f>
        <v>Subseção Judiciária de Ituiutaba</v>
      </c>
      <c r="C3" s="375"/>
      <c r="D3" s="376"/>
      <c r="F3" s="378"/>
      <c r="G3" s="379"/>
      <c r="H3" s="380"/>
      <c r="L3" s="687"/>
      <c r="M3" s="687"/>
      <c r="N3" s="687"/>
      <c r="O3" s="687"/>
      <c r="P3" s="687"/>
      <c r="Q3" s="687"/>
    </row>
    <row r="4" spans="1:18" s="336" customFormat="1" ht="15.75">
      <c r="A4" s="688" t="s">
        <v>488</v>
      </c>
      <c r="B4" s="688"/>
      <c r="C4" s="688"/>
      <c r="D4" s="688"/>
      <c r="E4" s="688"/>
      <c r="F4" s="688"/>
      <c r="G4" s="688"/>
      <c r="H4" s="688"/>
      <c r="L4" s="687"/>
      <c r="M4" s="687"/>
      <c r="N4" s="687"/>
      <c r="O4" s="687"/>
      <c r="P4" s="687"/>
      <c r="Q4" s="687"/>
    </row>
    <row r="5" spans="1:18" s="366" customFormat="1" ht="27" customHeight="1">
      <c r="A5" s="689" t="s">
        <v>435</v>
      </c>
      <c r="B5" s="689"/>
      <c r="C5" s="689"/>
      <c r="D5" s="689"/>
      <c r="E5" s="689"/>
      <c r="F5" s="689"/>
      <c r="G5" s="689"/>
      <c r="H5" s="689"/>
      <c r="L5" s="690" t="s">
        <v>75</v>
      </c>
      <c r="M5" s="600" t="s">
        <v>76</v>
      </c>
      <c r="N5" s="600" t="s">
        <v>77</v>
      </c>
      <c r="O5" s="600" t="s">
        <v>78</v>
      </c>
      <c r="P5" s="600" t="s">
        <v>79</v>
      </c>
      <c r="Q5" s="600" t="s">
        <v>80</v>
      </c>
    </row>
    <row r="6" spans="1:18" s="366" customFormat="1" ht="15.75" customHeight="1">
      <c r="A6" s="691" t="s">
        <v>489</v>
      </c>
      <c r="B6" s="691"/>
      <c r="C6" s="691"/>
      <c r="D6" s="691"/>
      <c r="E6" s="691"/>
      <c r="F6" s="691"/>
      <c r="G6" s="691"/>
      <c r="H6" s="691"/>
      <c r="J6" s="377"/>
      <c r="L6" s="690"/>
      <c r="M6" s="600"/>
      <c r="N6" s="600"/>
      <c r="O6" s="600"/>
      <c r="P6" s="600"/>
      <c r="Q6" s="600"/>
    </row>
    <row r="7" spans="1:18" s="366" customFormat="1" ht="15.75" customHeight="1">
      <c r="A7" s="382"/>
      <c r="B7" s="383"/>
      <c r="C7" s="384"/>
      <c r="D7" s="383"/>
      <c r="E7" s="383"/>
      <c r="F7" s="384"/>
      <c r="G7" s="385"/>
      <c r="H7" s="386"/>
      <c r="J7" s="377"/>
      <c r="L7" s="690"/>
      <c r="M7" s="600"/>
      <c r="N7" s="600"/>
      <c r="O7" s="600"/>
      <c r="P7" s="600"/>
      <c r="Q7" s="600"/>
    </row>
    <row r="8" spans="1:18" s="366" customFormat="1" ht="27">
      <c r="A8" s="387" t="s">
        <v>490</v>
      </c>
      <c r="B8" s="388" t="s">
        <v>60</v>
      </c>
      <c r="C8" s="577" t="s">
        <v>491</v>
      </c>
      <c r="D8" s="388" t="s">
        <v>492</v>
      </c>
      <c r="E8" s="388" t="s">
        <v>493</v>
      </c>
      <c r="F8" s="389" t="s">
        <v>494</v>
      </c>
      <c r="G8" s="390" t="s">
        <v>464</v>
      </c>
      <c r="H8" s="391" t="s">
        <v>263</v>
      </c>
      <c r="J8" s="377"/>
      <c r="K8" s="377"/>
      <c r="L8" s="690"/>
      <c r="M8" s="600"/>
      <c r="N8" s="600"/>
      <c r="O8" s="600"/>
      <c r="P8" s="600"/>
      <c r="Q8" s="600"/>
      <c r="R8" s="392" t="s">
        <v>81</v>
      </c>
    </row>
    <row r="9" spans="1:18" s="377" customFormat="1" ht="25.5" customHeight="1">
      <c r="A9" s="683" t="s">
        <v>495</v>
      </c>
      <c r="B9" s="394" t="s">
        <v>496</v>
      </c>
      <c r="C9" s="578">
        <v>2</v>
      </c>
      <c r="D9" s="395" t="s">
        <v>497</v>
      </c>
      <c r="E9" s="396" t="s">
        <v>498</v>
      </c>
      <c r="F9" s="397">
        <f>C9*$A$13</f>
        <v>4</v>
      </c>
      <c r="G9" s="584">
        <v>61.97</v>
      </c>
      <c r="H9" s="350">
        <f t="shared" ref="H9:H13" si="0">ROUND(F9*G9,2)</f>
        <v>247.88</v>
      </c>
      <c r="L9" s="398">
        <v>61.59</v>
      </c>
      <c r="M9" s="399">
        <f>ROUND(IF(Dados!$I$60="SIM",L9*Dados!$N$60,L9),2)</f>
        <v>61.59</v>
      </c>
      <c r="N9" s="399">
        <f>ROUND(IF(Dados!$I$61="SIM",M9*Dados!$N$61,M9),2)</f>
        <v>61.59</v>
      </c>
      <c r="O9" s="399">
        <f>ROUND(IF(Dados!$I$62="SIM",N9*Dados!$N$62,N9),2)</f>
        <v>61.59</v>
      </c>
      <c r="P9" s="399">
        <f>ROUND(IF(Dados!$I$63="SIM",O9*Dados!$N$63,O9),2)</f>
        <v>61.59</v>
      </c>
      <c r="Q9" s="399">
        <f>ROUND(IF(Dados!$I$64="SIM",P9*Dados!$N$64,P9),2)</f>
        <v>61.59</v>
      </c>
      <c r="R9" s="400">
        <f>IF(Dados!$D$67="INICIAL",L9,IF(Dados!$D$67="1º IPCA",M9,IF(Dados!$D$67="2º IPCA",N9,IF(Dados!$D$67="3º IPCA",O9,IF(Dados!$D$67="4º IPCA",P9,IF(Dados!$D$67="5º IPCA",Q9,))))))</f>
        <v>61.59</v>
      </c>
    </row>
    <row r="10" spans="1:18" s="377" customFormat="1" ht="25.5">
      <c r="A10" s="683"/>
      <c r="B10" s="394" t="s">
        <v>499</v>
      </c>
      <c r="C10" s="578">
        <v>3</v>
      </c>
      <c r="D10" s="395" t="s">
        <v>500</v>
      </c>
      <c r="E10" s="401" t="s">
        <v>501</v>
      </c>
      <c r="F10" s="397">
        <f>C10*$A$13</f>
        <v>6</v>
      </c>
      <c r="G10" s="584">
        <v>18.43</v>
      </c>
      <c r="H10" s="350">
        <f t="shared" si="0"/>
        <v>110.58</v>
      </c>
      <c r="L10" s="398">
        <v>95.82</v>
      </c>
      <c r="M10" s="399">
        <f>ROUND(IF(Dados!$I$60="SIM",L10*Dados!$N$60,L10),2)</f>
        <v>95.82</v>
      </c>
      <c r="N10" s="399">
        <f>ROUND(IF(Dados!$I$61="SIM",M10*Dados!$N$61,M10),2)</f>
        <v>95.82</v>
      </c>
      <c r="O10" s="399">
        <f>ROUND(IF(Dados!$I$62="SIM",N10*Dados!$N$62,N10),2)</f>
        <v>95.82</v>
      </c>
      <c r="P10" s="399">
        <f>ROUND(IF(Dados!$I$63="SIM",O10*Dados!$N$63,O10),2)</f>
        <v>95.82</v>
      </c>
      <c r="Q10" s="399">
        <f>ROUND(IF(Dados!$I$64="SIM",P10*Dados!$N$64,P10),2)</f>
        <v>95.82</v>
      </c>
      <c r="R10" s="400">
        <f>IF(Dados!$D$67="INICIAL",L10,IF(Dados!$D$67="1º IPCA",M10,IF(Dados!$D$67="2º IPCA",N10,IF(Dados!$D$67="3º IPCA",O10,IF(Dados!$D$67="4º IPCA",P10,IF(Dados!$D$67="5º IPCA",Q10,))))))</f>
        <v>95.82</v>
      </c>
    </row>
    <row r="11" spans="1:18" s="377" customFormat="1" ht="25.5">
      <c r="A11" s="683"/>
      <c r="B11" s="394" t="s">
        <v>502</v>
      </c>
      <c r="C11" s="578">
        <v>1</v>
      </c>
      <c r="D11" s="402" t="s">
        <v>503</v>
      </c>
      <c r="E11" s="403" t="s">
        <v>504</v>
      </c>
      <c r="F11" s="397">
        <f t="shared" ref="F11" si="1">C11*$A$13</f>
        <v>2</v>
      </c>
      <c r="G11" s="584">
        <v>39.799999999999997</v>
      </c>
      <c r="H11" s="350">
        <f t="shared" si="0"/>
        <v>79.599999999999994</v>
      </c>
      <c r="L11" s="398"/>
      <c r="M11" s="399"/>
      <c r="N11" s="399"/>
      <c r="O11" s="399"/>
      <c r="P11" s="399"/>
      <c r="Q11" s="399"/>
      <c r="R11" s="400"/>
    </row>
    <row r="12" spans="1:18" s="377" customFormat="1" ht="25.5">
      <c r="A12" s="393" t="s">
        <v>505</v>
      </c>
      <c r="B12" s="394" t="s">
        <v>506</v>
      </c>
      <c r="C12" s="578">
        <v>1</v>
      </c>
      <c r="D12" s="402" t="s">
        <v>507</v>
      </c>
      <c r="E12" s="403" t="s">
        <v>504</v>
      </c>
      <c r="F12" s="397">
        <f>C12*$A$13</f>
        <v>2</v>
      </c>
      <c r="G12" s="584">
        <v>23.26</v>
      </c>
      <c r="H12" s="350">
        <f t="shared" si="0"/>
        <v>46.52</v>
      </c>
      <c r="L12" s="398">
        <v>50.53</v>
      </c>
      <c r="M12" s="399">
        <f>ROUND(IF(Dados!$I$60="SIM",L12*Dados!$N$60,L12),2)</f>
        <v>50.53</v>
      </c>
      <c r="N12" s="399">
        <f>ROUND(IF(Dados!$I$61="SIM",M12*Dados!$N$61,M12),2)</f>
        <v>50.53</v>
      </c>
      <c r="O12" s="399">
        <f>ROUND(IF(Dados!$I$62="SIM",N12*Dados!$N$62,N12),2)</f>
        <v>50.53</v>
      </c>
      <c r="P12" s="399">
        <f>ROUND(IF(Dados!$I$63="SIM",O12*Dados!$N$63,O12),2)</f>
        <v>50.53</v>
      </c>
      <c r="Q12" s="399">
        <f>ROUND(IF(Dados!$I$64="SIM",P12*Dados!$N$64,P12),2)</f>
        <v>50.53</v>
      </c>
      <c r="R12" s="400">
        <f>IF(Dados!$D$67="INICIAL",L12,IF(Dados!$D$67="1º IPCA",M12,IF(Dados!$D$67="2º IPCA",N12,IF(Dados!$D$67="3º IPCA",O12,IF(Dados!$D$67="4º IPCA",P12,IF(Dados!$D$67="5º IPCA",Q12,))))))</f>
        <v>50.53</v>
      </c>
    </row>
    <row r="13" spans="1:18" s="377" customFormat="1" ht="25.5">
      <c r="A13" s="404">
        <f>Dados!B8+Dados!B9</f>
        <v>2</v>
      </c>
      <c r="B13" s="405" t="s">
        <v>508</v>
      </c>
      <c r="C13" s="578">
        <v>1</v>
      </c>
      <c r="D13" s="402" t="s">
        <v>509</v>
      </c>
      <c r="E13" s="403" t="s">
        <v>510</v>
      </c>
      <c r="F13" s="397">
        <f>C13*$A$13</f>
        <v>2</v>
      </c>
      <c r="G13" s="584">
        <v>40.81</v>
      </c>
      <c r="H13" s="350">
        <f t="shared" si="0"/>
        <v>81.62</v>
      </c>
      <c r="L13" s="398">
        <v>50.85</v>
      </c>
      <c r="M13" s="399">
        <f>ROUND(IF(Dados!$I$60="SIM",L13*Dados!$N$60,L13),2)</f>
        <v>50.85</v>
      </c>
      <c r="N13" s="399">
        <f>ROUND(IF(Dados!$I$61="SIM",M13*Dados!$N$61,M13),2)</f>
        <v>50.85</v>
      </c>
      <c r="O13" s="399">
        <f>ROUND(IF(Dados!$I$62="SIM",N13*Dados!$N$62,N13),2)</f>
        <v>50.85</v>
      </c>
      <c r="P13" s="399">
        <f>ROUND(IF(Dados!$I$63="SIM",O13*Dados!$N$63,O13),2)</f>
        <v>50.85</v>
      </c>
      <c r="Q13" s="399">
        <f>ROUND(IF(Dados!$I$64="SIM",P13*Dados!$N$64,P13),2)</f>
        <v>50.85</v>
      </c>
      <c r="R13" s="400">
        <f>IF(Dados!$D$67="INICIAL",L13,IF(Dados!$D$67="1º IPCA",M13,IF(Dados!$D$67="2º IPCA",N13,IF(Dados!$D$67="3º IPCA",O13,IF(Dados!$D$67="4º IPCA",P13,IF(Dados!$D$67="5º IPCA",Q13,))))))</f>
        <v>50.85</v>
      </c>
    </row>
    <row r="14" spans="1:18" s="377" customFormat="1">
      <c r="A14" s="684" t="s">
        <v>511</v>
      </c>
      <c r="B14" s="684"/>
      <c r="C14" s="684"/>
      <c r="D14" s="684"/>
      <c r="E14" s="684"/>
      <c r="F14" s="684"/>
      <c r="G14" s="684"/>
      <c r="H14" s="406">
        <f>SUM(H9:H13)</f>
        <v>566.19999999999993</v>
      </c>
      <c r="L14" s="407"/>
      <c r="M14" s="407"/>
      <c r="N14" s="407"/>
      <c r="O14" s="407"/>
      <c r="P14" s="407"/>
      <c r="Q14" s="407"/>
    </row>
    <row r="15" spans="1:18" s="377" customFormat="1" ht="15.75">
      <c r="A15" s="685" t="s">
        <v>512</v>
      </c>
      <c r="B15" s="685"/>
      <c r="C15" s="685"/>
      <c r="D15" s="685"/>
      <c r="E15" s="685"/>
      <c r="F15" s="685"/>
      <c r="G15" s="408"/>
      <c r="H15" s="409">
        <f>ROUND(H14/$A$13/12,2)</f>
        <v>23.59</v>
      </c>
      <c r="L15" s="407"/>
      <c r="M15" s="407"/>
      <c r="N15" s="407"/>
      <c r="O15" s="407"/>
      <c r="P15" s="407"/>
      <c r="Q15" s="407"/>
    </row>
    <row r="16" spans="1:18" s="377" customFormat="1">
      <c r="A16" s="410"/>
      <c r="B16" s="411"/>
      <c r="C16" s="412"/>
      <c r="D16" s="413"/>
      <c r="E16" s="413"/>
      <c r="F16" s="412"/>
      <c r="G16" s="414"/>
      <c r="H16" s="415"/>
      <c r="L16" s="407"/>
      <c r="M16" s="407"/>
      <c r="N16" s="407"/>
      <c r="O16" s="407"/>
      <c r="P16" s="407"/>
      <c r="Q16" s="407"/>
    </row>
    <row r="17" spans="1:18" s="377" customFormat="1" ht="63.75">
      <c r="A17" s="387" t="s">
        <v>490</v>
      </c>
      <c r="B17" s="388" t="s">
        <v>60</v>
      </c>
      <c r="C17" s="577" t="s">
        <v>491</v>
      </c>
      <c r="D17" s="388" t="s">
        <v>492</v>
      </c>
      <c r="E17" s="388" t="s">
        <v>493</v>
      </c>
      <c r="F17" s="389" t="s">
        <v>494</v>
      </c>
      <c r="G17" s="390" t="s">
        <v>464</v>
      </c>
      <c r="H17" s="391" t="s">
        <v>263</v>
      </c>
      <c r="L17" s="416" t="s">
        <v>75</v>
      </c>
      <c r="M17" s="417" t="s">
        <v>76</v>
      </c>
      <c r="N17" s="417" t="s">
        <v>77</v>
      </c>
      <c r="O17" s="417" t="s">
        <v>78</v>
      </c>
      <c r="P17" s="417" t="s">
        <v>79</v>
      </c>
      <c r="Q17" s="417" t="s">
        <v>80</v>
      </c>
    </row>
    <row r="18" spans="1:18" s="377" customFormat="1" ht="30" customHeight="1">
      <c r="A18" s="418" t="s">
        <v>513</v>
      </c>
      <c r="B18" s="419" t="s">
        <v>496</v>
      </c>
      <c r="C18" s="578">
        <v>2</v>
      </c>
      <c r="D18" s="420" t="s">
        <v>514</v>
      </c>
      <c r="E18" s="401" t="s">
        <v>515</v>
      </c>
      <c r="F18" s="421">
        <f>C18*$A$20</f>
        <v>6</v>
      </c>
      <c r="G18" s="585">
        <v>58.92</v>
      </c>
      <c r="H18" s="350">
        <f>ROUND(F18*G18,2)</f>
        <v>353.52</v>
      </c>
      <c r="L18" s="416"/>
      <c r="M18" s="417"/>
      <c r="N18" s="417"/>
      <c r="O18" s="417"/>
      <c r="P18" s="417"/>
      <c r="Q18" s="417"/>
    </row>
    <row r="19" spans="1:18" s="377" customFormat="1" ht="38.25" customHeight="1">
      <c r="A19" s="422" t="s">
        <v>505</v>
      </c>
      <c r="B19" s="394" t="s">
        <v>499</v>
      </c>
      <c r="C19" s="578">
        <v>3</v>
      </c>
      <c r="D19" s="395" t="s">
        <v>516</v>
      </c>
      <c r="E19" s="401" t="s">
        <v>517</v>
      </c>
      <c r="F19" s="423">
        <f>C19*$A$20</f>
        <v>9</v>
      </c>
      <c r="G19" s="584">
        <v>65.83</v>
      </c>
      <c r="H19" s="350">
        <f>ROUND(F19*G19,2)</f>
        <v>592.47</v>
      </c>
      <c r="L19" s="398">
        <v>22.76</v>
      </c>
      <c r="M19" s="399">
        <f>ROUND(IF(Dados!$I$60="SIM",L19*Dados!$N$60,L19),2)</f>
        <v>22.76</v>
      </c>
      <c r="N19" s="399">
        <f>ROUND(IF(Dados!$I$61="SIM",M19*Dados!$N$61,M19),2)</f>
        <v>22.76</v>
      </c>
      <c r="O19" s="399">
        <f>ROUND(IF(Dados!$I$62="SIM",N19*Dados!$N$62,N19),2)</f>
        <v>22.76</v>
      </c>
      <c r="P19" s="399">
        <f>ROUND(IF(Dados!$I$63="SIM",O19*Dados!$N$63,O19),2)</f>
        <v>22.76</v>
      </c>
      <c r="Q19" s="399">
        <f>ROUND(IF(Dados!$I$64="SIM",P19*Dados!$N$64,P19),2)</f>
        <v>22.76</v>
      </c>
      <c r="R19" s="400">
        <f>IF(Dados!$D$67="INICIAL",L19,IF(Dados!$D$67="1º IPCA",M19,IF(Dados!$D$67="2º IPCA",N19,IF(Dados!$D$67="3º IPCA",O19,IF(Dados!$D$67="4º IPCA",P19,IF(Dados!$D$67="5º IPCA",Q19,))))))</f>
        <v>22.76</v>
      </c>
    </row>
    <row r="20" spans="1:18" s="377" customFormat="1" ht="23.25">
      <c r="A20" s="424">
        <f>Dados!B7</f>
        <v>3</v>
      </c>
      <c r="B20" s="394" t="s">
        <v>502</v>
      </c>
      <c r="C20" s="578">
        <v>1</v>
      </c>
      <c r="D20" s="402" t="s">
        <v>518</v>
      </c>
      <c r="E20" s="401" t="s">
        <v>510</v>
      </c>
      <c r="F20" s="423">
        <f>C20*$A$20</f>
        <v>3</v>
      </c>
      <c r="G20" s="584">
        <v>93.97</v>
      </c>
      <c r="H20" s="350">
        <f>ROUND(F20*G20,2)</f>
        <v>281.91000000000003</v>
      </c>
      <c r="L20" s="398">
        <v>16.41</v>
      </c>
      <c r="M20" s="399">
        <f>ROUND(IF(Dados!$I$60="SIM",L20*Dados!$N$60,L20),2)</f>
        <v>16.41</v>
      </c>
      <c r="N20" s="399">
        <f>ROUND(IF(Dados!$I$61="SIM",M20*Dados!$N$61,M20),2)</f>
        <v>16.41</v>
      </c>
      <c r="O20" s="399">
        <f>ROUND(IF(Dados!$I$62="SIM",N20*Dados!$N$62,N20),2)</f>
        <v>16.41</v>
      </c>
      <c r="P20" s="399">
        <f>ROUND(IF(Dados!$I$63="SIM",O20*Dados!$N$63,O20),2)</f>
        <v>16.41</v>
      </c>
      <c r="Q20" s="399">
        <f>ROUND(IF(Dados!$I$64="SIM",P20*Dados!$N$64,P20),2)</f>
        <v>16.41</v>
      </c>
      <c r="R20" s="400">
        <f>IF(Dados!$D$67="INICIAL",L20,IF(Dados!$D$67="1º IPCA",M20,IF(Dados!$D$67="2º IPCA",N20,IF(Dados!$D$67="3º IPCA",O20,IF(Dados!$D$67="4º IPCA",P20,IF(Dados!$D$67="5º IPCA",Q20,))))))</f>
        <v>16.41</v>
      </c>
    </row>
    <row r="21" spans="1:18" s="377" customFormat="1" ht="36" customHeight="1" thickBot="1">
      <c r="A21" s="686" t="s">
        <v>511</v>
      </c>
      <c r="B21" s="686"/>
      <c r="C21" s="686"/>
      <c r="D21" s="686"/>
      <c r="E21" s="686"/>
      <c r="F21" s="686"/>
      <c r="G21" s="686"/>
      <c r="H21" s="425">
        <f>SUM(H17:H20)</f>
        <v>1227.9000000000001</v>
      </c>
      <c r="L21" s="407"/>
      <c r="M21" s="407"/>
      <c r="N21" s="407"/>
      <c r="O21" s="407"/>
      <c r="P21" s="407"/>
      <c r="Q21" s="407"/>
    </row>
    <row r="22" spans="1:18" s="377" customFormat="1" ht="15.75">
      <c r="A22" s="685" t="s">
        <v>519</v>
      </c>
      <c r="B22" s="685"/>
      <c r="C22" s="685"/>
      <c r="D22" s="685"/>
      <c r="E22" s="685"/>
      <c r="F22" s="685"/>
      <c r="G22" s="408"/>
      <c r="H22" s="409">
        <f>ROUND(H21/$A$20/12,2)</f>
        <v>34.11</v>
      </c>
      <c r="L22" s="407"/>
      <c r="M22" s="407"/>
      <c r="N22" s="407"/>
      <c r="O22" s="407"/>
      <c r="P22" s="407"/>
      <c r="Q22" s="407"/>
    </row>
    <row r="23" spans="1:18" s="377" customFormat="1" ht="15.75">
      <c r="A23" s="339"/>
      <c r="B23" s="426"/>
      <c r="C23" s="427"/>
      <c r="D23" s="426"/>
      <c r="E23" s="426"/>
      <c r="F23" s="427"/>
      <c r="G23" s="428"/>
      <c r="H23" s="429"/>
      <c r="L23" s="407"/>
      <c r="M23" s="407"/>
      <c r="N23" s="407"/>
      <c r="O23" s="407"/>
      <c r="P23" s="407"/>
      <c r="Q23" s="407"/>
    </row>
    <row r="24" spans="1:18" s="377" customFormat="1" ht="63.75">
      <c r="A24" s="387" t="s">
        <v>490</v>
      </c>
      <c r="B24" s="388" t="s">
        <v>60</v>
      </c>
      <c r="C24" s="577" t="s">
        <v>491</v>
      </c>
      <c r="D24" s="430" t="s">
        <v>492</v>
      </c>
      <c r="E24" s="388" t="s">
        <v>493</v>
      </c>
      <c r="F24" s="389" t="s">
        <v>494</v>
      </c>
      <c r="G24" s="431" t="s">
        <v>464</v>
      </c>
      <c r="H24" s="391" t="s">
        <v>263</v>
      </c>
      <c r="L24" s="416" t="s">
        <v>75</v>
      </c>
      <c r="M24" s="417" t="s">
        <v>76</v>
      </c>
      <c r="N24" s="417" t="s">
        <v>77</v>
      </c>
      <c r="O24" s="417" t="s">
        <v>78</v>
      </c>
      <c r="P24" s="417" t="s">
        <v>79</v>
      </c>
      <c r="Q24" s="417" t="s">
        <v>80</v>
      </c>
    </row>
    <row r="25" spans="1:18" s="377" customFormat="1" ht="38.25" customHeight="1">
      <c r="A25" s="418" t="s">
        <v>260</v>
      </c>
      <c r="B25" s="394" t="s">
        <v>496</v>
      </c>
      <c r="C25" s="578">
        <v>2</v>
      </c>
      <c r="D25" s="395" t="s">
        <v>520</v>
      </c>
      <c r="E25" s="401" t="s">
        <v>521</v>
      </c>
      <c r="F25" s="397">
        <f>C25*$A$27</f>
        <v>2</v>
      </c>
      <c r="G25" s="584">
        <v>58.92</v>
      </c>
      <c r="H25" s="350">
        <f>ROUND(F25*G25,2)</f>
        <v>117.84</v>
      </c>
      <c r="L25" s="398">
        <v>77.72</v>
      </c>
      <c r="M25" s="399">
        <f>ROUND(IF(Dados!$I$60="SIM",L25*Dados!$N$60,L25),2)</f>
        <v>77.72</v>
      </c>
      <c r="N25" s="399">
        <f>ROUND(IF(Dados!$I$61="SIM",M25*Dados!$N$61,M25),2)</f>
        <v>77.72</v>
      </c>
      <c r="O25" s="399">
        <f>ROUND(IF(Dados!$I$62="SIM",N25*Dados!$N$62,N25),2)</f>
        <v>77.72</v>
      </c>
      <c r="P25" s="399">
        <f>ROUND(IF(Dados!$I$63="SIM",O25*Dados!$N$63,O25),2)</f>
        <v>77.72</v>
      </c>
      <c r="Q25" s="399">
        <f>ROUND(IF(Dados!$I$64="SIM",P25*Dados!$N$64,P25),2)</f>
        <v>77.72</v>
      </c>
      <c r="R25" s="400">
        <f>IF(Dados!$D$67="INICIAL",L25,IF(Dados!$D$67="1º IPCA",M25,IF(Dados!$D$67="2º IPCA",N25,IF(Dados!$D$67="3º IPCA",O25,IF(Dados!$D$67="4º IPCA",P25,IF(Dados!$D$67="5º IPCA",Q25,))))))</f>
        <v>77.72</v>
      </c>
    </row>
    <row r="26" spans="1:18" s="377" customFormat="1" ht="25.5">
      <c r="A26" s="393" t="s">
        <v>505</v>
      </c>
      <c r="B26" s="394" t="s">
        <v>499</v>
      </c>
      <c r="C26" s="578">
        <v>3</v>
      </c>
      <c r="D26" s="395" t="s">
        <v>522</v>
      </c>
      <c r="E26" s="401" t="s">
        <v>523</v>
      </c>
      <c r="F26" s="397">
        <f>C26*$A$27</f>
        <v>3</v>
      </c>
      <c r="G26" s="584">
        <v>56.22</v>
      </c>
      <c r="H26" s="350">
        <f>ROUND(F26*G26,2)</f>
        <v>168.66</v>
      </c>
      <c r="L26" s="398"/>
      <c r="M26" s="399"/>
      <c r="N26" s="399"/>
      <c r="O26" s="399"/>
      <c r="P26" s="399"/>
      <c r="Q26" s="399"/>
      <c r="R26" s="400"/>
    </row>
    <row r="27" spans="1:18" s="377" customFormat="1" ht="36">
      <c r="A27" s="432">
        <f>Dados!B10</f>
        <v>1</v>
      </c>
      <c r="B27" s="394" t="s">
        <v>502</v>
      </c>
      <c r="C27" s="578">
        <v>1</v>
      </c>
      <c r="D27" s="402" t="s">
        <v>503</v>
      </c>
      <c r="E27" s="401" t="s">
        <v>524</v>
      </c>
      <c r="F27" s="397">
        <f>C27*$A$27</f>
        <v>1</v>
      </c>
      <c r="G27" s="584">
        <v>39.799999999999997</v>
      </c>
      <c r="H27" s="350">
        <f>ROUND(F27*G27,2)</f>
        <v>39.799999999999997</v>
      </c>
      <c r="L27" s="398">
        <v>50.53</v>
      </c>
      <c r="M27" s="399">
        <f>ROUND(IF(Dados!$I$60="SIM",L27*Dados!$N$60,L27),2)</f>
        <v>50.53</v>
      </c>
      <c r="N27" s="399">
        <f>ROUND(IF(Dados!$I$61="SIM",M27*Dados!$N$61,M27),2)</f>
        <v>50.53</v>
      </c>
      <c r="O27" s="399">
        <f>ROUND(IF(Dados!$I$62="SIM",N27*Dados!$N$62,N27),2)</f>
        <v>50.53</v>
      </c>
      <c r="P27" s="399">
        <f>ROUND(IF(Dados!$I$63="SIM",O27*Dados!$N$63,O27),2)</f>
        <v>50.53</v>
      </c>
      <c r="Q27" s="399">
        <f>ROUND(IF(Dados!$I$64="SIM",P27*Dados!$N$64,P27),2)</f>
        <v>50.53</v>
      </c>
      <c r="R27" s="400">
        <f>IF(Dados!$D$67="INICIAL",L27,IF(Dados!$D$67="1º IPCA",M27,IF(Dados!$D$67="2º IPCA",N27,IF(Dados!$D$67="3º IPCA",O27,IF(Dados!$D$67="4º IPCA",P27,IF(Dados!$D$67="5º IPCA",Q27,))))))</f>
        <v>50.53</v>
      </c>
    </row>
    <row r="28" spans="1:18" s="377" customFormat="1" ht="36" customHeight="1" thickBot="1">
      <c r="A28" s="692" t="s">
        <v>511</v>
      </c>
      <c r="B28" s="692"/>
      <c r="C28" s="692"/>
      <c r="D28" s="692"/>
      <c r="E28" s="692"/>
      <c r="F28" s="692"/>
      <c r="G28" s="692"/>
      <c r="H28" s="433">
        <f>SUM(H25:H27)</f>
        <v>326.3</v>
      </c>
      <c r="L28" s="407"/>
      <c r="M28" s="407"/>
      <c r="N28" s="407"/>
      <c r="O28" s="407"/>
      <c r="P28" s="407"/>
      <c r="Q28" s="407"/>
    </row>
    <row r="29" spans="1:18" s="377" customFormat="1" ht="15.75">
      <c r="A29" s="685" t="s">
        <v>525</v>
      </c>
      <c r="B29" s="685"/>
      <c r="C29" s="685"/>
      <c r="D29" s="685"/>
      <c r="E29" s="685"/>
      <c r="F29" s="685"/>
      <c r="G29" s="408"/>
      <c r="H29" s="409">
        <f>ROUND(H28/A27/12,2)</f>
        <v>27.19</v>
      </c>
      <c r="L29" s="407"/>
      <c r="M29" s="407"/>
      <c r="N29" s="407"/>
      <c r="O29" s="407"/>
      <c r="P29" s="407"/>
      <c r="Q29" s="407"/>
    </row>
    <row r="30" spans="1:18" ht="15.75">
      <c r="A30" s="339"/>
      <c r="B30" s="426"/>
      <c r="C30" s="427"/>
      <c r="D30" s="426"/>
      <c r="E30" s="426"/>
      <c r="F30" s="427"/>
      <c r="G30" s="428"/>
      <c r="H30" s="429"/>
    </row>
    <row r="31" spans="1:18" ht="27">
      <c r="A31" s="387" t="s">
        <v>490</v>
      </c>
      <c r="B31" s="388" t="s">
        <v>60</v>
      </c>
      <c r="C31" s="577" t="s">
        <v>491</v>
      </c>
      <c r="D31" s="430" t="s">
        <v>492</v>
      </c>
      <c r="E31" s="430" t="s">
        <v>493</v>
      </c>
      <c r="F31" s="435" t="s">
        <v>494</v>
      </c>
      <c r="G31" s="431" t="s">
        <v>464</v>
      </c>
      <c r="H31" s="391" t="s">
        <v>263</v>
      </c>
    </row>
    <row r="32" spans="1:18" ht="48.75" customHeight="1">
      <c r="A32" s="418" t="s">
        <v>526</v>
      </c>
      <c r="B32" s="394" t="s">
        <v>527</v>
      </c>
      <c r="C32" s="436">
        <v>1</v>
      </c>
      <c r="D32" s="395" t="s">
        <v>528</v>
      </c>
      <c r="E32" s="395" t="s">
        <v>529</v>
      </c>
      <c r="F32" s="397">
        <f>C32*$A$34</f>
        <v>1</v>
      </c>
      <c r="G32" s="584">
        <v>52.67</v>
      </c>
      <c r="H32" s="350">
        <f>ROUND(F32*G32,2)</f>
        <v>52.67</v>
      </c>
    </row>
    <row r="33" spans="1:8" ht="39" customHeight="1">
      <c r="A33" s="393" t="s">
        <v>505</v>
      </c>
      <c r="B33" s="394" t="s">
        <v>530</v>
      </c>
      <c r="C33" s="436">
        <v>1</v>
      </c>
      <c r="D33" s="402" t="s">
        <v>531</v>
      </c>
      <c r="E33" s="402" t="s">
        <v>529</v>
      </c>
      <c r="F33" s="397">
        <f t="shared" ref="F33:F34" si="2">C33*$A$34</f>
        <v>1</v>
      </c>
      <c r="G33" s="584">
        <v>23</v>
      </c>
      <c r="H33" s="350">
        <f>ROUND(F33*G33,2)</f>
        <v>23</v>
      </c>
    </row>
    <row r="34" spans="1:8" ht="36">
      <c r="A34" s="432">
        <f>Dados!B8</f>
        <v>1</v>
      </c>
      <c r="B34" s="394" t="s">
        <v>532</v>
      </c>
      <c r="C34" s="436">
        <v>1</v>
      </c>
      <c r="D34" s="395" t="s">
        <v>533</v>
      </c>
      <c r="E34" s="395" t="s">
        <v>534</v>
      </c>
      <c r="F34" s="397">
        <f t="shared" si="2"/>
        <v>1</v>
      </c>
      <c r="G34" s="584">
        <v>14.14</v>
      </c>
      <c r="H34" s="350">
        <f>ROUND(F34*G34,2)</f>
        <v>14.14</v>
      </c>
    </row>
    <row r="35" spans="1:8" ht="15.75" thickBot="1">
      <c r="A35" s="692" t="s">
        <v>511</v>
      </c>
      <c r="B35" s="692"/>
      <c r="C35" s="692"/>
      <c r="D35" s="692"/>
      <c r="E35" s="692"/>
      <c r="F35" s="692"/>
      <c r="G35" s="692"/>
      <c r="H35" s="433">
        <f>SUM(H32:H34)</f>
        <v>89.81</v>
      </c>
    </row>
    <row r="36" spans="1:8" ht="16.5" thickBot="1">
      <c r="A36" s="685" t="s">
        <v>535</v>
      </c>
      <c r="B36" s="685"/>
      <c r="C36" s="685"/>
      <c r="D36" s="685"/>
      <c r="E36" s="685"/>
      <c r="F36" s="685"/>
      <c r="G36" s="408"/>
      <c r="H36" s="409">
        <f>ROUND(H35/A34/12,2)</f>
        <v>7.48</v>
      </c>
    </row>
  </sheetData>
  <sheetProtection password="C494" sheet="1" objects="1" scenarios="1"/>
  <mergeCells count="19">
    <mergeCell ref="A35:G35"/>
    <mergeCell ref="A36:F36"/>
    <mergeCell ref="A22:F22"/>
    <mergeCell ref="A28:G28"/>
    <mergeCell ref="A29:F29"/>
    <mergeCell ref="A9:A11"/>
    <mergeCell ref="A14:G14"/>
    <mergeCell ref="A15:F15"/>
    <mergeCell ref="A21:G21"/>
    <mergeCell ref="L1:Q4"/>
    <mergeCell ref="A4:H4"/>
    <mergeCell ref="A5:H5"/>
    <mergeCell ref="L5:L8"/>
    <mergeCell ref="M5:M8"/>
    <mergeCell ref="N5:N8"/>
    <mergeCell ref="O5:O8"/>
    <mergeCell ref="P5:P8"/>
    <mergeCell ref="Q5:Q8"/>
    <mergeCell ref="A6:H6"/>
  </mergeCells>
  <pageMargins left="0.51180555555555496" right="0.51180555555555496" top="0.78749999999999998" bottom="0.78749999999999998" header="0.51180555555555496" footer="0.51180555555555496"/>
  <pageSetup paperSize="9" scale="63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B33"/>
  <sheetViews>
    <sheetView showGridLines="0" zoomScaleNormal="100" workbookViewId="0">
      <selection activeCell="G7" sqref="G7"/>
    </sheetView>
  </sheetViews>
  <sheetFormatPr defaultColWidth="9.140625" defaultRowHeight="15"/>
  <cols>
    <col min="1" max="1" width="7.28515625" style="141" customWidth="1"/>
    <col min="2" max="3" width="9.140625" style="141"/>
    <col min="4" max="4" width="33" style="141" customWidth="1"/>
    <col min="5" max="5" width="9.42578125" style="141" customWidth="1"/>
    <col min="6" max="6" width="12.42578125" style="141" customWidth="1"/>
    <col min="7" max="8" width="9.140625" style="141"/>
    <col min="9" max="9" width="9.7109375" style="141" customWidth="1"/>
    <col min="10" max="1016" width="9.140625" style="141"/>
  </cols>
  <sheetData>
    <row r="1" spans="1:9">
      <c r="A1" s="14"/>
      <c r="B1" s="15" t="str">
        <f>INSTRUÇÕES!B1</f>
        <v>Tribunal Regional Federal da 6ª Região</v>
      </c>
      <c r="C1" s="15"/>
      <c r="D1" s="15"/>
      <c r="E1" s="15"/>
      <c r="F1" s="15"/>
    </row>
    <row r="2" spans="1:9">
      <c r="A2" s="16"/>
      <c r="B2" s="17" t="str">
        <f>INSTRUÇÕES!B2</f>
        <v>Seção Judiciária de Minas Gerais</v>
      </c>
      <c r="C2" s="17"/>
      <c r="D2" s="17"/>
      <c r="E2" s="17"/>
      <c r="F2" s="17"/>
    </row>
    <row r="3" spans="1:9">
      <c r="A3" s="16"/>
      <c r="B3" s="18" t="str">
        <f>INSTRUÇÕES!B3</f>
        <v>Subseção Judiciária de Ituiutaba</v>
      </c>
      <c r="C3" s="142"/>
      <c r="D3" s="142"/>
      <c r="E3" s="142"/>
      <c r="F3" s="142"/>
    </row>
    <row r="4" spans="1:9" s="143" customFormat="1" ht="32.25" customHeight="1">
      <c r="A4" s="693" t="s">
        <v>536</v>
      </c>
      <c r="B4" s="693"/>
      <c r="C4" s="693"/>
      <c r="D4" s="693"/>
      <c r="E4" s="693"/>
      <c r="F4" s="693"/>
      <c r="G4" s="693"/>
      <c r="H4" s="693"/>
      <c r="I4" s="693"/>
    </row>
    <row r="5" spans="1:9" s="146" customFormat="1" ht="41.25" customHeight="1">
      <c r="A5" s="694" t="s">
        <v>537</v>
      </c>
      <c r="B5" s="694"/>
      <c r="C5" s="694"/>
      <c r="D5" s="694"/>
      <c r="E5" s="695" t="s">
        <v>538</v>
      </c>
      <c r="F5" s="144" t="str">
        <f>Dados!C7</f>
        <v>Auxiliar Administrativo</v>
      </c>
      <c r="G5" s="145" t="str">
        <f>Dados!C8</f>
        <v>Servente de Limpeza ac. Copeira</v>
      </c>
      <c r="H5" s="145" t="str">
        <f>Dados!C9</f>
        <v>Servente de Limpeza (40%)</v>
      </c>
      <c r="I5" s="145" t="str">
        <f>Dados!C10</f>
        <v>Zelador</v>
      </c>
    </row>
    <row r="6" spans="1:9" s="148" customFormat="1" ht="22.5" customHeight="1">
      <c r="A6" s="147" t="s">
        <v>539</v>
      </c>
      <c r="B6" s="696" t="s">
        <v>398</v>
      </c>
      <c r="C6" s="696"/>
      <c r="D6" s="696"/>
      <c r="E6" s="695"/>
      <c r="F6" s="697" t="s">
        <v>540</v>
      </c>
      <c r="G6" s="697"/>
      <c r="H6" s="697"/>
      <c r="I6" s="697"/>
    </row>
    <row r="7" spans="1:9" ht="14.25" customHeight="1">
      <c r="A7" s="149">
        <v>1</v>
      </c>
      <c r="B7" s="698" t="s">
        <v>541</v>
      </c>
      <c r="C7" s="698"/>
      <c r="D7" s="698"/>
      <c r="E7" s="698"/>
      <c r="F7" s="150">
        <f>Dados!M7</f>
        <v>1329.06</v>
      </c>
      <c r="G7" s="150">
        <f>Dados!M8</f>
        <v>1305.51</v>
      </c>
      <c r="H7" s="150">
        <f>Dados!M9</f>
        <v>1795.49</v>
      </c>
      <c r="I7" s="150">
        <f>Dados!M10</f>
        <v>1799.03</v>
      </c>
    </row>
    <row r="8" spans="1:9">
      <c r="A8" s="151" t="s">
        <v>542</v>
      </c>
      <c r="B8" s="699" t="s">
        <v>399</v>
      </c>
      <c r="C8" s="699"/>
      <c r="D8" s="699"/>
      <c r="E8" s="152">
        <f>Encargos!C39</f>
        <v>9.0899999999999995E-2</v>
      </c>
      <c r="F8" s="153">
        <f t="shared" ref="F8:I8" si="0">ROUND(F7*$E$8,2)</f>
        <v>120.81</v>
      </c>
      <c r="G8" s="153">
        <f t="shared" si="0"/>
        <v>118.67</v>
      </c>
      <c r="H8" s="153">
        <f t="shared" si="0"/>
        <v>163.21</v>
      </c>
      <c r="I8" s="153">
        <f t="shared" si="0"/>
        <v>163.53</v>
      </c>
    </row>
    <row r="9" spans="1:9">
      <c r="A9" s="151" t="s">
        <v>543</v>
      </c>
      <c r="B9" s="699" t="s">
        <v>405</v>
      </c>
      <c r="C9" s="699"/>
      <c r="D9" s="699"/>
      <c r="E9" s="154">
        <f>E8*Encargos!C18</f>
        <v>3.6178200000000008E-2</v>
      </c>
      <c r="F9" s="153">
        <f t="shared" ref="F9:I9" si="1">ROUND(F7*$E$9,2)</f>
        <v>48.08</v>
      </c>
      <c r="G9" s="153">
        <f t="shared" si="1"/>
        <v>47.23</v>
      </c>
      <c r="H9" s="153">
        <f t="shared" si="1"/>
        <v>64.959999999999994</v>
      </c>
      <c r="I9" s="153">
        <f t="shared" si="1"/>
        <v>65.09</v>
      </c>
    </row>
    <row r="10" spans="1:9" ht="12.75" customHeight="1">
      <c r="A10" s="700" t="s">
        <v>544</v>
      </c>
      <c r="B10" s="700"/>
      <c r="C10" s="700"/>
      <c r="D10" s="700"/>
      <c r="E10" s="155">
        <f t="shared" ref="E10:I10" si="2">SUM(E8:E9)</f>
        <v>0.1270782</v>
      </c>
      <c r="F10" s="156">
        <f t="shared" si="2"/>
        <v>168.89</v>
      </c>
      <c r="G10" s="156">
        <f t="shared" si="2"/>
        <v>165.9</v>
      </c>
      <c r="H10" s="156">
        <f t="shared" si="2"/>
        <v>228.17000000000002</v>
      </c>
      <c r="I10" s="156">
        <f t="shared" si="2"/>
        <v>228.62</v>
      </c>
    </row>
    <row r="11" spans="1:9" ht="12.75" customHeight="1">
      <c r="A11" s="700" t="s">
        <v>545</v>
      </c>
      <c r="B11" s="700"/>
      <c r="C11" s="700"/>
      <c r="D11" s="700"/>
      <c r="E11" s="700"/>
      <c r="F11" s="156">
        <f t="shared" ref="F11:I11" si="3">F10*12</f>
        <v>2026.6799999999998</v>
      </c>
      <c r="G11" s="156">
        <f t="shared" si="3"/>
        <v>1990.8000000000002</v>
      </c>
      <c r="H11" s="156">
        <f t="shared" si="3"/>
        <v>2738.04</v>
      </c>
      <c r="I11" s="156">
        <f t="shared" si="3"/>
        <v>2743.44</v>
      </c>
    </row>
    <row r="12" spans="1:9">
      <c r="A12" s="157">
        <v>2</v>
      </c>
      <c r="B12" s="158" t="s">
        <v>546</v>
      </c>
      <c r="C12" s="158"/>
      <c r="D12" s="158"/>
      <c r="E12" s="158"/>
      <c r="F12" s="701" t="s">
        <v>471</v>
      </c>
      <c r="G12" s="701"/>
      <c r="H12" s="701"/>
      <c r="I12" s="701"/>
    </row>
    <row r="13" spans="1:9">
      <c r="A13" s="159" t="s">
        <v>542</v>
      </c>
      <c r="B13" s="702" t="s">
        <v>547</v>
      </c>
      <c r="C13" s="702"/>
      <c r="D13" s="702"/>
      <c r="E13" s="160"/>
      <c r="F13" s="161">
        <f>'Aux. Administrativo 150'!F23</f>
        <v>347.81</v>
      </c>
      <c r="G13" s="162">
        <f>'Servente 200'!F23</f>
        <v>347.81</v>
      </c>
      <c r="H13" s="162">
        <f>'Serv Insalubre 40%'!F23</f>
        <v>347.81</v>
      </c>
      <c r="I13" s="162">
        <f>Zelador!F23</f>
        <v>347.81</v>
      </c>
    </row>
    <row r="14" spans="1:9">
      <c r="A14" s="159" t="s">
        <v>548</v>
      </c>
      <c r="B14" s="702" t="s">
        <v>549</v>
      </c>
      <c r="C14" s="702"/>
      <c r="D14" s="702"/>
      <c r="E14" s="160"/>
      <c r="F14" s="161">
        <f>'Aux. Administrativo 150'!F22</f>
        <v>61.06</v>
      </c>
      <c r="G14" s="162">
        <f>'Servente 200'!F22</f>
        <v>64.75</v>
      </c>
      <c r="H14" s="162">
        <f>'Serv Insalubre 40%'!F22</f>
        <v>64.75</v>
      </c>
      <c r="I14" s="162">
        <f>Zelador!F22</f>
        <v>32.86</v>
      </c>
    </row>
    <row r="15" spans="1:9">
      <c r="A15" s="159" t="s">
        <v>550</v>
      </c>
      <c r="B15" s="160" t="s">
        <v>551</v>
      </c>
      <c r="C15" s="160"/>
      <c r="D15" s="160"/>
      <c r="E15" s="160"/>
      <c r="F15" s="161">
        <v>0</v>
      </c>
      <c r="G15" s="161">
        <v>0</v>
      </c>
      <c r="H15" s="161">
        <v>0</v>
      </c>
      <c r="I15" s="161">
        <v>0</v>
      </c>
    </row>
    <row r="16" spans="1:9">
      <c r="A16" s="703" t="s">
        <v>552</v>
      </c>
      <c r="B16" s="703"/>
      <c r="C16" s="703"/>
      <c r="D16" s="703"/>
      <c r="E16" s="703"/>
      <c r="F16" s="163">
        <f t="shared" ref="F16:I16" si="4">SUM(F13:F15)</f>
        <v>408.87</v>
      </c>
      <c r="G16" s="163">
        <f t="shared" si="4"/>
        <v>412.56</v>
      </c>
      <c r="H16" s="163">
        <f t="shared" si="4"/>
        <v>412.56</v>
      </c>
      <c r="I16" s="163">
        <f t="shared" si="4"/>
        <v>380.67</v>
      </c>
    </row>
    <row r="17" spans="1:9" ht="12.75" customHeight="1">
      <c r="A17" s="157">
        <v>5</v>
      </c>
      <c r="B17" s="704" t="s">
        <v>553</v>
      </c>
      <c r="C17" s="704"/>
      <c r="D17" s="704"/>
      <c r="E17" s="164" t="s">
        <v>538</v>
      </c>
      <c r="F17" s="701" t="s">
        <v>471</v>
      </c>
      <c r="G17" s="701"/>
      <c r="H17" s="701"/>
      <c r="I17" s="701"/>
    </row>
    <row r="18" spans="1:9" ht="12.75" customHeight="1">
      <c r="A18" s="159" t="s">
        <v>542</v>
      </c>
      <c r="B18" s="705" t="s">
        <v>554</v>
      </c>
      <c r="C18" s="705"/>
      <c r="D18" s="705"/>
      <c r="E18" s="165">
        <f>Dados!$G$43</f>
        <v>0.03</v>
      </c>
      <c r="F18" s="166">
        <f t="shared" ref="F18:I18" si="5">ROUND(($E$18*F31),2)</f>
        <v>73.069999999999993</v>
      </c>
      <c r="G18" s="166">
        <f t="shared" si="5"/>
        <v>72.099999999999994</v>
      </c>
      <c r="H18" s="166">
        <f t="shared" si="5"/>
        <v>94.52</v>
      </c>
      <c r="I18" s="166">
        <f t="shared" si="5"/>
        <v>93.72</v>
      </c>
    </row>
    <row r="19" spans="1:9" ht="12.75" customHeight="1">
      <c r="A19" s="159" t="s">
        <v>548</v>
      </c>
      <c r="B19" s="705" t="s">
        <v>312</v>
      </c>
      <c r="C19" s="705"/>
      <c r="D19" s="705"/>
      <c r="E19" s="165">
        <f>Dados!$G$44</f>
        <v>6.7900000000000002E-2</v>
      </c>
      <c r="F19" s="166">
        <f t="shared" ref="F19:I19" si="6">ROUND(($E$19*(F18+F31)),2)</f>
        <v>170.34</v>
      </c>
      <c r="G19" s="166">
        <f t="shared" si="6"/>
        <v>168.08</v>
      </c>
      <c r="H19" s="166">
        <f t="shared" si="6"/>
        <v>220.34</v>
      </c>
      <c r="I19" s="166">
        <f t="shared" si="6"/>
        <v>218.49</v>
      </c>
    </row>
    <row r="20" spans="1:9" ht="12.75" customHeight="1">
      <c r="A20" s="167" t="s">
        <v>550</v>
      </c>
      <c r="B20" s="706" t="s">
        <v>555</v>
      </c>
      <c r="C20" s="706"/>
      <c r="D20" s="706"/>
      <c r="E20" s="168">
        <f>SUM(E21:E24)</f>
        <v>0.13250000000000001</v>
      </c>
      <c r="F20" s="169">
        <f t="shared" ref="F20:I20" si="7">ROUND((((F31+F18+F19)/(1-$E$20))-(F31+F18+F19)),2)</f>
        <v>409.18</v>
      </c>
      <c r="G20" s="169">
        <f t="shared" si="7"/>
        <v>403.77</v>
      </c>
      <c r="H20" s="169">
        <f t="shared" si="7"/>
        <v>529.30999999999995</v>
      </c>
      <c r="I20" s="169">
        <f t="shared" si="7"/>
        <v>524.86</v>
      </c>
    </row>
    <row r="21" spans="1:9" ht="12.75" customHeight="1">
      <c r="A21" s="170" t="s">
        <v>556</v>
      </c>
      <c r="B21" s="705" t="s">
        <v>557</v>
      </c>
      <c r="C21" s="705"/>
      <c r="D21" s="705"/>
      <c r="E21" s="165">
        <f>Dados!G51+Dados!G52</f>
        <v>9.2499999999999999E-2</v>
      </c>
      <c r="F21" s="166">
        <f t="shared" ref="F21:I21" si="8">ROUND($E$21*F33,2)</f>
        <v>285.64999999999998</v>
      </c>
      <c r="G21" s="166">
        <f t="shared" si="8"/>
        <v>281.88</v>
      </c>
      <c r="H21" s="166">
        <f t="shared" si="8"/>
        <v>369.52</v>
      </c>
      <c r="I21" s="166">
        <f t="shared" si="8"/>
        <v>366.41</v>
      </c>
    </row>
    <row r="22" spans="1:9" ht="12.75" customHeight="1">
      <c r="A22" s="159" t="s">
        <v>558</v>
      </c>
      <c r="B22" s="705" t="s">
        <v>559</v>
      </c>
      <c r="C22" s="705"/>
      <c r="D22" s="705"/>
      <c r="E22" s="165">
        <v>0</v>
      </c>
      <c r="F22" s="166">
        <f t="shared" ref="F22:I22" si="9">ROUND($E$22*F33,2)</f>
        <v>0</v>
      </c>
      <c r="G22" s="166">
        <f t="shared" si="9"/>
        <v>0</v>
      </c>
      <c r="H22" s="166">
        <f t="shared" si="9"/>
        <v>0</v>
      </c>
      <c r="I22" s="166">
        <f t="shared" si="9"/>
        <v>0</v>
      </c>
    </row>
    <row r="23" spans="1:9" ht="12.75" customHeight="1">
      <c r="A23" s="159" t="s">
        <v>560</v>
      </c>
      <c r="B23" s="705" t="s">
        <v>561</v>
      </c>
      <c r="C23" s="705"/>
      <c r="D23" s="705"/>
      <c r="E23" s="165">
        <f>Dados!G53</f>
        <v>0.04</v>
      </c>
      <c r="F23" s="166">
        <f t="shared" ref="F23:I23" si="10">ROUND($E$23*F33,2)</f>
        <v>123.53</v>
      </c>
      <c r="G23" s="166">
        <f t="shared" si="10"/>
        <v>121.89</v>
      </c>
      <c r="H23" s="166">
        <f t="shared" si="10"/>
        <v>159.79</v>
      </c>
      <c r="I23" s="166">
        <f t="shared" si="10"/>
        <v>158.44999999999999</v>
      </c>
    </row>
    <row r="24" spans="1:9">
      <c r="A24" s="159" t="s">
        <v>562</v>
      </c>
      <c r="B24" s="705" t="str">
        <f>Dados!B54</f>
        <v>Outros (inserir somente com a justificativa legal)</v>
      </c>
      <c r="C24" s="705"/>
      <c r="D24" s="705"/>
      <c r="E24" s="165">
        <f>Dados!G54</f>
        <v>0</v>
      </c>
      <c r="F24" s="166">
        <f t="shared" ref="F24:I24" si="11">ROUND($E$24*F33,2)</f>
        <v>0</v>
      </c>
      <c r="G24" s="166">
        <f t="shared" si="11"/>
        <v>0</v>
      </c>
      <c r="H24" s="166">
        <f t="shared" si="11"/>
        <v>0</v>
      </c>
      <c r="I24" s="166">
        <f t="shared" si="11"/>
        <v>0</v>
      </c>
    </row>
    <row r="25" spans="1:9">
      <c r="A25" s="171" t="s">
        <v>563</v>
      </c>
      <c r="B25" s="172"/>
      <c r="C25" s="172"/>
      <c r="D25" s="172"/>
      <c r="E25" s="172"/>
      <c r="F25" s="173">
        <f t="shared" ref="F25:I25" si="12">SUM(F18:F20)</f>
        <v>652.59</v>
      </c>
      <c r="G25" s="173">
        <f t="shared" si="12"/>
        <v>643.95000000000005</v>
      </c>
      <c r="H25" s="173">
        <f t="shared" si="12"/>
        <v>844.17</v>
      </c>
      <c r="I25" s="173">
        <f t="shared" si="12"/>
        <v>837.07</v>
      </c>
    </row>
    <row r="26" spans="1:9" ht="19.5" customHeight="1">
      <c r="A26" s="708" t="s">
        <v>564</v>
      </c>
      <c r="B26" s="708"/>
      <c r="C26" s="708"/>
      <c r="D26" s="708"/>
      <c r="E26" s="708"/>
      <c r="F26" s="708"/>
      <c r="G26" s="708"/>
      <c r="H26" s="708"/>
      <c r="I26" s="708"/>
    </row>
    <row r="27" spans="1:9" ht="18" customHeight="1">
      <c r="A27" s="709" t="s">
        <v>565</v>
      </c>
      <c r="B27" s="709"/>
      <c r="C27" s="709"/>
      <c r="D27" s="709"/>
      <c r="E27" s="709"/>
      <c r="F27" s="709"/>
      <c r="G27" s="709"/>
      <c r="H27" s="709"/>
      <c r="I27" s="709"/>
    </row>
    <row r="28" spans="1:9" ht="14.25" customHeight="1">
      <c r="A28" s="174" t="s">
        <v>566</v>
      </c>
      <c r="B28" s="174"/>
      <c r="C28" s="174"/>
      <c r="D28" s="174"/>
      <c r="E28" s="174"/>
      <c r="F28" s="701" t="s">
        <v>471</v>
      </c>
      <c r="G28" s="701"/>
      <c r="H28" s="701"/>
      <c r="I28" s="701"/>
    </row>
    <row r="29" spans="1:9">
      <c r="A29" s="151" t="s">
        <v>542</v>
      </c>
      <c r="B29" s="175" t="s">
        <v>567</v>
      </c>
      <c r="C29" s="175"/>
      <c r="D29" s="175"/>
      <c r="E29" s="175"/>
      <c r="F29" s="176">
        <f t="shared" ref="F29:I29" si="13">F11</f>
        <v>2026.6799999999998</v>
      </c>
      <c r="G29" s="176">
        <f t="shared" si="13"/>
        <v>1990.8000000000002</v>
      </c>
      <c r="H29" s="176">
        <f t="shared" si="13"/>
        <v>2738.04</v>
      </c>
      <c r="I29" s="176">
        <f t="shared" si="13"/>
        <v>2743.44</v>
      </c>
    </row>
    <row r="30" spans="1:9">
      <c r="A30" s="151" t="s">
        <v>548</v>
      </c>
      <c r="B30" s="175" t="s">
        <v>546</v>
      </c>
      <c r="C30" s="175"/>
      <c r="D30" s="175"/>
      <c r="E30" s="175"/>
      <c r="F30" s="176">
        <f t="shared" ref="F30:I30" si="14">F16</f>
        <v>408.87</v>
      </c>
      <c r="G30" s="176">
        <f t="shared" si="14"/>
        <v>412.56</v>
      </c>
      <c r="H30" s="176">
        <f t="shared" si="14"/>
        <v>412.56</v>
      </c>
      <c r="I30" s="176">
        <f t="shared" si="14"/>
        <v>380.67</v>
      </c>
    </row>
    <row r="31" spans="1:9">
      <c r="A31" s="707" t="s">
        <v>568</v>
      </c>
      <c r="B31" s="707"/>
      <c r="C31" s="707"/>
      <c r="D31" s="707"/>
      <c r="E31" s="177"/>
      <c r="F31" s="178">
        <f t="shared" ref="F31:I31" si="15">SUM(F29:F30)</f>
        <v>2435.5499999999997</v>
      </c>
      <c r="G31" s="178">
        <f t="shared" si="15"/>
        <v>2403.36</v>
      </c>
      <c r="H31" s="178">
        <f t="shared" si="15"/>
        <v>3150.6</v>
      </c>
      <c r="I31" s="178">
        <f t="shared" si="15"/>
        <v>3124.11</v>
      </c>
    </row>
    <row r="32" spans="1:9">
      <c r="A32" s="151" t="s">
        <v>569</v>
      </c>
      <c r="B32" s="175" t="s">
        <v>570</v>
      </c>
      <c r="C32" s="175"/>
      <c r="D32" s="175"/>
      <c r="E32" s="175"/>
      <c r="F32" s="176">
        <f t="shared" ref="F32:I32" si="16">F25</f>
        <v>652.59</v>
      </c>
      <c r="G32" s="176">
        <f t="shared" si="16"/>
        <v>643.95000000000005</v>
      </c>
      <c r="H32" s="176">
        <f t="shared" si="16"/>
        <v>844.17</v>
      </c>
      <c r="I32" s="176">
        <f t="shared" si="16"/>
        <v>837.07</v>
      </c>
    </row>
    <row r="33" spans="1:9" ht="19.5" customHeight="1">
      <c r="A33" s="174" t="s">
        <v>571</v>
      </c>
      <c r="B33" s="174"/>
      <c r="C33" s="174"/>
      <c r="D33" s="174"/>
      <c r="E33" s="174"/>
      <c r="F33" s="179">
        <f t="shared" ref="F33:I33" si="17">SUM(F31:F32)</f>
        <v>3088.14</v>
      </c>
      <c r="G33" s="179">
        <f t="shared" si="17"/>
        <v>3047.3100000000004</v>
      </c>
      <c r="H33" s="179">
        <f t="shared" si="17"/>
        <v>3994.77</v>
      </c>
      <c r="I33" s="179">
        <f t="shared" si="17"/>
        <v>3961.1800000000003</v>
      </c>
    </row>
  </sheetData>
  <sheetProtection password="C494" sheet="1" objects="1" scenarios="1"/>
  <mergeCells count="27">
    <mergeCell ref="A31:D31"/>
    <mergeCell ref="B23:D23"/>
    <mergeCell ref="B24:D24"/>
    <mergeCell ref="A26:I26"/>
    <mergeCell ref="A27:I27"/>
    <mergeCell ref="F28:I28"/>
    <mergeCell ref="B18:D18"/>
    <mergeCell ref="B19:D19"/>
    <mergeCell ref="B20:D20"/>
    <mergeCell ref="B21:D21"/>
    <mergeCell ref="B22:D22"/>
    <mergeCell ref="F12:I12"/>
    <mergeCell ref="B13:D13"/>
    <mergeCell ref="B14:D14"/>
    <mergeCell ref="A16:E16"/>
    <mergeCell ref="B17:D17"/>
    <mergeCell ref="F17:I17"/>
    <mergeCell ref="B7:E7"/>
    <mergeCell ref="B8:D8"/>
    <mergeCell ref="B9:D9"/>
    <mergeCell ref="A10:D10"/>
    <mergeCell ref="A11:E11"/>
    <mergeCell ref="A4:I4"/>
    <mergeCell ref="A5:D5"/>
    <mergeCell ref="E5:E6"/>
    <mergeCell ref="B6:D6"/>
    <mergeCell ref="F6:I6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47"/>
  <sheetViews>
    <sheetView showGridLines="0" zoomScaleNormal="100" workbookViewId="0">
      <selection activeCell="O45" sqref="O45"/>
    </sheetView>
  </sheetViews>
  <sheetFormatPr defaultColWidth="9.140625" defaultRowHeight="15"/>
  <cols>
    <col min="1" max="1" width="10.5703125" style="18" customWidth="1"/>
    <col min="2" max="2" width="27.7109375" style="18" customWidth="1"/>
    <col min="3" max="3" width="14.42578125" style="18" customWidth="1"/>
    <col min="4" max="5" width="15" style="18" customWidth="1"/>
    <col min="6" max="6" width="16.7109375" style="192" customWidth="1"/>
    <col min="7" max="8" width="13.140625" style="192" customWidth="1"/>
    <col min="9" max="10" width="12.5703125" style="192" customWidth="1"/>
    <col min="11" max="257" width="9.140625" style="18"/>
    <col min="258" max="258" width="10.5703125" style="18" customWidth="1"/>
    <col min="259" max="259" width="27.7109375" style="18" customWidth="1"/>
    <col min="260" max="260" width="14.42578125" style="18" customWidth="1"/>
    <col min="261" max="262" width="15" style="18" customWidth="1"/>
    <col min="263" max="263" width="16.7109375" style="18" customWidth="1"/>
    <col min="264" max="264" width="13.140625" style="18" customWidth="1"/>
    <col min="265" max="266" width="12.5703125" style="18" customWidth="1"/>
    <col min="267" max="513" width="9.140625" style="18"/>
    <col min="514" max="514" width="10.5703125" style="18" customWidth="1"/>
    <col min="515" max="515" width="27.7109375" style="18" customWidth="1"/>
    <col min="516" max="516" width="14.42578125" style="18" customWidth="1"/>
    <col min="517" max="518" width="15" style="18" customWidth="1"/>
    <col min="519" max="519" width="16.7109375" style="18" customWidth="1"/>
    <col min="520" max="520" width="13.140625" style="18" customWidth="1"/>
    <col min="521" max="522" width="12.5703125" style="18" customWidth="1"/>
    <col min="523" max="769" width="9.140625" style="18"/>
    <col min="770" max="770" width="10.5703125" style="18" customWidth="1"/>
    <col min="771" max="771" width="27.7109375" style="18" customWidth="1"/>
    <col min="772" max="772" width="14.42578125" style="18" customWidth="1"/>
    <col min="773" max="774" width="15" style="18" customWidth="1"/>
    <col min="775" max="775" width="16.7109375" style="18" customWidth="1"/>
    <col min="776" max="776" width="13.140625" style="18" customWidth="1"/>
    <col min="777" max="778" width="12.5703125" style="18" customWidth="1"/>
    <col min="779" max="1024" width="9.140625" style="18"/>
  </cols>
  <sheetData>
    <row r="1" spans="1:10">
      <c r="A1" s="193"/>
      <c r="B1" s="15" t="str">
        <f>INSTRUÇÕES!B1</f>
        <v>Tribunal Regional Federal da 6ª Região</v>
      </c>
      <c r="C1" s="194"/>
      <c r="D1" s="194"/>
      <c r="E1" s="194"/>
      <c r="F1" s="195"/>
      <c r="G1" s="196"/>
      <c r="H1" s="196"/>
      <c r="I1" s="195"/>
      <c r="J1" s="197"/>
    </row>
    <row r="2" spans="1:10">
      <c r="A2" s="198"/>
      <c r="B2" s="17" t="str">
        <f>INSTRUÇÕES!B2</f>
        <v>Seção Judiciária de Minas Gerais</v>
      </c>
      <c r="C2" s="199"/>
      <c r="D2" s="199"/>
      <c r="E2" s="199"/>
      <c r="F2" s="200"/>
      <c r="I2" s="200"/>
      <c r="J2" s="201"/>
    </row>
    <row r="3" spans="1:10">
      <c r="A3" s="202"/>
      <c r="B3" s="142" t="str">
        <f>INSTRUÇÕES!B3</f>
        <v>Subseção Judiciária de Ituiutaba</v>
      </c>
      <c r="C3" s="199"/>
      <c r="D3" s="199"/>
      <c r="E3" s="199"/>
      <c r="F3" s="200"/>
      <c r="I3" s="200"/>
      <c r="J3" s="201"/>
    </row>
    <row r="4" spans="1:10" ht="19.5" customHeight="1">
      <c r="A4" s="710" t="s">
        <v>572</v>
      </c>
      <c r="B4" s="710"/>
      <c r="C4" s="710"/>
      <c r="D4" s="710"/>
      <c r="E4" s="710"/>
      <c r="F4" s="710"/>
      <c r="G4" s="710"/>
      <c r="H4" s="710"/>
      <c r="I4" s="710"/>
      <c r="J4" s="710"/>
    </row>
    <row r="5" spans="1:10" ht="19.5" customHeight="1">
      <c r="A5" s="711" t="s">
        <v>359</v>
      </c>
      <c r="B5" s="711"/>
      <c r="C5" s="711"/>
      <c r="D5" s="711"/>
      <c r="E5" s="711"/>
      <c r="F5" s="711"/>
      <c r="G5" s="711"/>
      <c r="H5" s="711"/>
      <c r="I5" s="711"/>
      <c r="J5" s="711"/>
    </row>
    <row r="6" spans="1:10" ht="36" customHeight="1">
      <c r="A6" s="712" t="str">
        <f>Dados!A4</f>
        <v>Sindicato utilizado - SINDEACO. Vigência: 01/01/2023 à 31/12/2023. Sendo a data base da categoria 01º Janeiro. Com número de registro no MTE MG000781/2023.</v>
      </c>
      <c r="B6" s="712"/>
      <c r="C6" s="712"/>
      <c r="D6" s="712"/>
      <c r="E6" s="712"/>
      <c r="F6" s="712"/>
      <c r="G6" s="712"/>
      <c r="H6" s="712"/>
      <c r="I6" s="712"/>
      <c r="J6" s="712"/>
    </row>
    <row r="7" spans="1:10" ht="19.5" customHeight="1">
      <c r="A7" s="713" t="str">
        <f>Dados!C10</f>
        <v>Zelador</v>
      </c>
      <c r="B7" s="713"/>
      <c r="C7" s="713"/>
      <c r="D7" s="713"/>
      <c r="E7" s="713"/>
      <c r="F7" s="714" t="s">
        <v>573</v>
      </c>
      <c r="G7" s="714" t="s">
        <v>574</v>
      </c>
      <c r="H7" s="714" t="s">
        <v>575</v>
      </c>
      <c r="I7" s="714" t="s">
        <v>576</v>
      </c>
      <c r="J7" s="714" t="s">
        <v>577</v>
      </c>
    </row>
    <row r="8" spans="1:10" ht="19.5" customHeight="1">
      <c r="A8" s="715" t="s">
        <v>578</v>
      </c>
      <c r="B8" s="715"/>
      <c r="C8" s="715"/>
      <c r="D8" s="715"/>
      <c r="E8" s="203" t="s">
        <v>471</v>
      </c>
      <c r="F8" s="714"/>
      <c r="G8" s="714"/>
      <c r="H8" s="714"/>
      <c r="I8" s="714"/>
      <c r="J8" s="714"/>
    </row>
    <row r="9" spans="1:10" ht="19.5" customHeight="1">
      <c r="A9" s="716" t="s">
        <v>579</v>
      </c>
      <c r="B9" s="716"/>
      <c r="C9" s="716"/>
      <c r="D9" s="716"/>
      <c r="E9" s="716"/>
      <c r="F9" s="716"/>
      <c r="G9" s="716"/>
      <c r="H9" s="716"/>
      <c r="I9" s="716"/>
      <c r="J9" s="716"/>
    </row>
    <row r="10" spans="1:10" ht="24" customHeight="1">
      <c r="A10" s="204" t="s">
        <v>472</v>
      </c>
      <c r="B10" s="717" t="s">
        <v>580</v>
      </c>
      <c r="C10" s="717"/>
      <c r="D10" s="205" t="s">
        <v>581</v>
      </c>
      <c r="E10" s="206" t="s">
        <v>582</v>
      </c>
      <c r="F10" s="718" t="s">
        <v>475</v>
      </c>
      <c r="G10" s="718"/>
      <c r="H10" s="718"/>
      <c r="I10" s="718"/>
      <c r="J10" s="718"/>
    </row>
    <row r="11" spans="1:10" ht="19.5" customHeight="1">
      <c r="A11" s="719">
        <v>1</v>
      </c>
      <c r="B11" s="720" t="str">
        <f>A7</f>
        <v>Zelador</v>
      </c>
      <c r="C11" s="720"/>
      <c r="D11" s="207">
        <f>Dados!D10</f>
        <v>200</v>
      </c>
      <c r="E11" s="208">
        <f>Dados!$E$10</f>
        <v>1978.93</v>
      </c>
      <c r="F11" s="209">
        <f>ROUND(E11/220*D11,2)</f>
        <v>1799.03</v>
      </c>
      <c r="G11" s="209">
        <f>F11</f>
        <v>1799.03</v>
      </c>
      <c r="H11" s="209"/>
      <c r="I11" s="209"/>
      <c r="J11" s="210"/>
    </row>
    <row r="12" spans="1:10" ht="19.5" customHeight="1">
      <c r="A12" s="719"/>
      <c r="B12" s="720" t="s">
        <v>583</v>
      </c>
      <c r="C12" s="720"/>
      <c r="D12" s="211">
        <f>Dados!G10</f>
        <v>0</v>
      </c>
      <c r="E12" s="208">
        <f>Dados!$G$27</f>
        <v>1320</v>
      </c>
      <c r="F12" s="209">
        <f>D12*E12</f>
        <v>0</v>
      </c>
      <c r="G12" s="209">
        <f>F12</f>
        <v>0</v>
      </c>
      <c r="H12" s="209"/>
      <c r="I12" s="209"/>
      <c r="J12" s="210">
        <f>F12</f>
        <v>0</v>
      </c>
    </row>
    <row r="13" spans="1:10" ht="22.5" customHeight="1">
      <c r="A13" s="719"/>
      <c r="B13" s="212" t="s">
        <v>584</v>
      </c>
      <c r="C13" s="213">
        <f>Dados!$I$10</f>
        <v>0</v>
      </c>
      <c r="D13" s="213">
        <f>Dados!$J$10</f>
        <v>0</v>
      </c>
      <c r="E13" s="214">
        <f>Dados!$K$10</f>
        <v>0</v>
      </c>
      <c r="F13" s="215">
        <f>ROUND((E13*D13*C13),2)</f>
        <v>0</v>
      </c>
      <c r="G13" s="215">
        <f>F13</f>
        <v>0</v>
      </c>
      <c r="H13" s="215"/>
      <c r="I13" s="215"/>
      <c r="J13" s="216"/>
    </row>
    <row r="14" spans="1:10" ht="19.5" customHeight="1">
      <c r="A14" s="719"/>
      <c r="B14" s="721" t="s">
        <v>585</v>
      </c>
      <c r="C14" s="721"/>
      <c r="D14" s="721"/>
      <c r="E14" s="721"/>
      <c r="F14" s="217">
        <f>SUM(F11:F13)</f>
        <v>1799.03</v>
      </c>
      <c r="G14" s="217">
        <f>SUM(G11:G13)</f>
        <v>1799.03</v>
      </c>
      <c r="H14" s="217">
        <f>SUM(H11:H13)</f>
        <v>0</v>
      </c>
      <c r="I14" s="217">
        <f>SUM(I11:I13)</f>
        <v>0</v>
      </c>
      <c r="J14" s="218">
        <f>SUM(J11:J13)</f>
        <v>0</v>
      </c>
    </row>
    <row r="15" spans="1:10" ht="19.5" customHeight="1">
      <c r="A15" s="719"/>
      <c r="B15" s="722" t="s">
        <v>586</v>
      </c>
      <c r="C15" s="722"/>
      <c r="D15" s="722"/>
      <c r="E15" s="219">
        <f>Encargos!$C$57</f>
        <v>0.79049999999999998</v>
      </c>
      <c r="F15" s="209">
        <f>ROUND((E15*F14),2)</f>
        <v>1422.13</v>
      </c>
      <c r="G15" s="209">
        <f>F15</f>
        <v>1422.13</v>
      </c>
      <c r="H15" s="209"/>
      <c r="I15" s="209"/>
      <c r="J15" s="210">
        <f>ROUND((E15*J14),2)</f>
        <v>0</v>
      </c>
    </row>
    <row r="16" spans="1:10" ht="19.5" customHeight="1">
      <c r="A16" s="723" t="s">
        <v>587</v>
      </c>
      <c r="B16" s="723"/>
      <c r="C16" s="723"/>
      <c r="D16" s="723"/>
      <c r="E16" s="723"/>
      <c r="F16" s="220">
        <f>SUM(F14:F15)</f>
        <v>3221.16</v>
      </c>
      <c r="G16" s="220">
        <f>SUM(G14:G15)</f>
        <v>3221.16</v>
      </c>
      <c r="H16" s="220">
        <f>SUM(H14:H15)</f>
        <v>0</v>
      </c>
      <c r="I16" s="220">
        <f>SUM(I14:I15)</f>
        <v>0</v>
      </c>
      <c r="J16" s="221">
        <f>SUM(J14:J15)</f>
        <v>0</v>
      </c>
    </row>
    <row r="17" spans="1:12" ht="19.5" customHeight="1">
      <c r="A17" s="724" t="s">
        <v>588</v>
      </c>
      <c r="B17" s="724"/>
      <c r="C17" s="724"/>
      <c r="D17" s="724"/>
      <c r="E17" s="724"/>
      <c r="F17" s="724"/>
      <c r="G17" s="724"/>
      <c r="H17" s="724"/>
      <c r="I17" s="724"/>
      <c r="J17" s="724"/>
    </row>
    <row r="18" spans="1:12" ht="19.5" customHeight="1">
      <c r="A18" s="725" t="s">
        <v>589</v>
      </c>
      <c r="B18" s="725"/>
      <c r="C18" s="222" t="s">
        <v>474</v>
      </c>
      <c r="D18" s="726" t="s">
        <v>590</v>
      </c>
      <c r="E18" s="726"/>
      <c r="F18" s="727" t="s">
        <v>475</v>
      </c>
      <c r="G18" s="727"/>
      <c r="H18" s="727"/>
      <c r="I18" s="727"/>
      <c r="J18" s="727"/>
    </row>
    <row r="19" spans="1:12" ht="19.5" customHeight="1">
      <c r="A19" s="728" t="s">
        <v>591</v>
      </c>
      <c r="B19" s="728"/>
      <c r="C19" s="224"/>
      <c r="D19" s="224"/>
      <c r="E19" s="224"/>
      <c r="F19" s="209">
        <f>Dados!N10</f>
        <v>27.19</v>
      </c>
      <c r="G19" s="209">
        <f>F19</f>
        <v>27.19</v>
      </c>
      <c r="H19" s="209"/>
      <c r="I19" s="209"/>
      <c r="J19" s="210"/>
    </row>
    <row r="20" spans="1:12" ht="19.5" customHeight="1">
      <c r="A20" s="728" t="s">
        <v>592</v>
      </c>
      <c r="B20" s="728"/>
      <c r="C20" s="224"/>
      <c r="D20" s="224"/>
      <c r="E20" s="224"/>
      <c r="F20" s="209">
        <f>Dados!G30</f>
        <v>4</v>
      </c>
      <c r="G20" s="209">
        <f>F20</f>
        <v>4</v>
      </c>
      <c r="H20" s="209"/>
      <c r="I20" s="209"/>
      <c r="J20" s="210"/>
    </row>
    <row r="21" spans="1:12" ht="23.25" customHeight="1">
      <c r="A21" s="729" t="s">
        <v>294</v>
      </c>
      <c r="B21" s="729"/>
      <c r="C21" s="224"/>
      <c r="D21" s="224"/>
      <c r="E21" s="224"/>
      <c r="F21" s="209">
        <f>Dados!G31</f>
        <v>36.17</v>
      </c>
      <c r="G21" s="209">
        <f>F21</f>
        <v>36.17</v>
      </c>
      <c r="H21" s="209"/>
      <c r="I21" s="209"/>
      <c r="J21" s="210"/>
    </row>
    <row r="22" spans="1:12" ht="19.5" customHeight="1">
      <c r="A22" s="728" t="s">
        <v>295</v>
      </c>
      <c r="B22" s="728"/>
      <c r="C22" s="225">
        <f>Dados!$G$34</f>
        <v>22</v>
      </c>
      <c r="D22" s="225">
        <f>Dados!$G$33</f>
        <v>2</v>
      </c>
      <c r="E22" s="226">
        <f>Dados!$G$32</f>
        <v>3.2</v>
      </c>
      <c r="F22" s="209">
        <f>IF(ROUND((E22*D22*C22)-(F11*Dados!G35),2)&lt;0,0,ROUND((E22*D22*C22)-(F11*Dados!G35),2))</f>
        <v>32.86</v>
      </c>
      <c r="G22" s="209">
        <f>F22</f>
        <v>32.86</v>
      </c>
      <c r="H22" s="209"/>
      <c r="I22" s="209">
        <f>F22</f>
        <v>32.86</v>
      </c>
      <c r="J22" s="210"/>
    </row>
    <row r="23" spans="1:12" ht="19.5" customHeight="1">
      <c r="A23" s="728" t="s">
        <v>304</v>
      </c>
      <c r="B23" s="728"/>
      <c r="C23" s="225">
        <f>Dados!G37</f>
        <v>22</v>
      </c>
      <c r="D23" s="227">
        <f>Dados!G38</f>
        <v>0</v>
      </c>
      <c r="E23" s="226">
        <f>Dados!G36</f>
        <v>347.81</v>
      </c>
      <c r="F23" s="228">
        <f>E23</f>
        <v>347.81</v>
      </c>
      <c r="G23" s="209">
        <f>F23</f>
        <v>347.81</v>
      </c>
      <c r="H23" s="209">
        <f>$F$23</f>
        <v>347.81</v>
      </c>
      <c r="I23" s="228"/>
      <c r="J23" s="210"/>
    </row>
    <row r="24" spans="1:12" ht="19.5" customHeight="1">
      <c r="A24" s="728" t="s">
        <v>307</v>
      </c>
      <c r="B24" s="728"/>
      <c r="C24" s="225"/>
      <c r="D24" s="225"/>
      <c r="E24" s="226"/>
      <c r="F24" s="228">
        <f>Dados!G39</f>
        <v>0</v>
      </c>
      <c r="G24" s="209"/>
      <c r="H24" s="209"/>
      <c r="I24" s="228"/>
      <c r="J24" s="210"/>
    </row>
    <row r="25" spans="1:12" ht="19.5" customHeight="1">
      <c r="A25" s="728" t="s">
        <v>307</v>
      </c>
      <c r="B25" s="728"/>
      <c r="C25" s="225"/>
      <c r="D25" s="225"/>
      <c r="E25" s="226"/>
      <c r="F25" s="228">
        <f>Dados!G40</f>
        <v>0</v>
      </c>
      <c r="G25" s="209"/>
      <c r="H25" s="209"/>
      <c r="I25" s="228"/>
      <c r="J25" s="210"/>
    </row>
    <row r="26" spans="1:12" ht="19.5" customHeight="1">
      <c r="A26" s="728" t="s">
        <v>593</v>
      </c>
      <c r="B26" s="728"/>
      <c r="C26" s="225"/>
      <c r="D26" s="226"/>
      <c r="E26" s="226"/>
      <c r="F26" s="209"/>
      <c r="G26" s="209"/>
      <c r="H26" s="209"/>
      <c r="I26" s="209"/>
      <c r="J26" s="210"/>
      <c r="L26" s="229"/>
    </row>
    <row r="27" spans="1:12" ht="19.5" customHeight="1">
      <c r="A27" s="223" t="s">
        <v>594</v>
      </c>
      <c r="B27" s="230"/>
      <c r="C27" s="225"/>
      <c r="D27" s="226"/>
      <c r="E27" s="226"/>
      <c r="F27" s="209"/>
      <c r="G27" s="209"/>
      <c r="H27" s="209"/>
      <c r="I27" s="209"/>
      <c r="J27" s="210"/>
    </row>
    <row r="28" spans="1:12" ht="19.5" customHeight="1">
      <c r="A28" s="730" t="s">
        <v>595</v>
      </c>
      <c r="B28" s="730"/>
      <c r="C28" s="231"/>
      <c r="D28" s="232"/>
      <c r="E28" s="232"/>
      <c r="F28" s="215">
        <f>Dados!Q10</f>
        <v>8.57</v>
      </c>
      <c r="G28" s="215">
        <f>F28</f>
        <v>8.57</v>
      </c>
      <c r="H28" s="215"/>
      <c r="I28" s="215"/>
      <c r="J28" s="216"/>
    </row>
    <row r="29" spans="1:12" ht="19.5" customHeight="1">
      <c r="A29" s="731" t="s">
        <v>596</v>
      </c>
      <c r="B29" s="731"/>
      <c r="C29" s="731"/>
      <c r="D29" s="731"/>
      <c r="E29" s="731"/>
      <c r="F29" s="220">
        <f>SUM(F19:F28)</f>
        <v>456.59999999999997</v>
      </c>
      <c r="G29" s="220">
        <f>SUM(G19:G28)</f>
        <v>456.59999999999997</v>
      </c>
      <c r="H29" s="220">
        <f>SUM(H19:H28)</f>
        <v>347.81</v>
      </c>
      <c r="I29" s="220">
        <f>SUM(I19:I28)</f>
        <v>32.86</v>
      </c>
      <c r="J29" s="221">
        <f>SUM(J19:J28)</f>
        <v>0</v>
      </c>
    </row>
    <row r="30" spans="1:12" ht="19.5" customHeight="1">
      <c r="A30" s="731" t="s">
        <v>597</v>
      </c>
      <c r="B30" s="731"/>
      <c r="C30" s="731"/>
      <c r="D30" s="731"/>
      <c r="E30" s="731"/>
      <c r="F30" s="220">
        <f>F16+F29</f>
        <v>3677.7599999999998</v>
      </c>
      <c r="G30" s="220">
        <f>G16+G29</f>
        <v>3677.7599999999998</v>
      </c>
      <c r="H30" s="220">
        <f>H16+H29</f>
        <v>347.81</v>
      </c>
      <c r="I30" s="220">
        <f>I16+I29</f>
        <v>32.86</v>
      </c>
      <c r="J30" s="221">
        <f>J16+J29</f>
        <v>0</v>
      </c>
    </row>
    <row r="31" spans="1:12" ht="19.5" customHeight="1">
      <c r="A31" s="716" t="s">
        <v>598</v>
      </c>
      <c r="B31" s="716"/>
      <c r="C31" s="716"/>
      <c r="D31" s="716"/>
      <c r="E31" s="716"/>
      <c r="F31" s="716"/>
      <c r="G31" s="716"/>
      <c r="H31" s="716"/>
      <c r="I31" s="716"/>
      <c r="J31" s="716"/>
    </row>
    <row r="32" spans="1:12" ht="19.5" customHeight="1">
      <c r="A32" s="725" t="s">
        <v>599</v>
      </c>
      <c r="B32" s="725"/>
      <c r="C32" s="725"/>
      <c r="D32" s="233" t="s">
        <v>538</v>
      </c>
      <c r="E32" s="732" t="s">
        <v>475</v>
      </c>
      <c r="F32" s="732"/>
      <c r="G32" s="732"/>
      <c r="H32" s="732"/>
      <c r="I32" s="732"/>
      <c r="J32" s="732"/>
    </row>
    <row r="33" spans="1:12" ht="19.5" customHeight="1">
      <c r="A33" s="234" t="s">
        <v>600</v>
      </c>
      <c r="B33" s="235"/>
      <c r="C33" s="235"/>
      <c r="D33" s="236">
        <f>Dados!$G$43</f>
        <v>0.03</v>
      </c>
      <c r="E33" s="237"/>
      <c r="F33" s="209">
        <f>ROUND((F30*$D$33),2)</f>
        <v>110.33</v>
      </c>
      <c r="G33" s="209">
        <f>ROUND((G30*$D$33),2)</f>
        <v>110.33</v>
      </c>
      <c r="H33" s="209">
        <f>ROUND((H30*$D$33),2)</f>
        <v>10.43</v>
      </c>
      <c r="I33" s="209">
        <f>ROUND((I30*$D$33),2)</f>
        <v>0.99</v>
      </c>
      <c r="J33" s="210">
        <f>ROUND((J30*$D$33),2)</f>
        <v>0</v>
      </c>
    </row>
    <row r="34" spans="1:12" ht="19.5" customHeight="1">
      <c r="A34" s="733" t="s">
        <v>601</v>
      </c>
      <c r="B34" s="733"/>
      <c r="C34" s="733"/>
      <c r="D34" s="236"/>
      <c r="E34" s="237"/>
      <c r="F34" s="209">
        <f>F30+F33</f>
        <v>3788.0899999999997</v>
      </c>
      <c r="G34" s="209">
        <f>G30+G33</f>
        <v>3788.0899999999997</v>
      </c>
      <c r="H34" s="209">
        <f>H30+H33</f>
        <v>358.24</v>
      </c>
      <c r="I34" s="209">
        <f>I30+I33</f>
        <v>33.85</v>
      </c>
      <c r="J34" s="210">
        <f>J30+J33</f>
        <v>0</v>
      </c>
    </row>
    <row r="35" spans="1:12" ht="19.5" customHeight="1">
      <c r="A35" s="238" t="s">
        <v>312</v>
      </c>
      <c r="B35" s="239"/>
      <c r="C35" s="239"/>
      <c r="D35" s="240">
        <f>Dados!$G$44</f>
        <v>6.7900000000000002E-2</v>
      </c>
      <c r="E35" s="241"/>
      <c r="F35" s="215">
        <f>ROUND((F34*$D$35),2)</f>
        <v>257.20999999999998</v>
      </c>
      <c r="G35" s="215">
        <f>ROUND((G34*$D$35),2)</f>
        <v>257.20999999999998</v>
      </c>
      <c r="H35" s="215">
        <f>ROUND((H34*$D$35),2)</f>
        <v>24.32</v>
      </c>
      <c r="I35" s="215">
        <f>ROUND((I34*$D$35),2)</f>
        <v>2.2999999999999998</v>
      </c>
      <c r="J35" s="216">
        <f>ROUND((J34*$D$35),2)</f>
        <v>0</v>
      </c>
    </row>
    <row r="36" spans="1:12" ht="19.5" customHeight="1">
      <c r="A36" s="242" t="s">
        <v>602</v>
      </c>
      <c r="B36" s="243"/>
      <c r="C36" s="243"/>
      <c r="D36" s="244">
        <f>SUM(D33:D35)</f>
        <v>9.7900000000000001E-2</v>
      </c>
      <c r="E36" s="245"/>
      <c r="F36" s="220">
        <f>F33+F35</f>
        <v>367.53999999999996</v>
      </c>
      <c r="G36" s="220">
        <f>G33+G35</f>
        <v>367.53999999999996</v>
      </c>
      <c r="H36" s="220">
        <f>H33+H35</f>
        <v>34.75</v>
      </c>
      <c r="I36" s="220">
        <f>I33+I35</f>
        <v>3.29</v>
      </c>
      <c r="J36" s="221">
        <f>J33+J35</f>
        <v>0</v>
      </c>
    </row>
    <row r="37" spans="1:12" ht="19.5" customHeight="1">
      <c r="A37" s="734" t="s">
        <v>603</v>
      </c>
      <c r="B37" s="734"/>
      <c r="C37" s="734"/>
      <c r="D37" s="734"/>
      <c r="E37" s="734"/>
      <c r="F37" s="246">
        <f>F30+F36</f>
        <v>4045.2999999999997</v>
      </c>
      <c r="G37" s="246">
        <f>G30+G36</f>
        <v>4045.2999999999997</v>
      </c>
      <c r="H37" s="246">
        <f>H30+H36</f>
        <v>382.56</v>
      </c>
      <c r="I37" s="246">
        <f>I30+I36</f>
        <v>36.15</v>
      </c>
      <c r="J37" s="247">
        <f>J30+J36</f>
        <v>0</v>
      </c>
    </row>
    <row r="38" spans="1:12" ht="19.5" customHeight="1">
      <c r="A38" s="735" t="s">
        <v>604</v>
      </c>
      <c r="B38" s="735"/>
      <c r="C38" s="735"/>
      <c r="D38" s="735"/>
      <c r="E38" s="735"/>
      <c r="F38" s="735"/>
      <c r="G38" s="735"/>
      <c r="H38" s="735"/>
      <c r="I38" s="735"/>
      <c r="J38" s="735"/>
    </row>
    <row r="39" spans="1:12" ht="19.5" customHeight="1">
      <c r="A39" s="728" t="s">
        <v>318</v>
      </c>
      <c r="B39" s="728"/>
      <c r="C39" s="728"/>
      <c r="D39" s="236">
        <f>Dados!G51</f>
        <v>7.5999999999999998E-2</v>
      </c>
      <c r="E39" s="248"/>
      <c r="F39" s="209">
        <f>ROUND(($F$45*D39),2)</f>
        <v>354.4</v>
      </c>
      <c r="G39" s="209">
        <f>ROUND((G45*$D$39),2)</f>
        <v>354.4</v>
      </c>
      <c r="H39" s="209">
        <f>ROUND((H45*$D$39),2)</f>
        <v>29.07</v>
      </c>
      <c r="I39" s="209">
        <f>ROUND((I45*$D$39),2)</f>
        <v>3.17</v>
      </c>
      <c r="J39" s="210">
        <f>ROUND((J45*$D$39),2)</f>
        <v>0</v>
      </c>
    </row>
    <row r="40" spans="1:12" ht="19.5" customHeight="1">
      <c r="A40" s="728" t="s">
        <v>320</v>
      </c>
      <c r="B40" s="728"/>
      <c r="C40" s="728"/>
      <c r="D40" s="236">
        <f>Dados!G52</f>
        <v>1.6500000000000001E-2</v>
      </c>
      <c r="E40" s="248"/>
      <c r="F40" s="209">
        <f>ROUND((F45*$D$40),2)</f>
        <v>76.94</v>
      </c>
      <c r="G40" s="209">
        <f>ROUND((G45*$D$40),2)</f>
        <v>76.94</v>
      </c>
      <c r="H40" s="209">
        <f>ROUND((H45*$D$40),2)</f>
        <v>6.31</v>
      </c>
      <c r="I40" s="209">
        <f>ROUND((I45*$D$40),2)</f>
        <v>0.69</v>
      </c>
      <c r="J40" s="210">
        <f>ROUND((J45*$D$40),2)</f>
        <v>0</v>
      </c>
    </row>
    <row r="41" spans="1:12" ht="19.5" customHeight="1">
      <c r="A41" s="728" t="s">
        <v>321</v>
      </c>
      <c r="B41" s="728"/>
      <c r="C41" s="728"/>
      <c r="D41" s="236">
        <f>Dados!G53</f>
        <v>0.04</v>
      </c>
      <c r="E41" s="248"/>
      <c r="F41" s="209">
        <f>ROUND((F45*$D$41),2)</f>
        <v>186.53</v>
      </c>
      <c r="G41" s="209">
        <f>ROUND((G45*$D$41),2)</f>
        <v>186.53</v>
      </c>
      <c r="H41" s="209">
        <f>ROUND((H45*$D$41),2)</f>
        <v>15.3</v>
      </c>
      <c r="I41" s="209">
        <f>ROUND((I45*$D$41),2)</f>
        <v>1.67</v>
      </c>
      <c r="J41" s="210">
        <f>ROUND((J45*$D$41),2)</f>
        <v>0</v>
      </c>
    </row>
    <row r="42" spans="1:12" ht="19.5" customHeight="1">
      <c r="A42" s="728" t="s">
        <v>307</v>
      </c>
      <c r="B42" s="728"/>
      <c r="C42" s="728"/>
      <c r="D42" s="236">
        <f>Dados!G54</f>
        <v>0</v>
      </c>
      <c r="E42" s="248"/>
      <c r="F42" s="209">
        <f>ROUND((F45*$D$42),2)</f>
        <v>0</v>
      </c>
      <c r="G42" s="209">
        <f>ROUND((G45*$D$42),2)</f>
        <v>0</v>
      </c>
      <c r="H42" s="209">
        <f>ROUND((H45*$D$42),2)</f>
        <v>0</v>
      </c>
      <c r="I42" s="209">
        <f>ROUND((I45*$D$42),2)</f>
        <v>0</v>
      </c>
      <c r="J42" s="210">
        <f>ROUND((J45*$D$42),2)</f>
        <v>0</v>
      </c>
    </row>
    <row r="43" spans="1:12" ht="19.5" customHeight="1">
      <c r="A43" s="737" t="s">
        <v>605</v>
      </c>
      <c r="B43" s="737"/>
      <c r="C43" s="737"/>
      <c r="D43" s="249">
        <f>SUM(D39:D42)</f>
        <v>0.13250000000000001</v>
      </c>
      <c r="E43" s="250"/>
      <c r="F43" s="251">
        <f>SUM(F39:F42)</f>
        <v>617.87</v>
      </c>
      <c r="G43" s="251">
        <f>SUM(G39:G42)</f>
        <v>617.87</v>
      </c>
      <c r="H43" s="251">
        <f>SUM(H39:H42)</f>
        <v>50.680000000000007</v>
      </c>
      <c r="I43" s="251">
        <f>SUM(I39:I42)</f>
        <v>5.5299999999999994</v>
      </c>
      <c r="J43" s="252">
        <f>SUM(J39:J41)</f>
        <v>0</v>
      </c>
    </row>
    <row r="44" spans="1:12" ht="19.5" customHeight="1">
      <c r="A44" s="738" t="str">
        <f>CONCATENATE("Custo Mensal - ",A7)</f>
        <v>Custo Mensal - Zelador</v>
      </c>
      <c r="B44" s="738"/>
      <c r="C44" s="738"/>
      <c r="D44" s="738"/>
      <c r="E44" s="738"/>
      <c r="F44" s="253">
        <f>ROUND(F37/(1-D43),2)</f>
        <v>4663.17</v>
      </c>
      <c r="G44" s="253">
        <f>ROUND(G37/(1-D43),2)</f>
        <v>4663.17</v>
      </c>
      <c r="H44" s="253">
        <f>ROUND(H37/(1-C43),2)</f>
        <v>382.56</v>
      </c>
      <c r="I44" s="253">
        <f>ROUND(I37/(1-D43),2)</f>
        <v>41.67</v>
      </c>
      <c r="J44" s="254">
        <f>ROUND(J37/(1-D43),2)</f>
        <v>0</v>
      </c>
    </row>
    <row r="45" spans="1:12" ht="19.5" customHeight="1">
      <c r="A45" s="739" t="str">
        <f>CONCATENATE("Valor do Custo Mensal - ",A7)</f>
        <v>Valor do Custo Mensal - Zelador</v>
      </c>
      <c r="B45" s="739"/>
      <c r="C45" s="739"/>
      <c r="D45" s="739"/>
      <c r="E45" s="739"/>
      <c r="F45" s="253">
        <f>F44</f>
        <v>4663.17</v>
      </c>
      <c r="G45" s="253">
        <f>G44</f>
        <v>4663.17</v>
      </c>
      <c r="H45" s="253">
        <f>H44</f>
        <v>382.56</v>
      </c>
      <c r="I45" s="253">
        <f>I44</f>
        <v>41.67</v>
      </c>
      <c r="J45" s="254">
        <f>J44</f>
        <v>0</v>
      </c>
      <c r="K45" s="255"/>
      <c r="L45" s="255"/>
    </row>
    <row r="46" spans="1:12" ht="27.75" customHeight="1">
      <c r="A46" s="740" t="s">
        <v>606</v>
      </c>
      <c r="B46" s="740"/>
      <c r="C46" s="740"/>
      <c r="D46" s="740"/>
      <c r="E46" s="740"/>
      <c r="F46" s="256">
        <f>(F45/F14)</f>
        <v>2.5920468252335982</v>
      </c>
      <c r="G46" s="256">
        <f>(G45/G14)</f>
        <v>2.5920468252335982</v>
      </c>
      <c r="H46" s="736" t="s">
        <v>607</v>
      </c>
      <c r="I46" s="736"/>
      <c r="J46" s="257">
        <v>0</v>
      </c>
    </row>
    <row r="47" spans="1:12" ht="19.5" customHeight="1"/>
  </sheetData>
  <sheetProtection password="C494" sheet="1" objects="1" scenarios="1"/>
  <mergeCells count="49">
    <mergeCell ref="H46:I46"/>
    <mergeCell ref="A42:C42"/>
    <mergeCell ref="A43:C43"/>
    <mergeCell ref="A44:E44"/>
    <mergeCell ref="A45:E45"/>
    <mergeCell ref="A46:E46"/>
    <mergeCell ref="A37:E37"/>
    <mergeCell ref="A38:J38"/>
    <mergeCell ref="A39:C39"/>
    <mergeCell ref="A40:C40"/>
    <mergeCell ref="A41:C41"/>
    <mergeCell ref="A30:E30"/>
    <mergeCell ref="A31:J31"/>
    <mergeCell ref="A32:C32"/>
    <mergeCell ref="E32:J32"/>
    <mergeCell ref="A34:C34"/>
    <mergeCell ref="A24:B24"/>
    <mergeCell ref="A25:B25"/>
    <mergeCell ref="A26:B26"/>
    <mergeCell ref="A28:B28"/>
    <mergeCell ref="A29:E29"/>
    <mergeCell ref="A19:B19"/>
    <mergeCell ref="A20:B20"/>
    <mergeCell ref="A21:B21"/>
    <mergeCell ref="A22:B22"/>
    <mergeCell ref="A23:B23"/>
    <mergeCell ref="A16:E16"/>
    <mergeCell ref="A17:J17"/>
    <mergeCell ref="A18:B18"/>
    <mergeCell ref="D18:E18"/>
    <mergeCell ref="F18:J18"/>
    <mergeCell ref="A9:J9"/>
    <mergeCell ref="B10:C10"/>
    <mergeCell ref="F10:J10"/>
    <mergeCell ref="A11:A15"/>
    <mergeCell ref="B11:C11"/>
    <mergeCell ref="B12:C12"/>
    <mergeCell ref="B14:E14"/>
    <mergeCell ref="B15:D15"/>
    <mergeCell ref="A4:J4"/>
    <mergeCell ref="A5:J5"/>
    <mergeCell ref="A6:J6"/>
    <mergeCell ref="A7:E7"/>
    <mergeCell ref="F7:F8"/>
    <mergeCell ref="G7:G8"/>
    <mergeCell ref="H7:H8"/>
    <mergeCell ref="I7:I8"/>
    <mergeCell ref="J7:J8"/>
    <mergeCell ref="A8:D8"/>
  </mergeCells>
  <pageMargins left="0.51180555555555496" right="0.51180555555555496" top="0.78749999999999998" bottom="0.78749999999999998" header="0.51180555555555496" footer="0.51180555555555496"/>
  <pageSetup paperSize="9" scale="67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Fábio Lucas Gouveia dos Santos</dc:creator>
  <cp:keywords/>
  <dc:description/>
  <cp:lastModifiedBy>mg11182ps</cp:lastModifiedBy>
  <cp:revision>3</cp:revision>
  <dcterms:created xsi:type="dcterms:W3CDTF">2015-06-05T18:17:20Z</dcterms:created>
  <dcterms:modified xsi:type="dcterms:W3CDTF">2024-01-31T19:49:23Z</dcterms:modified>
  <cp:category/>
  <cp:contentStatus/>
</cp:coreProperties>
</file>