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tables/table7.xml" ContentType="application/vnd.openxmlformats-officedocument.spreadsheetml.table+xml"/>
  <Override PartName="/xl/comments6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f6jusbr.sharepoint.com/sites/NUGTI-GestodeProjetos/Shared Documents/🎯 PRJ 3 - Contrato Nova Ferramenta ITSM/Planejamento/Pesquisa de preços/"/>
    </mc:Choice>
  </mc:AlternateContent>
  <xr:revisionPtr revIDLastSave="6" documentId="8_{C50A3563-E80A-47AC-B265-F807DA6CFB2D}" xr6:coauthVersionLast="47" xr6:coauthVersionMax="47" xr10:uidLastSave="{490B3975-7C71-423E-A9D4-779BDBD1328E}"/>
  <bookViews>
    <workbookView xWindow="-28920" yWindow="-120" windowWidth="29040" windowHeight="15840" activeTab="4" xr2:uid="{00000000-000D-0000-FFFF-FFFF00000000}"/>
  </bookViews>
  <sheets>
    <sheet name="IBM Control Desk" sheetId="1" r:id="rId1"/>
    <sheet name="Desenvolvimento SUDES" sheetId="7" r:id="rId2"/>
    <sheet name="Jira IPLANRIO" sheetId="5" r:id="rId3"/>
    <sheet name="Jira PrimeUp" sheetId="14" r:id="rId4"/>
    <sheet name="ServiceNow" sheetId="6" r:id="rId5"/>
    <sheet name="TCO" sheetId="8" r:id="rId6"/>
    <sheet name="Jira E-core" sheetId="9" state="hidden" r:id="rId7"/>
    <sheet name="Jira E-core v2" sheetId="10" state="hidden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8" l="1"/>
  <c r="B17" i="8"/>
  <c r="B16" i="8"/>
  <c r="D8" i="6"/>
  <c r="G8" i="6" s="1"/>
  <c r="G7" i="6"/>
  <c r="C7" i="8"/>
  <c r="D7" i="8" s="1"/>
  <c r="B7" i="8"/>
  <c r="C4" i="8"/>
  <c r="C3" i="8"/>
  <c r="B6" i="8"/>
  <c r="B5" i="8"/>
  <c r="B4" i="8"/>
  <c r="B3" i="8"/>
  <c r="D6" i="8"/>
  <c r="B15" i="8"/>
  <c r="G9" i="14"/>
  <c r="D6" i="14"/>
  <c r="G6" i="14" s="1"/>
  <c r="G4" i="14"/>
  <c r="D2" i="14"/>
  <c r="G2" i="14" s="1"/>
  <c r="D3" i="14"/>
  <c r="G3" i="14" s="1"/>
  <c r="G7" i="7"/>
  <c r="P25" i="7"/>
  <c r="K31" i="7"/>
  <c r="J31" i="7"/>
  <c r="E16" i="10"/>
  <c r="E17" i="10" s="1"/>
  <c r="E12" i="10"/>
  <c r="E13" i="10" s="1"/>
  <c r="G5" i="10"/>
  <c r="G4" i="10"/>
  <c r="G3" i="10"/>
  <c r="G2" i="10"/>
  <c r="G6" i="10" s="1"/>
  <c r="G8" i="10" s="1"/>
  <c r="E16" i="9"/>
  <c r="E17" i="9" s="1"/>
  <c r="E13" i="9"/>
  <c r="E12" i="9"/>
  <c r="G5" i="9"/>
  <c r="G4" i="9"/>
  <c r="G3" i="9"/>
  <c r="G2" i="9"/>
  <c r="D15" i="8"/>
  <c r="H7" i="1"/>
  <c r="H6" i="1"/>
  <c r="H5" i="1"/>
  <c r="G7" i="14" l="1"/>
  <c r="G6" i="9"/>
  <c r="G8" i="9" s="1"/>
  <c r="D3" i="5"/>
  <c r="G3" i="5" s="1"/>
  <c r="E3" i="1"/>
  <c r="H3" i="1" s="1"/>
  <c r="K23" i="7"/>
  <c r="K22" i="7"/>
  <c r="J23" i="7"/>
  <c r="J22" i="7"/>
  <c r="J21" i="7"/>
  <c r="K21" i="7"/>
  <c r="K20" i="7"/>
  <c r="J20" i="7"/>
  <c r="J19" i="7"/>
  <c r="K11" i="7"/>
  <c r="J11" i="7"/>
  <c r="J9" i="7"/>
  <c r="K10" i="7"/>
  <c r="J10" i="7"/>
  <c r="D3" i="6"/>
  <c r="G3" i="6" s="1"/>
  <c r="G5" i="6"/>
  <c r="D16" i="8" s="1"/>
  <c r="G6" i="6"/>
  <c r="D17" i="8" s="1"/>
  <c r="D2" i="6"/>
  <c r="G2" i="6"/>
  <c r="D2" i="5"/>
  <c r="G2" i="5" s="1"/>
  <c r="G4" i="5"/>
  <c r="E2" i="1"/>
  <c r="H2" i="1" s="1"/>
  <c r="C14" i="8" l="1"/>
  <c r="B14" i="8"/>
  <c r="C13" i="8"/>
  <c r="B13" i="8"/>
  <c r="C18" i="8"/>
  <c r="C23" i="8" s="1"/>
  <c r="G9" i="6"/>
  <c r="G11" i="6" s="1"/>
  <c r="G6" i="5"/>
  <c r="G8" i="5" s="1"/>
  <c r="H8" i="1"/>
  <c r="H10" i="1" s="1"/>
  <c r="N22" i="7"/>
  <c r="O22" i="7"/>
  <c r="P22" i="7" s="1"/>
  <c r="N23" i="7"/>
  <c r="O23" i="7"/>
  <c r="P23" i="7" s="1"/>
  <c r="N31" i="7"/>
  <c r="O31" i="7" s="1"/>
  <c r="P31" i="7" s="1"/>
  <c r="P32" i="7" s="1"/>
  <c r="P33" i="7" s="1"/>
  <c r="D4" i="7" s="1"/>
  <c r="G4" i="7" s="1"/>
  <c r="N10" i="7"/>
  <c r="O10" i="7"/>
  <c r="P10" i="7" s="1"/>
  <c r="N9" i="7"/>
  <c r="O9" i="7"/>
  <c r="P9" i="7" s="1"/>
  <c r="N11" i="7"/>
  <c r="O11" i="7"/>
  <c r="P11" i="7" s="1"/>
  <c r="N19" i="7"/>
  <c r="N20" i="7"/>
  <c r="N21" i="7"/>
  <c r="D14" i="8" l="1"/>
  <c r="B18" i="8"/>
  <c r="B23" i="8" s="1"/>
  <c r="D23" i="8" s="1"/>
  <c r="D13" i="8"/>
  <c r="D5" i="8"/>
  <c r="D3" i="8"/>
  <c r="B8" i="8"/>
  <c r="B22" i="8" s="1"/>
  <c r="D4" i="8"/>
  <c r="C8" i="8"/>
  <c r="C22" i="8" s="1"/>
  <c r="P24" i="7"/>
  <c r="D3" i="7" s="1"/>
  <c r="P12" i="7"/>
  <c r="P13" i="7" s="1"/>
  <c r="D18" i="8" l="1"/>
  <c r="D22" i="8"/>
  <c r="D8" i="8"/>
  <c r="G3" i="7"/>
  <c r="D2" i="7"/>
  <c r="G2" i="7" s="1"/>
  <c r="G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Mota de Azevedo Junior</author>
  </authors>
  <commentList>
    <comment ref="E2" authorId="0" shapeId="0" xr:uid="{C1A3A67F-7538-4B91-B70C-E1F83ACDD9C4}">
      <text>
        <r>
          <rPr>
            <sz val="11"/>
            <color theme="1"/>
            <rFont val="Calibri"/>
            <family val="2"/>
            <scheme val="minor"/>
          </rPr>
          <t>Como os valores das licenças do pregão 121/2020 TJSC são de 2019 e sofrem grande variação a cada ano, optamos por utilizar valores mais recentes a partir de pesquisas na internet. Não foram encontrados valores de licenças em pregão nos últimos 2 anos.
Detalhes:
* 105 USD por usuário por mês. 
* Dolar a R$ 4,99 em 04/05/2023.
* + 20% de lucro da empresa que fornecer as licenças</t>
        </r>
      </text>
    </comment>
    <comment ref="E3" authorId="0" shapeId="0" xr:uid="{273B64AE-95B9-4D87-ACF3-891DC946359D}">
      <text>
        <r>
          <rPr>
            <sz val="11"/>
            <color theme="1"/>
            <rFont val="Calibri"/>
            <family val="2"/>
            <scheme val="minor"/>
          </rPr>
          <t>melhorar valor.
- o valor de 25.600 foi obtido multiplicando o valor do PE 121/2020 por 2, uma vez que este suporte considerava apenas 40h mensais, ou seja, o equivalente a 1,33 horas por dia do mês. Como o sistema será novo, em um novo tribunal, julgamos pertinente ter um número maior de horas de suporte, a ser cobrado sob demanda.</t>
        </r>
      </text>
    </comment>
    <comment ref="E4" authorId="0" shapeId="0" xr:uid="{684822AE-9E89-420D-A301-A54A9D26DFA2}">
      <text>
        <r>
          <rPr>
            <sz val="11"/>
            <color theme="1"/>
            <rFont val="Calibri"/>
            <family val="2"/>
            <scheme val="minor"/>
          </rPr>
          <t xml:space="preserve">Não encontramos referências para instalação e parametrização do ServiceNow. Devido ao porte da ferramenta ser semelhante ao IBM Control Desk, utilizamos como referência o mesmo valor de instalação e parametrização do Pregão do TJSC
</t>
        </r>
      </text>
    </comment>
    <comment ref="E5" authorId="0" shapeId="0" xr:uid="{3865ECCB-FD8E-41BD-AC77-74934BAE7B29}">
      <text>
        <r>
          <rPr>
            <sz val="11"/>
            <color theme="1"/>
            <rFont val="Calibri"/>
            <family val="2"/>
            <scheme val="minor"/>
          </rPr>
          <t>Não foram encontradas referências de treinamento para o ServiceNow, apenas certificações individuais na faixa de 300USD cada, tornando inviável esta modalidade.
Optamos por utilizar os valores de treinamento em ferramenta ITSM presentes no Edital do STJ, conforme fonte indicada.</t>
        </r>
      </text>
    </comment>
    <comment ref="E6" authorId="0" shapeId="0" xr:uid="{FB484714-DC32-46E9-936E-8D4672E64CBF}">
      <text>
        <r>
          <rPr>
            <sz val="11"/>
            <color theme="1"/>
            <rFont val="Calibri"/>
            <family val="2"/>
            <scheme val="minor"/>
          </rPr>
          <t>Não foram encontradas referências de treinamento para o ServiceNow, apenas certificações individuais na faixa de 300USD cada, tornando inviável esta modalidade.
Optamos por utilizar os valores de treinamento em ferramenta ITSM presentes no Edital do STJ, conforme fonte indicada.</t>
        </r>
      </text>
    </comment>
    <comment ref="E7" authorId="0" shapeId="0" xr:uid="{4EF51E49-81A2-460C-B8A7-BBA76ADA13D4}">
      <text>
        <r>
          <rPr>
            <sz val="11"/>
            <color theme="1"/>
            <rFont val="Calibri"/>
            <family val="2"/>
            <scheme val="minor"/>
          </rPr>
          <t>Não foram encontradas referências de treinamento para o ServiceNow, apenas certificações individuais na faixa de 300USD cada, tornando inviável esta modalidade.
Optamos por utilizar os valores de treinamento em ferramenta ITSM presentes no Edital do STJ, conforme fonte indicada.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Mota de Azevedo Junior</author>
  </authors>
  <commentList>
    <comment ref="D2" authorId="0" shapeId="0" xr:uid="{84CED07F-889A-43D7-96C2-F562BEE75BA6}">
      <text>
        <r>
          <rPr>
            <sz val="11"/>
            <color theme="1"/>
            <rFont val="Calibri"/>
            <family val="2"/>
            <scheme val="minor"/>
          </rPr>
          <t>Estimativa detalhado no Quadro 1 ao lado.
Conforme estimativa inicial da área de Desenvolvimento de TI, seriam necessários pelo menos 4 servidores dedicados por 3 anos para entregar um MVP do produto.</t>
        </r>
      </text>
    </comment>
    <comment ref="D3" authorId="0" shapeId="0" xr:uid="{545931F5-8FEA-425C-B152-A86E5EB1C1B3}">
      <text>
        <r>
          <rPr>
            <sz val="11"/>
            <color theme="1"/>
            <rFont val="Calibri"/>
            <family val="2"/>
            <scheme val="minor"/>
          </rPr>
          <t>Estimativa detalhada no Quadro 2 ao lado
Consideramos um servidor full time dedicado ao suporte, correção de bugs e melhorias futuras na ferramenta</t>
        </r>
      </text>
    </comment>
    <comment ref="I7" authorId="0" shapeId="0" xr:uid="{0095F89B-8791-4376-9E26-A934E7089FB4}">
      <text>
        <r>
          <rPr>
            <sz val="11"/>
            <color theme="1"/>
            <rFont val="Calibri"/>
            <family val="2"/>
            <scheme val="minor"/>
          </rPr>
          <t>Para o ano 2, consideramos o aumento de 6% previsto para fev/2024 e ano 3 mais um reajuste de 6% previsto para fev/2025. Como não há previsão de novos aumentos, foi mantido o aumento final do ano 3 para os salários dos próximos anos</t>
        </r>
      </text>
    </comment>
    <comment ref="P8" authorId="0" shapeId="0" xr:uid="{F6113597-BD25-4F5A-AEFD-F04995BC40AD}">
      <text>
        <r>
          <rPr>
            <sz val="11"/>
            <color theme="1"/>
            <rFont val="Calibri"/>
            <family val="2"/>
            <scheme val="minor"/>
          </rPr>
          <t xml:space="preserve">Considerados 13 meses para levar em conta Gratificação Natalina + 1/3 férias
</t>
        </r>
      </text>
    </comment>
    <comment ref="I17" authorId="0" shapeId="0" xr:uid="{737DF81F-0E71-4948-9F23-7FC55A368EAF}">
      <text>
        <r>
          <rPr>
            <sz val="11"/>
            <color theme="1"/>
            <rFont val="Calibri"/>
            <family val="2"/>
            <scheme val="minor"/>
          </rPr>
          <t>Para o ano 2, consideramos o aumento de 6% previsto para fev/2024 e ano 3 mais um reajuste de 6% previsto para fev/2025. Como não há previsão de novos aumentos, foi mantido o aumento final do ano 3 para os salários dos próximos anos</t>
        </r>
      </text>
    </comment>
    <comment ref="P18" authorId="0" shapeId="0" xr:uid="{F7A6AB01-5630-42E0-87A2-9DC0ACB2CAF4}">
      <text>
        <r>
          <rPr>
            <sz val="11"/>
            <color theme="1"/>
            <rFont val="Calibri"/>
            <family val="2"/>
            <scheme val="minor"/>
          </rPr>
          <t xml:space="preserve">Considerados 13 meses para levar em conta Gratificação Natalina + 1/3 férias
</t>
        </r>
      </text>
    </comment>
    <comment ref="I29" authorId="0" shapeId="0" xr:uid="{2805313A-4336-4D45-9F59-F62253685DA8}">
      <text>
        <r>
          <rPr>
            <sz val="11"/>
            <color theme="1"/>
            <rFont val="Calibri"/>
            <family val="2"/>
            <scheme val="minor"/>
          </rPr>
          <t>Para o ano 2, consideramos o aumento de 6% previsto para fev/2024 e ano 3 mais um reajuste de 6% previsto para fev/2025. Como não há previsão de novos aumentos, foi mantido o aumento final do ano 3 para os salários dos próximos anos</t>
        </r>
      </text>
    </comment>
    <comment ref="P30" authorId="0" shapeId="0" xr:uid="{7D6175A1-BDC2-405A-9202-895E103A4C51}">
      <text>
        <r>
          <rPr>
            <sz val="11"/>
            <color theme="1"/>
            <rFont val="Calibri"/>
            <family val="2"/>
            <scheme val="minor"/>
          </rPr>
          <t xml:space="preserve">Considerados 13 meses para levar em conta Gratificação Natalina + 1/3 férias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Mota de Azevedo Junior</author>
  </authors>
  <commentList>
    <comment ref="D4" authorId="0" shapeId="0" xr:uid="{CE628B89-E2E0-4B1C-BD08-8A459B1FA1D5}">
      <text>
        <r>
          <rPr>
            <sz val="11"/>
            <color theme="1"/>
            <rFont val="Calibri"/>
            <family val="2"/>
            <scheme val="minor"/>
          </rPr>
          <t>Conforme Termo de Referência do respectivo Pregão, o suporte já está incluído no valor cobrado pelas licenças do Jira Service Management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Mota de Azevedo Junior</author>
  </authors>
  <commentList>
    <comment ref="D2" authorId="0" shapeId="0" xr:uid="{146DCA26-C88A-473F-BE14-ACA29A19901E}">
      <text>
        <r>
          <rPr>
            <sz val="11"/>
            <color theme="1"/>
            <rFont val="Calibri"/>
            <family val="2"/>
            <scheme val="minor"/>
          </rPr>
          <t xml:space="preserve">Não foram encontradas licitações em órgãos públicos para a ferramenta ServiceNow. 
Utilizamos o valor encontrado em pesquisa na internet, conforme detalhes abaixo:
* licença por usuário USD 100,00
* dólar a R$ 4,99 em 04/05/2023.
* Margem de lucro do fornecedor, sem contar impostos: 20%
</t>
        </r>
      </text>
    </comment>
    <comment ref="D3" authorId="0" shapeId="0" xr:uid="{A9E80EFB-87D8-4CA0-BCA2-6DB22B3EDFEF}">
      <text>
        <r>
          <rPr>
            <sz val="11"/>
            <color theme="1"/>
            <rFont val="Calibri"/>
            <family val="2"/>
            <scheme val="minor"/>
          </rPr>
          <t>Não encontramos referências de valores para suporte do ServiceNow. Devido a semelhança de porte entre esta ferramenta e o IBM Control Desk, optamos por usar como estimativa o mesmo valor, de R$ 12.800,00 mensais</t>
        </r>
      </text>
    </comment>
    <comment ref="D4" authorId="0" shapeId="0" xr:uid="{367AF1BE-6B80-47B6-99D0-7FA0277A54B1}">
      <text>
        <r>
          <rPr>
            <sz val="11"/>
            <color theme="1"/>
            <rFont val="Calibri"/>
            <family val="2"/>
            <scheme val="minor"/>
          </rPr>
          <t>Não encontramos referências de valores para instalação do ServiceNow. Devido a semelhança de porte entre esta ferramenta e o IBM Control Desk, optamos por usar como estimativa o mesmo valor de instalação/parametrização do pregão 121/2020 do TJSC: http://comprasnet.gov.br/ConsultaLicitacoes/download/download_editais_detalhe.asp?coduasg=925045&amp;modprp=5&amp;numprp=1212020</t>
        </r>
      </text>
    </comment>
    <comment ref="D5" authorId="0" shapeId="0" xr:uid="{1401DAB9-18EF-4ADB-9A72-4F0C2814178B}">
      <text>
        <r>
          <rPr>
            <sz val="11"/>
            <color theme="1"/>
            <rFont val="Calibri"/>
            <family val="2"/>
            <scheme val="minor"/>
          </rPr>
          <t>Não foram encontradas referências de treinamento para o ServiceNow, apenas certificações individuais na faixa de 300USD cada, tornando inviável esta modalidade.
Optamos por utilizar os valores de treinamento em ferramenta ITSM presentes no Edital do STJ, conforme fonte indicada.</t>
        </r>
      </text>
    </comment>
    <comment ref="D6" authorId="0" shapeId="0" xr:uid="{AE8FA3F5-6974-4BB8-9E04-33A2875798C7}">
      <text>
        <r>
          <rPr>
            <sz val="11"/>
            <color theme="1"/>
            <rFont val="Calibri"/>
            <family val="2"/>
            <scheme val="minor"/>
          </rPr>
          <t>Não foram encontradas referências de treinamento para o ServiceNow, apenas certificações individuais na faixa de 300USD cada, tornando inviável esta modalidade.
Optamos por utilizar os valores de treinamento em ferramenta ITSM presentes no Edital do STJ, conforme fonte indicada.</t>
        </r>
      </text>
    </comment>
    <comment ref="D7" authorId="0" shapeId="0" xr:uid="{2F34D6E2-3EDF-44C1-95AA-787AD0C3A2BB}">
      <text>
        <r>
          <rPr>
            <sz val="11"/>
            <color theme="1"/>
            <rFont val="Calibri"/>
            <family val="2"/>
            <scheme val="minor"/>
          </rPr>
          <t>Não foram encontradas referências de treinamento para o ServiceNow, apenas certificações individuais na faixa de 300USD cada, tornando inviável esta modalidade.
Optamos por utilizar os valores de treinamento em ferramenta ITSM presentes no Edital do STJ, conforme fonte indicada.</t>
        </r>
      </text>
    </comment>
    <comment ref="C8" authorId="0" shapeId="0" xr:uid="{BAFB4C87-F8ED-4A44-9619-AD7426DA0F2B}">
      <text>
        <r>
          <rPr>
            <b/>
            <sz val="9"/>
            <color indexed="81"/>
            <rFont val="Segoe UI"/>
            <charset val="1"/>
          </rPr>
          <t>Considerado o mesmo do JIRA por falta de valor base para o ServiceNow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Mota de Azevedo Junior</author>
  </authors>
  <commentList>
    <comment ref="D4" authorId="0" shapeId="0" xr:uid="{4746EE4F-7215-480C-AF12-50F1FF575B57}">
      <text>
        <r>
          <rPr>
            <sz val="11"/>
            <color theme="1"/>
            <rFont val="Calibri"/>
            <family val="2"/>
            <scheme val="minor"/>
          </rPr>
          <t>Conforme Termo de Referência do respectivo Pregão, o suporte já está incluído no valor cobrado pelas licenças do Jira Service Management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Mota de Azevedo Junior</author>
  </authors>
  <commentList>
    <comment ref="D4" authorId="0" shapeId="0" xr:uid="{29292C3A-488B-4F82-9C9A-C80C8B0C6DE7}">
      <text>
        <r>
          <rPr>
            <sz val="11"/>
            <color theme="1"/>
            <rFont val="Calibri"/>
            <family val="2"/>
            <scheme val="minor"/>
          </rPr>
          <t>Conforme Termo de Referência do respectivo Pregão, o suporte já está incluído no valor cobrado pelas licenças do Jira Service Management</t>
        </r>
      </text>
    </comment>
  </commentList>
</comments>
</file>

<file path=xl/sharedStrings.xml><?xml version="1.0" encoding="utf-8"?>
<sst xmlns="http://schemas.openxmlformats.org/spreadsheetml/2006/main" count="254" uniqueCount="70">
  <si>
    <t>Fonte</t>
  </si>
  <si>
    <t>Links</t>
  </si>
  <si>
    <t>Item</t>
  </si>
  <si>
    <t>Valor mensal</t>
  </si>
  <si>
    <t>Qtd item</t>
  </si>
  <si>
    <t>Qtd Meses</t>
  </si>
  <si>
    <t>Valor Total</t>
  </si>
  <si>
    <t>Pesquisa internet</t>
  </si>
  <si>
    <t>https://www.g2.com/products/ibm-control-desk/pricing</t>
  </si>
  <si>
    <t>Licença usuários</t>
  </si>
  <si>
    <t>http://comprasnet.gov.br/ConsultaLicitacoes/download/download_editais_detalhe.asp?coduasg=925045&amp;modprp=5&amp;numprp=1212020
http://comprasnet.gov.br/acesso.asp?url=/livre/pregao/ata0.asp</t>
  </si>
  <si>
    <t>Suporte Técnico</t>
  </si>
  <si>
    <t>Instalação e parametrização</t>
  </si>
  <si>
    <t>-</t>
  </si>
  <si>
    <t>TOTAL</t>
  </si>
  <si>
    <t>Valor anual</t>
  </si>
  <si>
    <t>Pregão IPLANRIO (nov/2022)</t>
  </si>
  <si>
    <t>Analista Judiciário - Especialidade TI
Full time no desenvolvimento da ferramenta ITSM</t>
  </si>
  <si>
    <t>Suporte Técnico e melhorias</t>
  </si>
  <si>
    <t>Instalação, parametrização 
e treinamentos</t>
  </si>
  <si>
    <t>Quadro 1
Desenvolvimento</t>
  </si>
  <si>
    <t>Fonte CJF 2023</t>
  </si>
  <si>
    <t>Ano</t>
  </si>
  <si>
    <t>Vencim.</t>
  </si>
  <si>
    <t>GAJ</t>
  </si>
  <si>
    <t>Aux 
Alimentação</t>
  </si>
  <si>
    <t>Aux 
Saúde</t>
  </si>
  <si>
    <t>Funpresp 
Patrocinador</t>
  </si>
  <si>
    <t>Total
mensal</t>
  </si>
  <si>
    <t>Total
Ano</t>
  </si>
  <si>
    <t>Total</t>
  </si>
  <si>
    <t>Média mensal</t>
  </si>
  <si>
    <t>Quadro 2
Suporte/Melhorias</t>
  </si>
  <si>
    <t>Quadro 3
Instalação, parametrização e treinamentos</t>
  </si>
  <si>
    <t>Instalação, parametrização e treinamentos</t>
  </si>
  <si>
    <t>Valor mensal 
ou unitário</t>
  </si>
  <si>
    <t>Internet</t>
  </si>
  <si>
    <t>https://www.apty.io/blog/servicenow-implementation-cost/</t>
  </si>
  <si>
    <t>Pregão 3/2023 STJ</t>
  </si>
  <si>
    <t>colocar ref do SEI pdf</t>
  </si>
  <si>
    <t>Treinamentos Operação</t>
  </si>
  <si>
    <t>Treinamentos Administração</t>
  </si>
  <si>
    <t>Treinamentos Usuários Finais</t>
  </si>
  <si>
    <t>Qtd</t>
  </si>
  <si>
    <t>Meses</t>
  </si>
  <si>
    <t>Pregão TJSC 121/2020</t>
  </si>
  <si>
    <t>Consulta SUDES</t>
  </si>
  <si>
    <t>Licença usuários Gerenciamento de Serviços</t>
  </si>
  <si>
    <t>Licença usuários Gerenciamento de Projetos</t>
  </si>
  <si>
    <t>http://comprasnet.gov.br/ConsultaLicitacoes/download/download_editais_detalhe.asp?coduasg=986001&amp;modprp=5&amp;numprp=11902022</t>
  </si>
  <si>
    <t>Ano 1</t>
  </si>
  <si>
    <t>Ano 2</t>
  </si>
  <si>
    <t>Jira (Atlassian)</t>
  </si>
  <si>
    <t>ServiceNow</t>
  </si>
  <si>
    <t xml:space="preserve">Total </t>
  </si>
  <si>
    <t xml:space="preserve">Licença usuários Gerenciamento de Serviços </t>
  </si>
  <si>
    <t xml:space="preserve">Licença usuários Gerenciamento de Projetos </t>
  </si>
  <si>
    <t>Descrição da Solução</t>
  </si>
  <si>
    <t>email e-core</t>
  </si>
  <si>
    <t>E-Core</t>
  </si>
  <si>
    <t>n/a</t>
  </si>
  <si>
    <t>Treinamentos</t>
  </si>
  <si>
    <t>Horas Técnicas Especializadas</t>
  </si>
  <si>
    <t>PrimeUp</t>
  </si>
  <si>
    <t>email PrimeUp
(0540633)</t>
  </si>
  <si>
    <t>Instalação, parametrização</t>
  </si>
  <si>
    <t>Valor médio anual</t>
  </si>
  <si>
    <t xml:space="preserve">PrimeUP </t>
  </si>
  <si>
    <t>(+128%)</t>
  </si>
  <si>
    <t>Contratação com mais de 1 ano (desconsiderada)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</si>
</sst>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&quot;R$&quot;\ #,##0.0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Segoe UI"/>
      <charset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0" fillId="3" borderId="0" xfId="0" applyFill="1"/>
    <xf numFmtId="164" fontId="0" fillId="3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Fill="1"/>
    <xf numFmtId="0" fontId="0" fillId="0" borderId="2" xfId="0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5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6" borderId="2" xfId="0" applyFont="1" applyFill="1" applyBorder="1" applyAlignment="1">
      <alignment horizontal="right" vertical="center"/>
    </xf>
    <xf numFmtId="164" fontId="0" fillId="6" borderId="2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2" xfId="0" quotePrefix="1" applyNumberFormat="1" applyBorder="1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0" fillId="4" borderId="0" xfId="0" applyFill="1" applyAlignment="1">
      <alignment horizontal="right"/>
    </xf>
    <xf numFmtId="164" fontId="0" fillId="4" borderId="3" xfId="0" applyNumberFormat="1" applyFill="1" applyBorder="1" applyAlignment="1">
      <alignment horizontal="center" vertical="center"/>
    </xf>
    <xf numFmtId="9" fontId="0" fillId="4" borderId="0" xfId="3" quotePrefix="1" applyFont="1" applyFill="1"/>
  </cellXfs>
  <cellStyles count="4">
    <cellStyle name="Hiperlink" xfId="2" builtinId="8"/>
    <cellStyle name="Hyperlink" xfId="1" xr:uid="{00000000-000B-0000-0000-000008000000}"/>
    <cellStyle name="Normal" xfId="0" builtinId="0"/>
    <cellStyle name="Porcentagem" xfId="3" builtinId="5"/>
  </cellStyles>
  <dxfs count="63">
    <dxf>
      <numFmt numFmtId="164" formatCode="&quot;R$&quot;\ 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  <alignment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  <alignment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  <alignment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  <alignment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  <alignment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  <alignment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  <alignment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3A7DFF-F51A-4CA7-AF36-89E1A993EA5E}" name="Tabela1" displayName="Tabela1" ref="B1:H7" totalsRowShown="0" headerRowDxfId="62" dataDxfId="61">
  <autoFilter ref="B1:H7" xr:uid="{903A7DFF-F51A-4CA7-AF36-89E1A993EA5E}"/>
  <tableColumns count="7">
    <tableColumn id="1" xr3:uid="{0090171E-C2DB-4CAA-8751-278C58DDBC76}" name="Fonte" dataDxfId="60"/>
    <tableColumn id="2" xr3:uid="{7CFBD34C-A30A-4784-B3C5-F37FAD9E1131}" name="Links" dataDxfId="59"/>
    <tableColumn id="3" xr3:uid="{2691DD03-E3F6-48D0-882C-6DF6682A462E}" name="Item" dataDxfId="58"/>
    <tableColumn id="4" xr3:uid="{11EDB2CD-8B30-4FBE-B8CC-6F4428E38E8C}" name="Valor mensal" dataDxfId="57"/>
    <tableColumn id="5" xr3:uid="{0AAB8FFB-A7D2-44FC-A6FE-7A1125630EF2}" name="Qtd" dataDxfId="56"/>
    <tableColumn id="6" xr3:uid="{0463F43D-EA00-49FC-B933-67AEA3DE2071}" name="Meses" dataDxfId="55"/>
    <tableColumn id="7" xr3:uid="{C226695F-6514-477E-8BD2-6FA7A9F15823}" name="Valor Total" dataDxfId="5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775696C-EC9F-4FF4-9683-86E064A43287}" name="Tabela135" displayName="Tabela135" ref="A1:G4" totalsRowShown="0" headerRowDxfId="53" dataDxfId="52">
  <autoFilter ref="A1:G4" xr:uid="{903A7DFF-F51A-4CA7-AF36-89E1A993EA5E}"/>
  <tableColumns count="7">
    <tableColumn id="1" xr3:uid="{23CA41CA-F59A-4F08-B611-950F67EABC32}" name="Fonte" dataDxfId="51"/>
    <tableColumn id="2" xr3:uid="{707A3D8D-0BAC-4165-BB4B-199D4102052F}" name="Links" dataDxfId="50"/>
    <tableColumn id="3" xr3:uid="{20327D52-5FB9-4033-B028-E9D9CCD16193}" name="Item" dataDxfId="49"/>
    <tableColumn id="4" xr3:uid="{F2F5A9E0-23E9-4651-B3EE-AD7B2157ADAD}" name="Valor mensal" dataDxfId="48"/>
    <tableColumn id="5" xr3:uid="{E81C31BB-FEE0-409D-A56D-6356100AF9DF}" name="Qtd item" dataDxfId="47"/>
    <tableColumn id="6" xr3:uid="{38C6A940-F949-4D6F-B6E0-88529997855A}" name="Qtd Meses" dataDxfId="46"/>
    <tableColumn id="7" xr3:uid="{B6424827-4663-4BE8-A4EE-E21FFCA98575}" name="Valor Total" dataDxfId="45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E35833-21BF-46A2-A840-58582283E807}" name="Tabela13" displayName="Tabela13" ref="A1:G5" totalsRowShown="0" headerRowDxfId="44" dataDxfId="43">
  <autoFilter ref="A1:G5" xr:uid="{903A7DFF-F51A-4CA7-AF36-89E1A993EA5E}"/>
  <tableColumns count="7">
    <tableColumn id="1" xr3:uid="{83BA7C65-2519-4627-B1E2-BB22D15BE73C}" name="Fonte" dataDxfId="42"/>
    <tableColumn id="2" xr3:uid="{92E1E493-3324-4402-B564-034488F6B246}" name="Links" dataDxfId="41"/>
    <tableColumn id="3" xr3:uid="{AA32A27F-5B37-4FFD-9D29-CDAED11C27FB}" name="Item" dataDxfId="40"/>
    <tableColumn id="4" xr3:uid="{F2CFEC9F-C924-407F-958E-A786BF8EBC55}" name="Valor mensal" dataDxfId="39"/>
    <tableColumn id="5" xr3:uid="{27AD4B0D-8CA2-402E-A09D-0EFBD70F10AA}" name="Qtd item" dataDxfId="38"/>
    <tableColumn id="6" xr3:uid="{DF719E99-E49C-41ED-B9EF-14B1C83EB634}" name="Qtd Meses" dataDxfId="37"/>
    <tableColumn id="7" xr3:uid="{4BEC0633-53B0-45FD-9D3F-A63DBAB62D52}" name="Valor Total" dataDxfId="36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2D9F503-3B5C-46F5-A614-201A0D207B5A}" name="Tabela137681011" displayName="Tabela137681011" ref="A1:G6" totalsRowShown="0" headerRowDxfId="35" dataDxfId="34">
  <autoFilter ref="A1:G6" xr:uid="{903A7DFF-F51A-4CA7-AF36-89E1A993EA5E}"/>
  <tableColumns count="7">
    <tableColumn id="1" xr3:uid="{5A2CE121-5DE0-4A6E-8381-C535FE7739BC}" name="Fonte" dataDxfId="33"/>
    <tableColumn id="2" xr3:uid="{0AC14CEF-0792-4FA5-B378-958494B96B09}" name="Links" dataDxfId="32"/>
    <tableColumn id="3" xr3:uid="{243C06BE-1285-483E-A09D-A54F788B1B1C}" name="Item" dataDxfId="31"/>
    <tableColumn id="4" xr3:uid="{7098DFED-A68E-4271-9331-CF18879F1AA0}" name="Valor mensal" dataDxfId="30"/>
    <tableColumn id="5" xr3:uid="{1D5052CF-8E41-4F60-87E4-2D89913D1E6E}" name="Qtd item" dataDxfId="29"/>
    <tableColumn id="6" xr3:uid="{31AB3CE8-352D-4DE2-89E9-B74481C6FE8D}" name="Qtd Meses" dataDxfId="28"/>
    <tableColumn id="7" xr3:uid="{31A1E400-D8B3-4E90-A808-CF7A0E58C84F}" name="Valor Total" dataDxfId="27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866D0CF-78AE-4453-8CC2-016030EFA9E1}" name="Tabela134" displayName="Tabela134" ref="A1:G8" totalsRowShown="0" headerRowDxfId="26" dataDxfId="25">
  <autoFilter ref="A1:G8" xr:uid="{903A7DFF-F51A-4CA7-AF36-89E1A993EA5E}"/>
  <tableColumns count="7">
    <tableColumn id="1" xr3:uid="{FE900443-2C63-4019-9395-AF9F0B367C70}" name="Fonte" dataDxfId="24"/>
    <tableColumn id="2" xr3:uid="{8C020E48-94D8-46B3-9365-8A078FEF21B3}" name="Links" dataDxfId="23"/>
    <tableColumn id="3" xr3:uid="{0588316A-19E3-46E2-A194-68B208548D9A}" name="Item" dataDxfId="22"/>
    <tableColumn id="4" xr3:uid="{202909A3-A2AE-4BB9-90EE-741B808A18C0}" name="Valor mensal _x000a_ou unitário" dataDxfId="21"/>
    <tableColumn id="5" xr3:uid="{D55BF0ED-6C00-44E5-9CC7-14BA7CF1082F}" name="Qtd item" dataDxfId="20"/>
    <tableColumn id="6" xr3:uid="{840CB116-C45C-41E2-9021-F8EB9325DA31}" name="Qtd Meses" dataDxfId="19"/>
    <tableColumn id="7" xr3:uid="{23AB1B0B-B72E-45F2-8226-CDA338178FBF}" name="Valor Total" dataDxfId="18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05D6851-D486-4DFF-BF2B-16DE62995972}" name="Tabela137" displayName="Tabela137" ref="A1:G5" totalsRowShown="0" headerRowDxfId="17" dataDxfId="16">
  <autoFilter ref="A1:G5" xr:uid="{903A7DFF-F51A-4CA7-AF36-89E1A993EA5E}"/>
  <tableColumns count="7">
    <tableColumn id="1" xr3:uid="{CCA1C3CE-2350-4595-8EA0-E009D49CF23E}" name="Fonte" dataDxfId="15"/>
    <tableColumn id="2" xr3:uid="{946B1C1D-EFDE-4620-A6C3-BAB1B258CEFC}" name="Links" dataDxfId="14"/>
    <tableColumn id="3" xr3:uid="{D9523C06-131D-47EE-9D7A-F70D6D61A921}" name="Item" dataDxfId="13"/>
    <tableColumn id="4" xr3:uid="{8E19D053-25A5-43C9-9817-38F2D7F7CC4D}" name="Valor mensal" dataDxfId="12"/>
    <tableColumn id="5" xr3:uid="{7AC97F0A-ADA4-4E3B-A21C-17242B50D9D2}" name="Qtd item" dataDxfId="11"/>
    <tableColumn id="6" xr3:uid="{7ECA165C-0E19-4560-BFE4-4D9DD933668E}" name="Qtd Meses" dataDxfId="10"/>
    <tableColumn id="7" xr3:uid="{62CA0419-9BE9-40E1-BC24-6156230AAC3B}" name="Valor Total" dataDxfId="9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F2E5B77-94C2-4CCF-8CC7-8F927495FC2B}" name="Tabela1376" displayName="Tabela1376" ref="A1:G5" totalsRowShown="0" headerRowDxfId="8" dataDxfId="7">
  <autoFilter ref="A1:G5" xr:uid="{903A7DFF-F51A-4CA7-AF36-89E1A993EA5E}"/>
  <tableColumns count="7">
    <tableColumn id="1" xr3:uid="{2B18CCD0-9ED3-4ADA-BBD5-782AD6942213}" name="Fonte" dataDxfId="6"/>
    <tableColumn id="2" xr3:uid="{13145420-08A7-4F91-8E3F-C8E1554A0A56}" name="Links" dataDxfId="5"/>
    <tableColumn id="3" xr3:uid="{70003269-A42F-4756-8761-F1AC7712EC33}" name="Item" dataDxfId="4"/>
    <tableColumn id="4" xr3:uid="{FDD128C5-0940-48E5-8BF5-71AB549AC35C}" name="Valor mensal" dataDxfId="3"/>
    <tableColumn id="5" xr3:uid="{5C5C6F4D-8C7D-42DE-B5B5-822328575123}" name="Qtd item" dataDxfId="2"/>
    <tableColumn id="6" xr3:uid="{84A1D0FE-E994-4933-B6D7-E9309AE50C66}" name="Qtd Meses" dataDxfId="1"/>
    <tableColumn id="7" xr3:uid="{9B1B33A7-CF65-4090-9853-C27B2B0FD4B3}" name="Valor Tota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comprasnet.gov.br/ConsultaLicitacoes/download/download_editais_detalhe.asp?coduasg=925045&amp;modprp=5&amp;numprp=121202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mprasnet.gov.br/ConsultaLicitacoes/download/download_editais_detalhe.asp?coduasg=925045&amp;modprp=5&amp;numprp=1212020" TargetMode="External"/><Relationship Id="rId1" Type="http://schemas.openxmlformats.org/officeDocument/2006/relationships/hyperlink" Target="https://www.g2.com/products/ibm-control-desk/pricing" TargetMode="External"/><Relationship Id="rId6" Type="http://schemas.openxmlformats.org/officeDocument/2006/relationships/hyperlink" Target="https://www.apty.io/blog/servicenow-implementation-cost/" TargetMode="External"/><Relationship Id="rId5" Type="http://schemas.openxmlformats.org/officeDocument/2006/relationships/hyperlink" Target="https://www.apty.io/blog/servicenow-implementation-cost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apty.io/blog/servicenow-implementation-cost/" TargetMode="External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www.funprespjud.com.br/simulador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funprespjud.com.br/simulador/" TargetMode="External"/><Relationship Id="rId1" Type="http://schemas.openxmlformats.org/officeDocument/2006/relationships/hyperlink" Target="https://www.cjf.jus.br/cjf/transparencia-publica-1/informacoes-sobre-pessoal/estrutura-remuneratoria/2023/tabela-de-remuneracao-de-servidores/@@download/arquivo" TargetMode="External"/><Relationship Id="rId6" Type="http://schemas.openxmlformats.org/officeDocument/2006/relationships/hyperlink" Target="https://www.cjf.jus.br/cjf/transparencia-publica-1/informacoes-sobre-pessoal/estrutura-remuneratoria/2023/tabela-de-remuneracao-de-servidores/@@download/arquivo" TargetMode="External"/><Relationship Id="rId5" Type="http://schemas.openxmlformats.org/officeDocument/2006/relationships/hyperlink" Target="http://www.funprespjud.com.br/simulador/" TargetMode="External"/><Relationship Id="rId10" Type="http://schemas.openxmlformats.org/officeDocument/2006/relationships/comments" Target="../comments2.xml"/><Relationship Id="rId4" Type="http://schemas.openxmlformats.org/officeDocument/2006/relationships/hyperlink" Target="https://www.cjf.jus.br/cjf/transparencia-publica-1/informacoes-sobre-pessoal/estrutura-remuneratoria/2023/tabela-de-remuneracao-de-servidores/@@download/arquivo" TargetMode="External"/><Relationship Id="rId9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hyperlink" Target="http://comprasnet.gov.br/ConsultaLicitacoes/download/download_editais_detalhe.asp?coduasg=986001&amp;modprp=5&amp;numprp=11902022" TargetMode="External"/><Relationship Id="rId7" Type="http://schemas.openxmlformats.org/officeDocument/2006/relationships/table" Target="../tables/table3.xml"/><Relationship Id="rId2" Type="http://schemas.openxmlformats.org/officeDocument/2006/relationships/hyperlink" Target="http://comprasnet.gov.br/ConsultaLicitacoes/download/download_editais_detalhe.asp?coduasg=986001&amp;modprp=5&amp;numprp=11902022" TargetMode="External"/><Relationship Id="rId1" Type="http://schemas.openxmlformats.org/officeDocument/2006/relationships/hyperlink" Target="http://comprasnet.gov.br/ConsultaLicitacoes/download/download_editais_detalhe.asp?coduasg=986001&amp;modprp=5&amp;numprp=11902022" TargetMode="External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comprasnet.gov.br/ConsultaLicitacoes/download/download_editais_detalhe.asp?coduasg=986001&amp;modprp=5&amp;numprp=1190202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sei.trf6.jus.br/sei/controlador.php?acao=procedimento_trabalhar&amp;id_procedimento=224804&amp;id_documento=617118" TargetMode="External"/><Relationship Id="rId7" Type="http://schemas.openxmlformats.org/officeDocument/2006/relationships/table" Target="../tables/table4.xml"/><Relationship Id="rId2" Type="http://schemas.openxmlformats.org/officeDocument/2006/relationships/hyperlink" Target="https://sei.trf6.jus.br/sei/controlador.php?acao=procedimento_trabalhar&amp;id_procedimento=224804&amp;id_documento=617118" TargetMode="External"/><Relationship Id="rId1" Type="http://schemas.openxmlformats.org/officeDocument/2006/relationships/hyperlink" Target="https://sei.trf6.jus.br/sei/controlador.php?acao=procedimento_trabalhar&amp;id_procedimento=224804&amp;id_documento=617118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sei.trf6.jus.br/sei/controlador.php?acao=procedimento_trabalhar&amp;id_procedimento=224804&amp;id_documento=617118" TargetMode="External"/><Relationship Id="rId4" Type="http://schemas.openxmlformats.org/officeDocument/2006/relationships/hyperlink" Target="https://sei.trf6.jus.br/sei/controlador.php?acao=procedimento_trabalhar&amp;id_procedimento=224804&amp;id_documento=617118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www.apty.io/blog/servicenow-implementation-cost/" TargetMode="External"/><Relationship Id="rId7" Type="http://schemas.openxmlformats.org/officeDocument/2006/relationships/hyperlink" Target="https://www.apty.io/blog/servicenow-implementation-cost/" TargetMode="External"/><Relationship Id="rId2" Type="http://schemas.openxmlformats.org/officeDocument/2006/relationships/hyperlink" Target="https://www.apty.io/blog/servicenow-implementation-cost/" TargetMode="External"/><Relationship Id="rId1" Type="http://schemas.openxmlformats.org/officeDocument/2006/relationships/hyperlink" Target="https://www.apty.io/blog/servicenow-implementation-cost/" TargetMode="External"/><Relationship Id="rId6" Type="http://schemas.openxmlformats.org/officeDocument/2006/relationships/hyperlink" Target="https://www.apty.io/blog/servicenow-implementation-cost/" TargetMode="External"/><Relationship Id="rId11" Type="http://schemas.openxmlformats.org/officeDocument/2006/relationships/comments" Target="../comments4.xml"/><Relationship Id="rId5" Type="http://schemas.openxmlformats.org/officeDocument/2006/relationships/hyperlink" Target="https://www.apty.io/blog/servicenow-implementation-cost/" TargetMode="External"/><Relationship Id="rId10" Type="http://schemas.openxmlformats.org/officeDocument/2006/relationships/table" Target="../tables/table5.xml"/><Relationship Id="rId4" Type="http://schemas.openxmlformats.org/officeDocument/2006/relationships/hyperlink" Target="https://www.apty.io/blog/servicenow-implementation-cost/" TargetMode="External"/><Relationship Id="rId9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zoomScale="160" zoomScaleNormal="160" workbookViewId="0">
      <selection activeCell="H10" sqref="H10"/>
    </sheetView>
  </sheetViews>
  <sheetFormatPr defaultRowHeight="15" x14ac:dyDescent="0.25"/>
  <cols>
    <col min="2" max="2" width="33.5703125" style="1" bestFit="1" customWidth="1"/>
    <col min="3" max="3" width="19.85546875" style="1" customWidth="1"/>
    <col min="4" max="4" width="26" style="1" bestFit="1" customWidth="1"/>
    <col min="5" max="5" width="17.85546875" style="1" customWidth="1"/>
    <col min="6" max="6" width="13.85546875" style="1" customWidth="1"/>
    <col min="7" max="7" width="14.5703125" style="1" customWidth="1"/>
    <col min="8" max="8" width="19.85546875" style="1" customWidth="1"/>
  </cols>
  <sheetData>
    <row r="1" spans="1:9" x14ac:dyDescent="0.25">
      <c r="A1" s="11"/>
      <c r="B1" s="12" t="s">
        <v>0</v>
      </c>
      <c r="C1" s="12" t="s">
        <v>1</v>
      </c>
      <c r="D1" s="12" t="s">
        <v>2</v>
      </c>
      <c r="E1" s="12" t="s">
        <v>3</v>
      </c>
      <c r="F1" s="12" t="s">
        <v>43</v>
      </c>
      <c r="G1" s="12" t="s">
        <v>44</v>
      </c>
      <c r="H1" s="12" t="s">
        <v>6</v>
      </c>
      <c r="I1" s="11"/>
    </row>
    <row r="2" spans="1:9" ht="30" customHeight="1" x14ac:dyDescent="0.25">
      <c r="A2" s="11"/>
      <c r="B2" s="12" t="s">
        <v>7</v>
      </c>
      <c r="C2" s="13" t="s">
        <v>8</v>
      </c>
      <c r="D2" s="12" t="s">
        <v>9</v>
      </c>
      <c r="E2" s="14">
        <f>105*4.99*1.2</f>
        <v>628.74</v>
      </c>
      <c r="F2" s="12">
        <v>200</v>
      </c>
      <c r="G2" s="12">
        <v>24</v>
      </c>
      <c r="H2" s="14">
        <f>E2*F2*G2</f>
        <v>3017952</v>
      </c>
      <c r="I2" s="11"/>
    </row>
    <row r="3" spans="1:9" ht="30" customHeight="1" x14ac:dyDescent="0.25">
      <c r="A3" s="11"/>
      <c r="B3" s="12" t="s">
        <v>45</v>
      </c>
      <c r="C3" s="15" t="s">
        <v>10</v>
      </c>
      <c r="D3" s="12" t="s">
        <v>11</v>
      </c>
      <c r="E3" s="14">
        <f>(230400/36)*2</f>
        <v>12800</v>
      </c>
      <c r="F3" s="12">
        <v>1</v>
      </c>
      <c r="G3" s="12">
        <v>24</v>
      </c>
      <c r="H3" s="14">
        <f>E3*F3*G3</f>
        <v>307200</v>
      </c>
      <c r="I3" s="11"/>
    </row>
    <row r="4" spans="1:9" ht="30" customHeight="1" x14ac:dyDescent="0.25">
      <c r="A4" s="11"/>
      <c r="B4" s="12" t="s">
        <v>45</v>
      </c>
      <c r="C4" s="16" t="s">
        <v>10</v>
      </c>
      <c r="D4" s="12" t="s">
        <v>12</v>
      </c>
      <c r="E4" s="14" t="s">
        <v>13</v>
      </c>
      <c r="F4" s="12" t="s">
        <v>13</v>
      </c>
      <c r="G4" s="12" t="s">
        <v>13</v>
      </c>
      <c r="H4" s="14">
        <v>624000</v>
      </c>
      <c r="I4" s="11"/>
    </row>
    <row r="5" spans="1:9" ht="30" customHeight="1" x14ac:dyDescent="0.25">
      <c r="A5" s="11"/>
      <c r="B5" s="12" t="s">
        <v>38</v>
      </c>
      <c r="C5" s="24" t="s">
        <v>39</v>
      </c>
      <c r="D5" s="12" t="s">
        <v>40</v>
      </c>
      <c r="E5" s="14">
        <v>4864</v>
      </c>
      <c r="F5" s="12">
        <v>6</v>
      </c>
      <c r="G5" s="12" t="s">
        <v>13</v>
      </c>
      <c r="H5" s="14">
        <f>E5*F5</f>
        <v>29184</v>
      </c>
      <c r="I5" s="11"/>
    </row>
    <row r="6" spans="1:9" ht="30" customHeight="1" x14ac:dyDescent="0.25">
      <c r="A6" s="11"/>
      <c r="B6" s="12" t="s">
        <v>38</v>
      </c>
      <c r="C6" s="24" t="s">
        <v>39</v>
      </c>
      <c r="D6" s="12" t="s">
        <v>41</v>
      </c>
      <c r="E6" s="14">
        <v>12160</v>
      </c>
      <c r="F6" s="12">
        <v>2</v>
      </c>
      <c r="G6" s="12" t="s">
        <v>13</v>
      </c>
      <c r="H6" s="14">
        <f>E6*F6</f>
        <v>24320</v>
      </c>
      <c r="I6" s="11"/>
    </row>
    <row r="7" spans="1:9" ht="30" customHeight="1" x14ac:dyDescent="0.25">
      <c r="A7" s="11"/>
      <c r="B7" s="12" t="s">
        <v>38</v>
      </c>
      <c r="C7" s="24" t="s">
        <v>39</v>
      </c>
      <c r="D7" s="12" t="s">
        <v>42</v>
      </c>
      <c r="E7" s="14">
        <v>1216</v>
      </c>
      <c r="F7" s="12">
        <v>3</v>
      </c>
      <c r="G7" s="12" t="s">
        <v>13</v>
      </c>
      <c r="H7" s="14">
        <f>E7*F7</f>
        <v>3648</v>
      </c>
      <c r="I7" s="11"/>
    </row>
    <row r="8" spans="1:9" x14ac:dyDescent="0.25">
      <c r="A8" s="11"/>
      <c r="B8" s="17"/>
      <c r="C8" s="17"/>
      <c r="D8" s="17"/>
      <c r="E8" s="18"/>
      <c r="F8" s="17"/>
      <c r="G8" s="19" t="s">
        <v>14</v>
      </c>
      <c r="H8" s="20">
        <f>SUM(H2:H7)</f>
        <v>4006304</v>
      </c>
      <c r="I8" s="11"/>
    </row>
    <row r="9" spans="1:9" x14ac:dyDescent="0.25">
      <c r="A9" s="11"/>
      <c r="B9" s="9"/>
      <c r="C9" s="9"/>
      <c r="D9" s="9"/>
      <c r="E9" s="10"/>
      <c r="F9" s="9"/>
      <c r="G9" s="9"/>
      <c r="H9" s="10"/>
      <c r="I9" s="11"/>
    </row>
    <row r="10" spans="1:9" x14ac:dyDescent="0.25">
      <c r="A10" s="11"/>
      <c r="B10" s="9"/>
      <c r="C10" s="9"/>
      <c r="D10" s="9"/>
      <c r="E10" s="10"/>
      <c r="F10" s="9"/>
      <c r="G10" s="25" t="s">
        <v>15</v>
      </c>
      <c r="H10" s="26">
        <f>H8/2</f>
        <v>2003152</v>
      </c>
      <c r="I10" s="11"/>
    </row>
    <row r="11" spans="1:9" x14ac:dyDescent="0.25">
      <c r="A11" s="11"/>
      <c r="B11" s="9"/>
      <c r="C11" s="9"/>
      <c r="D11" s="9"/>
      <c r="E11" s="10"/>
      <c r="F11" s="9"/>
      <c r="G11" s="9"/>
      <c r="H11" s="10"/>
      <c r="I11" s="11"/>
    </row>
    <row r="12" spans="1:9" x14ac:dyDescent="0.25">
      <c r="A12" s="11"/>
      <c r="B12" s="9"/>
      <c r="C12" s="9"/>
      <c r="D12" s="9"/>
      <c r="E12" s="10"/>
      <c r="F12" s="9"/>
      <c r="G12" s="9"/>
      <c r="H12" s="10"/>
      <c r="I12" s="11"/>
    </row>
    <row r="13" spans="1:9" x14ac:dyDescent="0.25">
      <c r="A13" s="11"/>
      <c r="E13" s="2"/>
      <c r="H13" s="2"/>
    </row>
    <row r="14" spans="1:9" x14ac:dyDescent="0.25">
      <c r="E14" s="2"/>
      <c r="H14" s="2"/>
    </row>
  </sheetData>
  <hyperlinks>
    <hyperlink ref="C2" r:id="rId1" xr:uid="{9B88951C-F73A-409D-BF12-50DAF86E6C62}"/>
    <hyperlink ref="C3" r:id="rId2" display="http://comprasnet.gov.br/ConsultaLicitacoes/download/download_editais_detalhe.asp?coduasg=925045&amp;modprp=5&amp;numprp=1212020" xr:uid="{AE92F41E-E4DE-4CCE-89F5-F1C455B4E6DB}"/>
    <hyperlink ref="C4" r:id="rId3" display="http://comprasnet.gov.br/ConsultaLicitacoes/download/download_editais_detalhe.asp?coduasg=925045&amp;modprp=5&amp;numprp=1212020" xr:uid="{5534F637-A1C5-4119-AAEB-1AA89CB747D4}"/>
    <hyperlink ref="C5" r:id="rId4" display="https://www.apty.io/blog/servicenow-implementation-cost/" xr:uid="{47FA4058-718F-4B84-B6D6-D4EF5BFF1A04}"/>
    <hyperlink ref="C6" r:id="rId5" display="https://www.apty.io/blog/servicenow-implementation-cost/" xr:uid="{9F86E58C-FB0E-4724-823B-C747D0AD84C1}"/>
    <hyperlink ref="C7" r:id="rId6" display="https://www.apty.io/blog/servicenow-implementation-cost/" xr:uid="{994ADB69-D63B-4537-9BB3-0C2434BD9ECC}"/>
  </hyperlinks>
  <pageMargins left="0.7" right="0.7" top="0.75" bottom="0.75" header="0.3" footer="0.3"/>
  <pageSetup paperSize="9" orientation="portrait" r:id="rId7"/>
  <legacyDrawing r:id="rId8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4EE8A-8BA7-45A6-9CB3-4D417F56FE76}">
  <dimension ref="A1:S39"/>
  <sheetViews>
    <sheetView zoomScaleNormal="100" workbookViewId="0">
      <selection activeCell="G7" sqref="G7"/>
    </sheetView>
  </sheetViews>
  <sheetFormatPr defaultColWidth="9.140625" defaultRowHeight="15" x14ac:dyDescent="0.25"/>
  <cols>
    <col min="1" max="1" width="33.5703125" style="1" bestFit="1" customWidth="1"/>
    <col min="2" max="2" width="19.85546875" style="1" hidden="1" customWidth="1"/>
    <col min="3" max="3" width="34.140625" style="1" customWidth="1"/>
    <col min="4" max="4" width="17.85546875" style="1" customWidth="1"/>
    <col min="5" max="5" width="13.85546875" style="1" customWidth="1"/>
    <col min="6" max="6" width="14.5703125" style="1" customWidth="1"/>
    <col min="7" max="7" width="19.85546875" style="1" customWidth="1"/>
    <col min="8" max="8" width="9.140625" customWidth="1"/>
    <col min="9" max="9" width="18.42578125" style="1" customWidth="1"/>
    <col min="10" max="12" width="11.42578125" style="1" bestFit="1" customWidth="1"/>
    <col min="13" max="13" width="10.28515625" style="1" bestFit="1" customWidth="1"/>
    <col min="14" max="14" width="21.28515625" style="1" bestFit="1" customWidth="1"/>
    <col min="15" max="15" width="12.5703125" style="1" bestFit="1" customWidth="1"/>
    <col min="16" max="16" width="19.28515625" style="1" customWidth="1"/>
    <col min="17" max="19" width="9.140625" customWidth="1"/>
  </cols>
  <sheetData>
    <row r="1" spans="1:1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7"/>
      <c r="I1" s="4"/>
      <c r="J1" s="4"/>
      <c r="K1" s="4"/>
      <c r="L1" s="4"/>
      <c r="M1" s="4"/>
      <c r="N1" s="4"/>
      <c r="O1" s="4"/>
      <c r="P1" s="4"/>
      <c r="Q1" s="7"/>
      <c r="R1" s="7"/>
      <c r="S1" s="7"/>
    </row>
    <row r="2" spans="1:19" ht="54.75" customHeight="1" x14ac:dyDescent="0.25">
      <c r="A2" s="12" t="s">
        <v>46</v>
      </c>
      <c r="B2" s="16"/>
      <c r="C2" s="22" t="s">
        <v>17</v>
      </c>
      <c r="D2" s="14">
        <f>P13</f>
        <v>18582.620384155183</v>
      </c>
      <c r="E2" s="12">
        <v>5</v>
      </c>
      <c r="F2" s="12">
        <v>36</v>
      </c>
      <c r="G2" s="14">
        <f>D2*E2*F2</f>
        <v>3344871.6691479334</v>
      </c>
      <c r="H2" s="7"/>
      <c r="I2" s="4"/>
      <c r="J2" s="4"/>
      <c r="K2" s="4"/>
      <c r="L2" s="4"/>
      <c r="M2" s="4"/>
      <c r="N2" s="4"/>
      <c r="O2" s="4"/>
      <c r="P2" s="4"/>
      <c r="Q2" s="7"/>
      <c r="R2" s="7"/>
      <c r="S2" s="7"/>
    </row>
    <row r="3" spans="1:19" ht="30" customHeight="1" x14ac:dyDescent="0.25">
      <c r="A3" s="12" t="s">
        <v>46</v>
      </c>
      <c r="B3" s="16"/>
      <c r="C3" s="12" t="s">
        <v>18</v>
      </c>
      <c r="D3" s="14">
        <f>P25</f>
        <v>21532.975927872783</v>
      </c>
      <c r="E3" s="12">
        <v>1</v>
      </c>
      <c r="F3" s="12">
        <v>24</v>
      </c>
      <c r="G3" s="14">
        <f>D3*E3*F3</f>
        <v>516791.42226894677</v>
      </c>
      <c r="H3" s="7"/>
      <c r="I3" s="4"/>
      <c r="J3" s="4"/>
      <c r="K3" s="4"/>
      <c r="L3" s="4"/>
      <c r="M3" s="4"/>
      <c r="N3" s="4"/>
      <c r="O3" s="4"/>
      <c r="P3" s="4"/>
      <c r="Q3" s="7"/>
      <c r="R3" s="7"/>
      <c r="S3" s="7"/>
    </row>
    <row r="4" spans="1:19" ht="30" customHeight="1" x14ac:dyDescent="0.25">
      <c r="A4" s="12" t="s">
        <v>46</v>
      </c>
      <c r="B4" s="16"/>
      <c r="C4" s="22" t="s">
        <v>19</v>
      </c>
      <c r="D4" s="14">
        <f>P33</f>
        <v>21232.770953649448</v>
      </c>
      <c r="E4" s="12">
        <v>1</v>
      </c>
      <c r="F4" s="12">
        <v>3</v>
      </c>
      <c r="G4" s="14">
        <f>D4*E4*F4</f>
        <v>63698.312860948339</v>
      </c>
      <c r="H4" s="7"/>
      <c r="I4" s="4"/>
      <c r="J4" s="4"/>
      <c r="K4" s="4"/>
      <c r="L4" s="4"/>
      <c r="M4" s="4"/>
      <c r="N4" s="4"/>
      <c r="O4" s="4"/>
      <c r="P4" s="4"/>
      <c r="Q4" s="7"/>
      <c r="R4" s="7"/>
      <c r="S4" s="7"/>
    </row>
    <row r="5" spans="1:19" x14ac:dyDescent="0.25">
      <c r="A5" s="17"/>
      <c r="B5" s="17"/>
      <c r="C5" s="17"/>
      <c r="D5" s="18"/>
      <c r="E5" s="17"/>
      <c r="F5" s="19" t="s">
        <v>14</v>
      </c>
      <c r="G5" s="20">
        <f>SUM(G2:G4)</f>
        <v>3925361.4042778285</v>
      </c>
      <c r="H5" s="7"/>
      <c r="I5" s="4"/>
      <c r="J5" s="4"/>
      <c r="K5" s="4"/>
      <c r="L5" s="4"/>
      <c r="M5" s="4"/>
      <c r="N5" s="4"/>
      <c r="O5" s="4"/>
      <c r="P5" s="4"/>
      <c r="Q5" s="7"/>
      <c r="R5" s="7"/>
      <c r="S5" s="7"/>
    </row>
    <row r="6" spans="1:19" ht="30" x14ac:dyDescent="0.25">
      <c r="A6" s="4"/>
      <c r="B6" s="4"/>
      <c r="C6" s="4"/>
      <c r="D6" s="8"/>
      <c r="E6" s="4"/>
      <c r="F6" s="4"/>
      <c r="G6" s="8"/>
      <c r="H6" s="7"/>
      <c r="I6" s="3" t="s">
        <v>20</v>
      </c>
      <c r="J6" s="4"/>
      <c r="K6" s="4"/>
      <c r="L6" s="4"/>
      <c r="M6" s="4"/>
      <c r="N6" s="4"/>
      <c r="O6" s="4"/>
      <c r="P6" s="4"/>
      <c r="Q6" s="7"/>
      <c r="R6" s="7"/>
      <c r="S6" s="7"/>
    </row>
    <row r="7" spans="1:19" x14ac:dyDescent="0.25">
      <c r="A7" s="4"/>
      <c r="B7" s="4"/>
      <c r="C7" s="4"/>
      <c r="D7" s="8"/>
      <c r="E7" s="4"/>
      <c r="F7" s="4" t="s">
        <v>15</v>
      </c>
      <c r="G7" s="8">
        <f>G5/2</f>
        <v>1962680.7021389143</v>
      </c>
      <c r="H7" s="7"/>
      <c r="I7" s="21" t="s">
        <v>21</v>
      </c>
      <c r="J7" s="5"/>
      <c r="K7" s="4"/>
      <c r="L7" s="4"/>
      <c r="M7" s="4"/>
      <c r="N7" s="4"/>
      <c r="O7" s="4"/>
      <c r="P7" s="4"/>
      <c r="Q7" s="7"/>
      <c r="R7" s="7"/>
      <c r="S7" s="7"/>
    </row>
    <row r="8" spans="1:19" ht="45" x14ac:dyDescent="0.25">
      <c r="A8" s="4"/>
      <c r="B8" s="4"/>
      <c r="C8" s="4"/>
      <c r="D8" s="8"/>
      <c r="E8" s="4"/>
      <c r="F8" s="4"/>
      <c r="G8" s="8"/>
      <c r="H8" s="7"/>
      <c r="I8" s="12" t="s">
        <v>22</v>
      </c>
      <c r="J8" s="12" t="s">
        <v>23</v>
      </c>
      <c r="K8" s="12" t="s">
        <v>24</v>
      </c>
      <c r="L8" s="22" t="s">
        <v>25</v>
      </c>
      <c r="M8" s="22" t="s">
        <v>26</v>
      </c>
      <c r="N8" s="23" t="s">
        <v>27</v>
      </c>
      <c r="O8" s="22" t="s">
        <v>28</v>
      </c>
      <c r="P8" s="22" t="s">
        <v>29</v>
      </c>
      <c r="Q8" s="7"/>
      <c r="R8" s="7"/>
      <c r="S8" s="7"/>
    </row>
    <row r="9" spans="1:19" x14ac:dyDescent="0.25">
      <c r="A9" s="4"/>
      <c r="B9" s="4"/>
      <c r="C9" s="4"/>
      <c r="D9" s="8"/>
      <c r="E9" s="4"/>
      <c r="F9" s="4"/>
      <c r="G9" s="8"/>
      <c r="H9" s="7"/>
      <c r="I9" s="12">
        <v>2023</v>
      </c>
      <c r="J9" s="14">
        <f>5501.09</f>
        <v>5501.09</v>
      </c>
      <c r="K9" s="14">
        <v>8170.55</v>
      </c>
      <c r="L9" s="14">
        <v>1182.74</v>
      </c>
      <c r="M9" s="14">
        <v>579.39</v>
      </c>
      <c r="N9" s="14">
        <f>((J9+K9)-(7507.49))*0.085</f>
        <v>523.95275000000004</v>
      </c>
      <c r="O9" s="14">
        <f>SUM(J9:N9)</f>
        <v>15957.722749999999</v>
      </c>
      <c r="P9" s="14">
        <f>(O9*13)+((J9+K9)/3)</f>
        <v>212007.60908333334</v>
      </c>
      <c r="Q9" s="7"/>
      <c r="R9" s="7"/>
      <c r="S9" s="7"/>
    </row>
    <row r="10" spans="1:19" x14ac:dyDescent="0.25">
      <c r="A10" s="4"/>
      <c r="B10" s="4"/>
      <c r="C10" s="4"/>
      <c r="D10" s="8"/>
      <c r="E10" s="4"/>
      <c r="F10" s="4"/>
      <c r="G10" s="8"/>
      <c r="H10" s="7"/>
      <c r="I10" s="12">
        <v>2024</v>
      </c>
      <c r="J10" s="14">
        <f>5666.12*1.06</f>
        <v>6006.0871999999999</v>
      </c>
      <c r="K10" s="14">
        <f>7932.57*1.06</f>
        <v>8408.5241999999998</v>
      </c>
      <c r="L10" s="14">
        <v>1182.74</v>
      </c>
      <c r="M10" s="14">
        <v>579.39</v>
      </c>
      <c r="N10" s="14">
        <f>((J10+K10)-(7507.49))*0.085</f>
        <v>587.10531900000001</v>
      </c>
      <c r="O10" s="14">
        <f>SUM(J10:N10)</f>
        <v>16763.846718999997</v>
      </c>
      <c r="P10" s="14">
        <f>(O10*13)+((J10+K10)/3)</f>
        <v>222734.87781366665</v>
      </c>
      <c r="Q10" s="7"/>
      <c r="R10" s="7"/>
      <c r="S10" s="7"/>
    </row>
    <row r="11" spans="1:19" x14ac:dyDescent="0.25">
      <c r="A11" s="4"/>
      <c r="B11" s="4"/>
      <c r="C11" s="4"/>
      <c r="D11" s="8"/>
      <c r="E11" s="4"/>
      <c r="F11" s="4"/>
      <c r="G11" s="8"/>
      <c r="H11" s="7"/>
      <c r="I11" s="12">
        <v>2025</v>
      </c>
      <c r="J11" s="14">
        <f>5836.11*1.06*1.06</f>
        <v>6557.4531960000004</v>
      </c>
      <c r="K11" s="14">
        <f>7701.53*1.06*1.06</f>
        <v>8653.4391080000005</v>
      </c>
      <c r="L11" s="14">
        <v>1182.74</v>
      </c>
      <c r="M11" s="14">
        <v>579.39</v>
      </c>
      <c r="N11" s="14">
        <f>((J11+K11)-(7507.49))*0.085</f>
        <v>654.78919584000016</v>
      </c>
      <c r="O11" s="14">
        <f>SUM(J11:N11)</f>
        <v>17627.811499840001</v>
      </c>
      <c r="P11" s="14">
        <f>(O11*13)+((J11+K11)/3)</f>
        <v>234231.84693258669</v>
      </c>
      <c r="Q11" s="7"/>
      <c r="R11" s="7"/>
      <c r="S11" s="7"/>
    </row>
    <row r="12" spans="1:19" x14ac:dyDescent="0.25">
      <c r="A12" s="4"/>
      <c r="B12" s="4"/>
      <c r="C12" s="4"/>
      <c r="D12" s="4"/>
      <c r="E12" s="4"/>
      <c r="F12" s="4"/>
      <c r="G12" s="4"/>
      <c r="H12" s="7"/>
      <c r="I12" s="17"/>
      <c r="J12" s="17"/>
      <c r="K12" s="17"/>
      <c r="L12" s="17"/>
      <c r="M12" s="17"/>
      <c r="N12" s="17"/>
      <c r="O12" s="19" t="s">
        <v>30</v>
      </c>
      <c r="P12" s="20">
        <f>SUM(P9:P11)</f>
        <v>668974.33382958663</v>
      </c>
      <c r="Q12" s="7"/>
      <c r="R12" s="7"/>
      <c r="S12" s="7"/>
    </row>
    <row r="13" spans="1:19" x14ac:dyDescent="0.25">
      <c r="A13" s="4"/>
      <c r="B13" s="4"/>
      <c r="C13" s="4"/>
      <c r="D13" s="4"/>
      <c r="E13" s="4"/>
      <c r="F13" s="4"/>
      <c r="G13" s="4"/>
      <c r="H13" s="7"/>
      <c r="I13" s="17"/>
      <c r="J13" s="17"/>
      <c r="K13" s="17"/>
      <c r="L13" s="17"/>
      <c r="M13" s="17"/>
      <c r="N13" s="17"/>
      <c r="O13" s="19" t="s">
        <v>31</v>
      </c>
      <c r="P13" s="20">
        <f>P12/36</f>
        <v>18582.620384155183</v>
      </c>
      <c r="Q13" s="7"/>
      <c r="R13" s="7"/>
      <c r="S13" s="7"/>
    </row>
    <row r="14" spans="1:19" x14ac:dyDescent="0.25">
      <c r="A14" s="4"/>
      <c r="B14" s="4"/>
      <c r="C14" s="4"/>
      <c r="D14" s="4"/>
      <c r="E14" s="4"/>
      <c r="F14" s="4"/>
      <c r="G14" s="4"/>
      <c r="H14" s="7"/>
      <c r="I14" s="4"/>
      <c r="J14" s="4"/>
      <c r="K14" s="4"/>
      <c r="L14" s="4"/>
      <c r="M14" s="4"/>
      <c r="N14" s="4"/>
      <c r="O14" s="4"/>
      <c r="Q14" s="7"/>
      <c r="R14" s="7"/>
      <c r="S14" s="7"/>
    </row>
    <row r="15" spans="1:19" x14ac:dyDescent="0.25">
      <c r="A15" s="4"/>
      <c r="B15" s="4"/>
      <c r="C15" s="4"/>
      <c r="D15" s="4"/>
      <c r="E15" s="4"/>
      <c r="F15" s="4"/>
      <c r="G15" s="4"/>
      <c r="H15" s="7"/>
      <c r="Q15" s="7"/>
      <c r="R15" s="7"/>
      <c r="S15" s="7"/>
    </row>
    <row r="16" spans="1:19" ht="30" x14ac:dyDescent="0.25">
      <c r="A16" s="4"/>
      <c r="B16" s="4"/>
      <c r="C16" s="4"/>
      <c r="D16" s="4"/>
      <c r="E16" s="4"/>
      <c r="F16" s="4"/>
      <c r="G16" s="4"/>
      <c r="H16" s="7"/>
      <c r="I16" s="3" t="s">
        <v>32</v>
      </c>
      <c r="J16" s="4"/>
      <c r="K16" s="4"/>
      <c r="L16" s="4"/>
      <c r="M16" s="4"/>
      <c r="N16" s="4"/>
      <c r="O16" s="4"/>
      <c r="P16" s="4"/>
      <c r="Q16" s="7"/>
      <c r="R16" s="7"/>
      <c r="S16" s="7"/>
    </row>
    <row r="17" spans="1:19" x14ac:dyDescent="0.25">
      <c r="A17" s="4"/>
      <c r="B17" s="4"/>
      <c r="C17" s="4"/>
      <c r="D17" s="4"/>
      <c r="E17" s="4"/>
      <c r="F17" s="4"/>
      <c r="G17" s="4"/>
      <c r="H17" s="7"/>
      <c r="I17" s="21" t="s">
        <v>21</v>
      </c>
      <c r="J17" s="6"/>
      <c r="K17" s="4"/>
      <c r="L17" s="4"/>
      <c r="M17" s="4"/>
      <c r="N17" s="4"/>
      <c r="O17" s="4"/>
      <c r="P17" s="4"/>
      <c r="Q17" s="7"/>
      <c r="R17" s="7"/>
      <c r="S17" s="7"/>
    </row>
    <row r="18" spans="1:19" ht="45" x14ac:dyDescent="0.25">
      <c r="A18" s="4"/>
      <c r="B18" s="4"/>
      <c r="C18" s="4"/>
      <c r="D18" s="4"/>
      <c r="E18" s="4"/>
      <c r="F18" s="4"/>
      <c r="G18" s="4"/>
      <c r="H18" s="7"/>
      <c r="I18" s="12" t="s">
        <v>22</v>
      </c>
      <c r="J18" s="12" t="s">
        <v>23</v>
      </c>
      <c r="K18" s="12" t="s">
        <v>24</v>
      </c>
      <c r="L18" s="22" t="s">
        <v>25</v>
      </c>
      <c r="M18" s="22" t="s">
        <v>26</v>
      </c>
      <c r="N18" s="23" t="s">
        <v>27</v>
      </c>
      <c r="O18" s="22" t="s">
        <v>28</v>
      </c>
      <c r="P18" s="22" t="s">
        <v>29</v>
      </c>
      <c r="Q18" s="7"/>
      <c r="R18" s="7"/>
      <c r="S18" s="7"/>
    </row>
    <row r="19" spans="1:19" x14ac:dyDescent="0.25">
      <c r="A19" s="4"/>
      <c r="B19" s="4"/>
      <c r="C19" s="4"/>
      <c r="D19" s="4"/>
      <c r="E19" s="4"/>
      <c r="F19" s="4"/>
      <c r="G19" s="4"/>
      <c r="H19" s="7"/>
      <c r="I19" s="12">
        <v>2023</v>
      </c>
      <c r="J19" s="14">
        <f>5501.09</f>
        <v>5501.09</v>
      </c>
      <c r="K19" s="14">
        <v>8170.55</v>
      </c>
      <c r="L19" s="14">
        <v>1182.74</v>
      </c>
      <c r="M19" s="14">
        <v>579.39</v>
      </c>
      <c r="N19" s="14">
        <f>((J19+K19)-(7507.49))*0.085</f>
        <v>523.95275000000004</v>
      </c>
      <c r="O19" s="14" t="s">
        <v>60</v>
      </c>
      <c r="P19" s="14" t="s">
        <v>60</v>
      </c>
      <c r="Q19" s="7"/>
      <c r="R19" s="7"/>
      <c r="S19" s="7"/>
    </row>
    <row r="20" spans="1:19" x14ac:dyDescent="0.25">
      <c r="A20" s="4"/>
      <c r="B20" s="4"/>
      <c r="C20" s="4"/>
      <c r="D20" s="4"/>
      <c r="E20" s="4"/>
      <c r="F20" s="4"/>
      <c r="G20" s="4"/>
      <c r="H20" s="7"/>
      <c r="I20" s="12">
        <v>2024</v>
      </c>
      <c r="J20" s="14">
        <f>5666.12*1.06</f>
        <v>6006.0871999999999</v>
      </c>
      <c r="K20" s="14">
        <f>7932.57*1.06</f>
        <v>8408.5241999999998</v>
      </c>
      <c r="L20" s="14">
        <v>1182.74</v>
      </c>
      <c r="M20" s="14">
        <v>579.39</v>
      </c>
      <c r="N20" s="14">
        <f>((J20+K20)-(7507.49))*0.085</f>
        <v>587.10531900000001</v>
      </c>
      <c r="O20" s="14" t="s">
        <v>60</v>
      </c>
      <c r="P20" s="14" t="s">
        <v>60</v>
      </c>
      <c r="Q20" s="7"/>
      <c r="R20" s="7"/>
      <c r="S20" s="7"/>
    </row>
    <row r="21" spans="1:19" x14ac:dyDescent="0.25">
      <c r="A21" s="4"/>
      <c r="B21" s="4"/>
      <c r="C21" s="4"/>
      <c r="D21" s="4"/>
      <c r="E21" s="4"/>
      <c r="F21" s="4"/>
      <c r="G21" s="4"/>
      <c r="H21" s="7"/>
      <c r="I21" s="12">
        <v>2025</v>
      </c>
      <c r="J21" s="14">
        <f>5836.11*1.06*1.06</f>
        <v>6557.4531960000004</v>
      </c>
      <c r="K21" s="14">
        <f>7701.53*1.06*1.06</f>
        <v>8653.4391080000005</v>
      </c>
      <c r="L21" s="14">
        <v>1182.74</v>
      </c>
      <c r="M21" s="14">
        <v>579.39</v>
      </c>
      <c r="N21" s="14">
        <f>((J21+K21)-(7507.49))*0.085</f>
        <v>654.78919584000016</v>
      </c>
      <c r="O21" s="14" t="s">
        <v>60</v>
      </c>
      <c r="P21" s="14" t="s">
        <v>60</v>
      </c>
      <c r="Q21" s="7"/>
      <c r="R21" s="7"/>
      <c r="S21" s="7"/>
    </row>
    <row r="22" spans="1:19" x14ac:dyDescent="0.25">
      <c r="A22" s="4"/>
      <c r="B22" s="4"/>
      <c r="C22" s="4"/>
      <c r="D22" s="4"/>
      <c r="E22" s="4"/>
      <c r="F22" s="4"/>
      <c r="G22" s="4"/>
      <c r="H22" s="7"/>
      <c r="I22" s="12">
        <v>2026</v>
      </c>
      <c r="J22" s="14">
        <f>6168.78*1.06*1.06</f>
        <v>6931.2412080000004</v>
      </c>
      <c r="K22" s="14">
        <f>8636.29*1.06*1.06</f>
        <v>9703.7354440000017</v>
      </c>
      <c r="L22" s="14">
        <v>1182.74</v>
      </c>
      <c r="M22" s="14">
        <v>579.39</v>
      </c>
      <c r="N22" s="14">
        <f>((J22+K22)-(7507.49))*0.085</f>
        <v>775.83636542000022</v>
      </c>
      <c r="O22" s="14">
        <f>SUM(J22:N22)</f>
        <v>19172.943017420002</v>
      </c>
      <c r="P22" s="14">
        <f>(O22*13)+((J22+K22)/3)</f>
        <v>254793.25144379339</v>
      </c>
      <c r="Q22" s="7"/>
      <c r="R22" s="7"/>
      <c r="S22" s="7"/>
    </row>
    <row r="23" spans="1:19" x14ac:dyDescent="0.25">
      <c r="A23" s="4"/>
      <c r="B23" s="4"/>
      <c r="C23" s="4"/>
      <c r="D23" s="4"/>
      <c r="E23" s="4"/>
      <c r="F23" s="4"/>
      <c r="G23" s="4"/>
      <c r="H23" s="7"/>
      <c r="I23" s="12">
        <v>2027</v>
      </c>
      <c r="J23" s="14">
        <f>6353.83*1.06*1.06</f>
        <v>7139.1633879999999</v>
      </c>
      <c r="K23" s="14">
        <f>8895.36*1.06*1.06</f>
        <v>9994.8264960000015</v>
      </c>
      <c r="L23" s="14">
        <v>1182.74</v>
      </c>
      <c r="M23" s="14">
        <v>579.39</v>
      </c>
      <c r="N23" s="14">
        <f>((J23+K23)-(7507.49))*0.085</f>
        <v>818.2524901400003</v>
      </c>
      <c r="O23" s="14">
        <f>SUM(J23:N23)</f>
        <v>19714.372374140003</v>
      </c>
      <c r="P23" s="14">
        <f>(O23*13)+((J23+K23)/3)</f>
        <v>261998.17082515339</v>
      </c>
      <c r="Q23" s="7"/>
      <c r="R23" s="7"/>
      <c r="S23" s="7"/>
    </row>
    <row r="24" spans="1:19" x14ac:dyDescent="0.25">
      <c r="A24" s="4"/>
      <c r="B24" s="4"/>
      <c r="C24" s="4"/>
      <c r="D24" s="4"/>
      <c r="E24" s="4"/>
      <c r="F24" s="4"/>
      <c r="G24" s="4"/>
      <c r="H24" s="7"/>
      <c r="I24" s="17"/>
      <c r="J24" s="17"/>
      <c r="K24" s="17"/>
      <c r="L24" s="17"/>
      <c r="M24" s="17"/>
      <c r="N24" s="17"/>
      <c r="O24" s="19" t="s">
        <v>30</v>
      </c>
      <c r="P24" s="20">
        <f>SUM(P19:P23)</f>
        <v>516791.42226894677</v>
      </c>
      <c r="Q24" s="7"/>
      <c r="R24" s="7"/>
      <c r="S24" s="7"/>
    </row>
    <row r="25" spans="1:19" x14ac:dyDescent="0.25">
      <c r="A25" s="4"/>
      <c r="B25" s="4"/>
      <c r="C25" s="4"/>
      <c r="D25" s="4"/>
      <c r="E25" s="4"/>
      <c r="F25" s="4"/>
      <c r="G25" s="4"/>
      <c r="H25" s="7"/>
      <c r="I25" s="17"/>
      <c r="J25" s="17"/>
      <c r="K25" s="17"/>
      <c r="L25" s="17"/>
      <c r="M25" s="17"/>
      <c r="N25" s="17"/>
      <c r="O25" s="19" t="s">
        <v>31</v>
      </c>
      <c r="P25" s="20">
        <f>P24/24</f>
        <v>21532.975927872783</v>
      </c>
      <c r="Q25" s="7"/>
      <c r="R25" s="7"/>
      <c r="S25" s="7"/>
    </row>
    <row r="26" spans="1:19" x14ac:dyDescent="0.25">
      <c r="A26" s="4"/>
      <c r="B26" s="4"/>
      <c r="C26" s="4"/>
      <c r="D26" s="4"/>
      <c r="E26" s="4"/>
      <c r="F26" s="4"/>
      <c r="G26" s="4"/>
      <c r="H26" s="7"/>
      <c r="I26" s="4"/>
      <c r="J26" s="4"/>
      <c r="K26" s="4"/>
      <c r="L26" s="4"/>
      <c r="M26" s="4"/>
      <c r="N26" s="4"/>
      <c r="O26" s="4"/>
      <c r="Q26" s="7"/>
      <c r="R26" s="7"/>
      <c r="S26" s="7"/>
    </row>
    <row r="27" spans="1:19" x14ac:dyDescent="0.25">
      <c r="A27" s="4"/>
      <c r="B27" s="4"/>
      <c r="C27" s="4"/>
      <c r="D27" s="4"/>
      <c r="E27" s="4"/>
      <c r="F27" s="4"/>
      <c r="G27" s="4"/>
      <c r="H27" s="7"/>
      <c r="Q27" s="7"/>
      <c r="R27" s="7"/>
      <c r="S27" s="7"/>
    </row>
    <row r="28" spans="1:19" ht="60" x14ac:dyDescent="0.25">
      <c r="A28" s="4"/>
      <c r="B28" s="4"/>
      <c r="C28" s="4"/>
      <c r="D28" s="4"/>
      <c r="E28" s="4"/>
      <c r="F28" s="4"/>
      <c r="G28" s="4"/>
      <c r="H28" s="7"/>
      <c r="I28" s="3" t="s">
        <v>33</v>
      </c>
      <c r="J28" s="4"/>
      <c r="K28" s="4"/>
      <c r="L28" s="4"/>
      <c r="M28" s="4"/>
      <c r="N28" s="4"/>
      <c r="O28" s="4"/>
      <c r="P28" s="4"/>
      <c r="Q28" s="7"/>
      <c r="R28" s="7"/>
      <c r="S28" s="7"/>
    </row>
    <row r="29" spans="1:19" x14ac:dyDescent="0.25">
      <c r="A29" s="4"/>
      <c r="B29" s="4"/>
      <c r="C29" s="4"/>
      <c r="D29" s="4"/>
      <c r="E29" s="4"/>
      <c r="F29" s="4"/>
      <c r="G29" s="4"/>
      <c r="H29" s="7"/>
      <c r="I29" s="21" t="s">
        <v>21</v>
      </c>
      <c r="J29" s="5"/>
      <c r="K29" s="4"/>
      <c r="L29" s="4"/>
      <c r="M29" s="4"/>
      <c r="N29" s="4"/>
      <c r="O29" s="4"/>
      <c r="P29" s="4"/>
      <c r="Q29" s="7"/>
      <c r="R29" s="7"/>
      <c r="S29" s="7"/>
    </row>
    <row r="30" spans="1:19" ht="45" x14ac:dyDescent="0.25">
      <c r="A30" s="4"/>
      <c r="B30" s="4"/>
      <c r="C30" s="4"/>
      <c r="D30" s="4"/>
      <c r="E30" s="4"/>
      <c r="F30" s="4"/>
      <c r="G30" s="4"/>
      <c r="H30" s="7"/>
      <c r="I30" s="12" t="s">
        <v>22</v>
      </c>
      <c r="J30" s="12" t="s">
        <v>23</v>
      </c>
      <c r="K30" s="12" t="s">
        <v>24</v>
      </c>
      <c r="L30" s="22" t="s">
        <v>25</v>
      </c>
      <c r="M30" s="22" t="s">
        <v>26</v>
      </c>
      <c r="N30" s="23" t="s">
        <v>27</v>
      </c>
      <c r="O30" s="22" t="s">
        <v>28</v>
      </c>
      <c r="P30" s="22" t="s">
        <v>29</v>
      </c>
      <c r="Q30" s="7"/>
      <c r="R30" s="7"/>
      <c r="S30" s="7"/>
    </row>
    <row r="31" spans="1:19" x14ac:dyDescent="0.25">
      <c r="A31" s="4"/>
      <c r="B31" s="4"/>
      <c r="C31" s="4"/>
      <c r="D31" s="4"/>
      <c r="E31" s="4"/>
      <c r="F31" s="4"/>
      <c r="G31" s="4"/>
      <c r="H31" s="7"/>
      <c r="I31" s="12">
        <v>2026</v>
      </c>
      <c r="J31" s="14">
        <f>6168.78*1.06*1.06</f>
        <v>6931.2412080000004</v>
      </c>
      <c r="K31" s="14">
        <f>8636.29*1.06*1.06</f>
        <v>9703.7354440000017</v>
      </c>
      <c r="L31" s="14">
        <v>1182.74</v>
      </c>
      <c r="M31" s="14">
        <v>579.39</v>
      </c>
      <c r="N31" s="14">
        <f>((J31+K31)-(7507.49))*0.085</f>
        <v>775.83636542000022</v>
      </c>
      <c r="O31" s="14">
        <f>SUM(J31:N31)</f>
        <v>19172.943017420002</v>
      </c>
      <c r="P31" s="14">
        <f>(O31*13)+((J31+K31)/3)</f>
        <v>254793.25144379339</v>
      </c>
      <c r="Q31" s="7"/>
      <c r="R31" s="7"/>
      <c r="S31" s="7"/>
    </row>
    <row r="32" spans="1:19" x14ac:dyDescent="0.25">
      <c r="A32" s="4"/>
      <c r="B32" s="4"/>
      <c r="C32" s="4"/>
      <c r="D32" s="4"/>
      <c r="E32" s="4"/>
      <c r="F32" s="4"/>
      <c r="G32" s="4"/>
      <c r="H32" s="7"/>
      <c r="I32" s="17"/>
      <c r="J32" s="17"/>
      <c r="K32" s="17"/>
      <c r="L32" s="17"/>
      <c r="M32" s="17"/>
      <c r="N32" s="17"/>
      <c r="O32" s="19" t="s">
        <v>30</v>
      </c>
      <c r="P32" s="20">
        <f>SUM(P31)</f>
        <v>254793.25144379339</v>
      </c>
      <c r="Q32" s="7"/>
      <c r="R32" s="7"/>
      <c r="S32" s="7"/>
    </row>
    <row r="33" spans="1:19" x14ac:dyDescent="0.25">
      <c r="A33" s="4"/>
      <c r="B33" s="4"/>
      <c r="C33" s="4"/>
      <c r="D33" s="4"/>
      <c r="E33" s="4"/>
      <c r="F33" s="4"/>
      <c r="G33" s="4"/>
      <c r="H33" s="7"/>
      <c r="I33" s="17"/>
      <c r="J33" s="17"/>
      <c r="K33" s="17"/>
      <c r="L33" s="17"/>
      <c r="M33" s="17"/>
      <c r="N33" s="17"/>
      <c r="O33" s="19" t="s">
        <v>31</v>
      </c>
      <c r="P33" s="20">
        <f>P32/12</f>
        <v>21232.770953649448</v>
      </c>
      <c r="Q33" s="7"/>
      <c r="R33" s="7"/>
      <c r="S33" s="7"/>
    </row>
    <row r="34" spans="1:19" x14ac:dyDescent="0.25">
      <c r="A34" s="4"/>
      <c r="B34" s="4"/>
      <c r="C34" s="4"/>
      <c r="D34" s="4"/>
      <c r="E34" s="4"/>
      <c r="F34" s="4"/>
      <c r="G34" s="4"/>
      <c r="H34" s="7"/>
      <c r="I34" s="4"/>
      <c r="J34" s="4"/>
      <c r="K34" s="4"/>
      <c r="L34" s="4"/>
      <c r="M34" s="4"/>
      <c r="N34" s="4"/>
      <c r="O34" s="4"/>
      <c r="P34" s="4"/>
      <c r="Q34" s="7"/>
      <c r="R34" s="7"/>
      <c r="S34" s="7"/>
    </row>
    <row r="35" spans="1:19" x14ac:dyDescent="0.25">
      <c r="A35" s="4"/>
      <c r="B35" s="4"/>
      <c r="C35" s="4"/>
      <c r="D35" s="4"/>
      <c r="E35" s="4"/>
      <c r="F35" s="4"/>
      <c r="G35" s="4"/>
      <c r="H35" s="7"/>
      <c r="I35" s="4"/>
      <c r="J35" s="4"/>
      <c r="K35" s="4"/>
      <c r="L35" s="4"/>
      <c r="M35" s="4"/>
      <c r="N35" s="4"/>
      <c r="O35" s="4"/>
      <c r="P35" s="4"/>
      <c r="Q35" s="7"/>
      <c r="R35" s="7"/>
      <c r="S35" s="7"/>
    </row>
    <row r="36" spans="1:19" x14ac:dyDescent="0.25">
      <c r="A36" s="4"/>
      <c r="B36" s="4"/>
      <c r="C36" s="4"/>
      <c r="D36" s="4"/>
      <c r="E36" s="4"/>
      <c r="F36" s="4"/>
      <c r="G36" s="4"/>
      <c r="H36" s="7"/>
      <c r="I36" s="4"/>
      <c r="J36" s="4"/>
      <c r="K36" s="4"/>
      <c r="L36" s="4"/>
      <c r="M36" s="4"/>
      <c r="N36" s="4"/>
      <c r="O36" s="4"/>
      <c r="P36" s="4"/>
      <c r="Q36" s="7"/>
      <c r="R36" s="7"/>
      <c r="S36" s="7"/>
    </row>
    <row r="37" spans="1:19" x14ac:dyDescent="0.25">
      <c r="A37" s="4"/>
      <c r="B37" s="4"/>
      <c r="C37" s="4"/>
      <c r="D37" s="4"/>
      <c r="E37" s="4"/>
      <c r="F37" s="4"/>
      <c r="G37" s="4"/>
      <c r="H37" s="7"/>
      <c r="I37" s="4"/>
      <c r="J37" s="4"/>
      <c r="K37" s="4"/>
      <c r="L37" s="4"/>
      <c r="M37" s="4"/>
      <c r="N37" s="4"/>
      <c r="O37" s="4"/>
      <c r="P37" s="4"/>
      <c r="Q37" s="7"/>
      <c r="R37" s="7"/>
      <c r="S37" s="7"/>
    </row>
    <row r="38" spans="1:19" x14ac:dyDescent="0.25">
      <c r="A38" s="4"/>
      <c r="B38" s="4"/>
      <c r="C38" s="4"/>
      <c r="D38" s="4"/>
      <c r="E38" s="4"/>
      <c r="F38" s="4"/>
      <c r="G38" s="4"/>
      <c r="H38" s="7"/>
      <c r="I38" s="4"/>
      <c r="J38" s="4"/>
      <c r="K38" s="4"/>
      <c r="L38" s="4"/>
      <c r="M38" s="4"/>
      <c r="N38" s="4"/>
      <c r="O38" s="4"/>
      <c r="P38" s="4"/>
      <c r="Q38" s="7"/>
      <c r="R38" s="7"/>
      <c r="S38" s="7"/>
    </row>
    <row r="39" spans="1:19" x14ac:dyDescent="0.25">
      <c r="A39" s="4"/>
      <c r="B39" s="4"/>
      <c r="C39" s="4"/>
      <c r="D39" s="4"/>
      <c r="E39" s="4"/>
      <c r="F39" s="4"/>
      <c r="G39" s="4"/>
      <c r="H39" s="7"/>
    </row>
  </sheetData>
  <hyperlinks>
    <hyperlink ref="I7" r:id="rId1" xr:uid="{FE98D9E5-7876-4FBF-B448-286B2800CB3C}"/>
    <hyperlink ref="N8" r:id="rId2" display="Funpresp Patrocinador" xr:uid="{E978D7DA-7A84-4D51-A988-4B88D67BB305}"/>
    <hyperlink ref="N18" r:id="rId3" display="Funpresp Patrocinador" xr:uid="{4E414E9A-A7AC-4622-84FD-78326C3AF030}"/>
    <hyperlink ref="I17" r:id="rId4" xr:uid="{24F7CB48-F3CD-4619-9602-8A17BC9208DB}"/>
    <hyperlink ref="N30" r:id="rId5" display="Funpresp Patrocinador" xr:uid="{DBCF506B-4E7A-4778-9DF3-2DB6E7A9AA27}"/>
    <hyperlink ref="I29" r:id="rId6" xr:uid="{8059E9F5-47C6-4856-AA8A-ED02843A2908}"/>
  </hyperlinks>
  <pageMargins left="0.7" right="0.7" top="0.75" bottom="0.75" header="0.3" footer="0.3"/>
  <pageSetup orientation="portrait" horizontalDpi="300" verticalDpi="300" r:id="rId7"/>
  <legacyDrawing r:id="rId8"/>
  <tableParts count="1"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2281-42A0-44FF-B8F4-C019CD54E129}">
  <dimension ref="A1:G10"/>
  <sheetViews>
    <sheetView zoomScale="145" zoomScaleNormal="145" workbookViewId="0">
      <selection activeCell="B11" sqref="B11"/>
    </sheetView>
  </sheetViews>
  <sheetFormatPr defaultRowHeight="15" x14ac:dyDescent="0.25"/>
  <cols>
    <col min="1" max="1" width="33.5703125" style="1" bestFit="1" customWidth="1"/>
    <col min="2" max="2" width="19.85546875" style="1" customWidth="1"/>
    <col min="3" max="3" width="39.5703125" style="1" customWidth="1"/>
    <col min="4" max="4" width="17.85546875" style="1" customWidth="1"/>
    <col min="5" max="5" width="13.85546875" style="1" customWidth="1"/>
    <col min="6" max="6" width="14.5703125" style="1" customWidth="1"/>
    <col min="7" max="7" width="19.85546875" style="1" customWidth="1"/>
  </cols>
  <sheetData>
    <row r="1" spans="1:7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</row>
    <row r="2" spans="1:7" ht="30" customHeight="1" x14ac:dyDescent="0.25">
      <c r="A2" s="12" t="s">
        <v>16</v>
      </c>
      <c r="B2" s="16" t="s">
        <v>49</v>
      </c>
      <c r="C2" s="12" t="s">
        <v>47</v>
      </c>
      <c r="D2" s="14">
        <f>(4079.4/12)</f>
        <v>339.95</v>
      </c>
      <c r="E2" s="12">
        <v>200</v>
      </c>
      <c r="F2" s="12">
        <v>24</v>
      </c>
      <c r="G2" s="14">
        <f>D2*E2*F2</f>
        <v>1631760</v>
      </c>
    </row>
    <row r="3" spans="1:7" ht="30" customHeight="1" x14ac:dyDescent="0.25">
      <c r="A3" s="12" t="s">
        <v>16</v>
      </c>
      <c r="B3" s="16" t="s">
        <v>49</v>
      </c>
      <c r="C3" s="12" t="s">
        <v>48</v>
      </c>
      <c r="D3" s="32">
        <f>(943.07/12)</f>
        <v>78.589166666666671</v>
      </c>
      <c r="E3" s="12">
        <v>200</v>
      </c>
      <c r="F3" s="12">
        <v>24</v>
      </c>
      <c r="G3" s="14">
        <f>D3*E3*F3</f>
        <v>377228</v>
      </c>
    </row>
    <row r="4" spans="1:7" ht="30" customHeight="1" x14ac:dyDescent="0.25">
      <c r="A4" s="12" t="s">
        <v>16</v>
      </c>
      <c r="B4" s="16" t="s">
        <v>49</v>
      </c>
      <c r="C4" s="12" t="s">
        <v>11</v>
      </c>
      <c r="D4" s="14">
        <v>0</v>
      </c>
      <c r="E4" s="12">
        <v>1</v>
      </c>
      <c r="F4" s="12">
        <v>24</v>
      </c>
      <c r="G4" s="14">
        <f>D4*E4*F4</f>
        <v>0</v>
      </c>
    </row>
    <row r="5" spans="1:7" ht="30" customHeight="1" x14ac:dyDescent="0.25">
      <c r="A5" s="12" t="s">
        <v>16</v>
      </c>
      <c r="B5" s="16" t="s">
        <v>49</v>
      </c>
      <c r="C5" s="12" t="s">
        <v>34</v>
      </c>
      <c r="D5" s="14" t="s">
        <v>13</v>
      </c>
      <c r="E5" s="12" t="s">
        <v>13</v>
      </c>
      <c r="F5" s="12" t="s">
        <v>13</v>
      </c>
      <c r="G5" s="14">
        <v>184800</v>
      </c>
    </row>
    <row r="6" spans="1:7" x14ac:dyDescent="0.25">
      <c r="A6" s="17"/>
      <c r="B6" s="17"/>
      <c r="C6" s="17"/>
      <c r="D6" s="18"/>
      <c r="E6" s="17"/>
      <c r="F6" s="19" t="s">
        <v>14</v>
      </c>
      <c r="G6" s="20">
        <f>SUM(G2:G5)</f>
        <v>2193788</v>
      </c>
    </row>
    <row r="7" spans="1:7" x14ac:dyDescent="0.25">
      <c r="D7" s="2"/>
      <c r="G7" s="2"/>
    </row>
    <row r="8" spans="1:7" x14ac:dyDescent="0.25">
      <c r="D8" s="2"/>
      <c r="F8" s="1" t="s">
        <v>15</v>
      </c>
      <c r="G8" s="2">
        <f>G6/5</f>
        <v>438757.6</v>
      </c>
    </row>
    <row r="9" spans="1:7" x14ac:dyDescent="0.25">
      <c r="D9" s="2"/>
      <c r="G9" s="2"/>
    </row>
    <row r="10" spans="1:7" x14ac:dyDescent="0.25">
      <c r="B10" s="1" t="s">
        <v>69</v>
      </c>
      <c r="D10" s="2"/>
      <c r="G10" s="2"/>
    </row>
  </sheetData>
  <hyperlinks>
    <hyperlink ref="B2" r:id="rId1" xr:uid="{CAEB8C5D-5AA3-4D88-B2C4-C24FE37F83B2}"/>
    <hyperlink ref="B3" r:id="rId2" xr:uid="{00076CD0-56E2-4281-9362-02BA602D7E71}"/>
    <hyperlink ref="B4" r:id="rId3" xr:uid="{6B7520F2-B318-4888-9771-EC0ADCCAA88A}"/>
    <hyperlink ref="B5" r:id="rId4" xr:uid="{353A0918-6401-43A9-88ED-E7D698FF3E41}"/>
  </hyperlinks>
  <pageMargins left="0.7" right="0.7" top="0.75" bottom="0.75" header="0.3" footer="0.3"/>
  <pageSetup orientation="portrait" r:id="rId5"/>
  <legacyDrawing r:id="rId6"/>
  <tableParts count="1"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AC2C2-C6F4-48AF-A906-084436087293}">
  <dimension ref="A1:I18"/>
  <sheetViews>
    <sheetView zoomScale="145" zoomScaleNormal="145" workbookViewId="0">
      <selection activeCell="G4" sqref="G4"/>
    </sheetView>
  </sheetViews>
  <sheetFormatPr defaultRowHeight="15" x14ac:dyDescent="0.25"/>
  <cols>
    <col min="1" max="1" width="33.5703125" style="1" bestFit="1" customWidth="1"/>
    <col min="2" max="2" width="19.85546875" style="1" hidden="1" customWidth="1"/>
    <col min="3" max="3" width="39.5703125" style="1" customWidth="1"/>
    <col min="4" max="4" width="17.85546875" style="1" customWidth="1"/>
    <col min="5" max="5" width="13.85546875" style="1" customWidth="1"/>
    <col min="6" max="6" width="17.42578125" style="1" bestFit="1" customWidth="1"/>
    <col min="7" max="7" width="19.85546875" style="1" customWidth="1"/>
    <col min="9" max="9" width="13.28515625" bestFit="1" customWidth="1"/>
  </cols>
  <sheetData>
    <row r="1" spans="1: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</row>
    <row r="2" spans="1:9" ht="30" customHeight="1" x14ac:dyDescent="0.25">
      <c r="A2" s="12" t="s">
        <v>63</v>
      </c>
      <c r="B2" s="36" t="s">
        <v>64</v>
      </c>
      <c r="C2" s="12" t="s">
        <v>47</v>
      </c>
      <c r="D2" s="14">
        <f>(1030000)/(200*24)</f>
        <v>214.58333333333334</v>
      </c>
      <c r="E2" s="12">
        <v>200</v>
      </c>
      <c r="F2" s="12">
        <v>24</v>
      </c>
      <c r="G2" s="14">
        <f>D2*E2*F2</f>
        <v>1030000.0000000001</v>
      </c>
      <c r="I2" s="34"/>
    </row>
    <row r="3" spans="1:9" ht="30" customHeight="1" x14ac:dyDescent="0.25">
      <c r="A3" s="12" t="s">
        <v>63</v>
      </c>
      <c r="B3" s="36" t="s">
        <v>64</v>
      </c>
      <c r="C3" s="12" t="s">
        <v>48</v>
      </c>
      <c r="D3" s="14">
        <f>(412000)/(200*24)</f>
        <v>85.833333333333329</v>
      </c>
      <c r="E3" s="12">
        <v>200</v>
      </c>
      <c r="F3" s="12">
        <v>24</v>
      </c>
      <c r="G3" s="14">
        <f>D3*E3*F3</f>
        <v>411999.99999999994</v>
      </c>
    </row>
    <row r="4" spans="1:9" ht="30" customHeight="1" x14ac:dyDescent="0.25">
      <c r="A4" s="12" t="s">
        <v>63</v>
      </c>
      <c r="B4" s="36" t="s">
        <v>64</v>
      </c>
      <c r="C4" s="12" t="s">
        <v>65</v>
      </c>
      <c r="D4" s="14" t="s">
        <v>60</v>
      </c>
      <c r="E4" s="12">
        <v>1</v>
      </c>
      <c r="F4" s="12" t="s">
        <v>60</v>
      </c>
      <c r="G4" s="35">
        <f>124825</f>
        <v>124825</v>
      </c>
    </row>
    <row r="5" spans="1:9" ht="30" customHeight="1" x14ac:dyDescent="0.25">
      <c r="A5" s="12" t="s">
        <v>63</v>
      </c>
      <c r="B5" s="36" t="s">
        <v>64</v>
      </c>
      <c r="C5" s="12" t="s">
        <v>61</v>
      </c>
      <c r="D5" s="14" t="s">
        <v>60</v>
      </c>
      <c r="E5" s="12">
        <v>1</v>
      </c>
      <c r="F5" s="12" t="s">
        <v>60</v>
      </c>
      <c r="G5" s="35">
        <v>72000</v>
      </c>
    </row>
    <row r="6" spans="1:9" ht="30" customHeight="1" x14ac:dyDescent="0.25">
      <c r="A6" s="12" t="s">
        <v>63</v>
      </c>
      <c r="B6" s="36" t="s">
        <v>64</v>
      </c>
      <c r="C6" s="12" t="s">
        <v>62</v>
      </c>
      <c r="D6" s="14">
        <f>96000/384</f>
        <v>250</v>
      </c>
      <c r="E6" s="12">
        <v>16</v>
      </c>
      <c r="F6" s="12">
        <v>24</v>
      </c>
      <c r="G6" s="14">
        <f>D6*E6*F6</f>
        <v>96000</v>
      </c>
    </row>
    <row r="7" spans="1:9" x14ac:dyDescent="0.25">
      <c r="A7" s="17"/>
      <c r="B7" s="17"/>
      <c r="C7" s="17"/>
      <c r="D7" s="18"/>
      <c r="E7" s="17"/>
      <c r="F7" s="19" t="s">
        <v>14</v>
      </c>
      <c r="G7" s="20">
        <f>SUM(G2:G6)</f>
        <v>1734825</v>
      </c>
    </row>
    <row r="8" spans="1:9" x14ac:dyDescent="0.25">
      <c r="D8" s="2"/>
      <c r="G8" s="2"/>
    </row>
    <row r="9" spans="1:9" x14ac:dyDescent="0.25">
      <c r="D9" s="2"/>
      <c r="F9" s="1" t="s">
        <v>66</v>
      </c>
      <c r="G9" s="2">
        <f>G7/2</f>
        <v>867412.5</v>
      </c>
    </row>
    <row r="10" spans="1:9" x14ac:dyDescent="0.25">
      <c r="D10" s="2"/>
      <c r="G10" s="2"/>
    </row>
    <row r="12" spans="1:9" x14ac:dyDescent="0.25">
      <c r="E12" s="2"/>
    </row>
    <row r="13" spans="1:9" x14ac:dyDescent="0.25">
      <c r="E13" s="2"/>
    </row>
    <row r="14" spans="1:9" x14ac:dyDescent="0.25">
      <c r="E14" s="2"/>
    </row>
    <row r="16" spans="1:9" x14ac:dyDescent="0.25">
      <c r="E16" s="2"/>
    </row>
    <row r="17" spans="5:9" s="1" customFormat="1" x14ac:dyDescent="0.25">
      <c r="E17" s="2"/>
      <c r="H17"/>
      <c r="I17"/>
    </row>
    <row r="18" spans="5:9" s="1" customFormat="1" x14ac:dyDescent="0.25">
      <c r="E18" s="33"/>
      <c r="H18"/>
      <c r="I18"/>
    </row>
  </sheetData>
  <hyperlinks>
    <hyperlink ref="B2" r:id="rId1" display="https://sei.trf6.jus.br/sei/controlador.php?acao=procedimento_trabalhar&amp;id_procedimento=224804&amp;id_documento=617118" xr:uid="{A48C341D-3A7F-4FD3-8034-3EB029C683D2}"/>
    <hyperlink ref="B3" r:id="rId2" display="https://sei.trf6.jus.br/sei/controlador.php?acao=procedimento_trabalhar&amp;id_procedimento=224804&amp;id_documento=617118" xr:uid="{D0A1EFAF-4529-4E94-8C1A-9D3D4DD2A6A5}"/>
    <hyperlink ref="B4" r:id="rId3" display="https://sei.trf6.jus.br/sei/controlador.php?acao=procedimento_trabalhar&amp;id_procedimento=224804&amp;id_documento=617118" xr:uid="{34ECFEF5-D337-492B-8DEA-201844ED561A}"/>
    <hyperlink ref="B5" r:id="rId4" display="https://sei.trf6.jus.br/sei/controlador.php?acao=procedimento_trabalhar&amp;id_procedimento=224804&amp;id_documento=617118" xr:uid="{AE301968-B14C-4D5C-BC38-809024DBD57E}"/>
    <hyperlink ref="B6" r:id="rId5" display="https://sei.trf6.jus.br/sei/controlador.php?acao=procedimento_trabalhar&amp;id_procedimento=224804&amp;id_documento=617118" xr:uid="{B144AF02-ED8F-491F-8E8B-31B62336CFFA}"/>
  </hyperlinks>
  <pageMargins left="0.7" right="0.7" top="0.75" bottom="0.75" header="0.3" footer="0.3"/>
  <pageSetup orientation="portrait" r:id="rId6"/>
  <tableParts count="1"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26D87-3544-4992-A3C6-4692D4F14B1A}">
  <dimension ref="A1:G15"/>
  <sheetViews>
    <sheetView tabSelected="1" zoomScale="145" zoomScaleNormal="145" workbookViewId="0">
      <selection activeCell="F14" sqref="F14"/>
    </sheetView>
  </sheetViews>
  <sheetFormatPr defaultRowHeight="15" x14ac:dyDescent="0.25"/>
  <cols>
    <col min="1" max="1" width="33.5703125" style="1" bestFit="1" customWidth="1"/>
    <col min="2" max="2" width="19.85546875" style="1" hidden="1" customWidth="1"/>
    <col min="3" max="3" width="26" style="1" bestFit="1" customWidth="1"/>
    <col min="4" max="4" width="17.85546875" style="1" customWidth="1"/>
    <col min="5" max="5" width="13.85546875" style="1" customWidth="1"/>
    <col min="6" max="6" width="14.5703125" style="1" customWidth="1"/>
    <col min="7" max="7" width="19.85546875" style="1" customWidth="1"/>
  </cols>
  <sheetData>
    <row r="1" spans="1:7" ht="30" x14ac:dyDescent="0.25">
      <c r="A1" s="12" t="s">
        <v>0</v>
      </c>
      <c r="B1" s="12" t="s">
        <v>1</v>
      </c>
      <c r="C1" s="12" t="s">
        <v>2</v>
      </c>
      <c r="D1" s="22" t="s">
        <v>35</v>
      </c>
      <c r="E1" s="12" t="s">
        <v>4</v>
      </c>
      <c r="F1" s="12" t="s">
        <v>5</v>
      </c>
      <c r="G1" s="12" t="s">
        <v>6</v>
      </c>
    </row>
    <row r="2" spans="1:7" ht="30" customHeight="1" x14ac:dyDescent="0.25">
      <c r="A2" s="12" t="s">
        <v>36</v>
      </c>
      <c r="B2" s="13" t="s">
        <v>37</v>
      </c>
      <c r="C2" s="12" t="s">
        <v>9</v>
      </c>
      <c r="D2" s="14">
        <f>(100)*4.99*1.2</f>
        <v>598.79999999999995</v>
      </c>
      <c r="E2" s="12">
        <v>200</v>
      </c>
      <c r="F2" s="12">
        <v>24</v>
      </c>
      <c r="G2" s="14">
        <f>D2*E2*F2</f>
        <v>2874239.9999999995</v>
      </c>
    </row>
    <row r="3" spans="1:7" ht="30" customHeight="1" x14ac:dyDescent="0.25">
      <c r="A3" s="12" t="s">
        <v>36</v>
      </c>
      <c r="B3" s="24" t="s">
        <v>37</v>
      </c>
      <c r="C3" s="12" t="s">
        <v>11</v>
      </c>
      <c r="D3" s="14">
        <f>(230400/36)*2</f>
        <v>12800</v>
      </c>
      <c r="E3" s="12">
        <v>1</v>
      </c>
      <c r="F3" s="12">
        <v>24</v>
      </c>
      <c r="G3" s="14">
        <f>D3*E3*F3</f>
        <v>307200</v>
      </c>
    </row>
    <row r="4" spans="1:7" ht="30" customHeight="1" x14ac:dyDescent="0.25">
      <c r="A4" s="12" t="s">
        <v>36</v>
      </c>
      <c r="B4" s="24" t="s">
        <v>37</v>
      </c>
      <c r="C4" s="12" t="s">
        <v>12</v>
      </c>
      <c r="D4" s="14" t="s">
        <v>13</v>
      </c>
      <c r="E4" s="12" t="s">
        <v>13</v>
      </c>
      <c r="F4" s="12" t="s">
        <v>13</v>
      </c>
      <c r="G4" s="14">
        <v>624000</v>
      </c>
    </row>
    <row r="5" spans="1:7" ht="30" customHeight="1" x14ac:dyDescent="0.25">
      <c r="A5" s="12" t="s">
        <v>38</v>
      </c>
      <c r="B5" s="24" t="s">
        <v>39</v>
      </c>
      <c r="C5" s="12" t="s">
        <v>40</v>
      </c>
      <c r="D5" s="14">
        <v>4864</v>
      </c>
      <c r="E5" s="12">
        <v>6</v>
      </c>
      <c r="F5" s="12" t="s">
        <v>13</v>
      </c>
      <c r="G5" s="14">
        <f>D5*E5</f>
        <v>29184</v>
      </c>
    </row>
    <row r="6" spans="1:7" ht="30" customHeight="1" x14ac:dyDescent="0.25">
      <c r="A6" s="12" t="s">
        <v>38</v>
      </c>
      <c r="B6" s="24" t="s">
        <v>39</v>
      </c>
      <c r="C6" s="12" t="s">
        <v>41</v>
      </c>
      <c r="D6" s="14">
        <v>12160</v>
      </c>
      <c r="E6" s="12">
        <v>2</v>
      </c>
      <c r="F6" s="12" t="s">
        <v>13</v>
      </c>
      <c r="G6" s="14">
        <f>D6*E6</f>
        <v>24320</v>
      </c>
    </row>
    <row r="7" spans="1:7" ht="30" customHeight="1" x14ac:dyDescent="0.25">
      <c r="A7" s="12" t="s">
        <v>38</v>
      </c>
      <c r="B7" s="24" t="s">
        <v>39</v>
      </c>
      <c r="C7" s="12" t="s">
        <v>42</v>
      </c>
      <c r="D7" s="14">
        <v>1216</v>
      </c>
      <c r="E7" s="12">
        <v>3</v>
      </c>
      <c r="F7" s="12" t="s">
        <v>13</v>
      </c>
      <c r="G7" s="14">
        <f>D7*E7</f>
        <v>3648</v>
      </c>
    </row>
    <row r="8" spans="1:7" ht="30" customHeight="1" x14ac:dyDescent="0.25">
      <c r="A8" s="12" t="s">
        <v>67</v>
      </c>
      <c r="B8" s="24" t="s">
        <v>39</v>
      </c>
      <c r="C8" s="12" t="s">
        <v>62</v>
      </c>
      <c r="D8" s="14">
        <f>96000/384</f>
        <v>250</v>
      </c>
      <c r="E8" s="12">
        <v>16</v>
      </c>
      <c r="F8" s="12">
        <v>24</v>
      </c>
      <c r="G8" s="14">
        <f>D8*E8*F8</f>
        <v>96000</v>
      </c>
    </row>
    <row r="9" spans="1:7" x14ac:dyDescent="0.25">
      <c r="A9" s="17"/>
      <c r="B9" s="17"/>
      <c r="C9" s="17"/>
      <c r="D9" s="18"/>
      <c r="E9" s="17"/>
      <c r="F9" s="19" t="s">
        <v>14</v>
      </c>
      <c r="G9" s="20">
        <f>SUM(G2:G8)</f>
        <v>3958591.9999999995</v>
      </c>
    </row>
    <row r="10" spans="1:7" x14ac:dyDescent="0.25">
      <c r="D10" s="2"/>
      <c r="G10" s="2"/>
    </row>
    <row r="11" spans="1:7" x14ac:dyDescent="0.25">
      <c r="D11" s="2"/>
      <c r="F11" s="1" t="s">
        <v>15</v>
      </c>
      <c r="G11" s="2">
        <f>G9/2</f>
        <v>1979295.9999999998</v>
      </c>
    </row>
    <row r="12" spans="1:7" x14ac:dyDescent="0.25">
      <c r="D12" s="2"/>
      <c r="G12" s="2"/>
    </row>
    <row r="13" spans="1:7" x14ac:dyDescent="0.25">
      <c r="D13" s="2"/>
      <c r="G13" s="2"/>
    </row>
    <row r="14" spans="1:7" x14ac:dyDescent="0.25">
      <c r="D14" s="2"/>
      <c r="G14" s="2"/>
    </row>
    <row r="15" spans="1:7" x14ac:dyDescent="0.25">
      <c r="D15" s="2"/>
      <c r="G15" s="2"/>
    </row>
  </sheetData>
  <hyperlinks>
    <hyperlink ref="B2" r:id="rId1" xr:uid="{44212753-B360-47E0-B56F-03046EA79CC7}"/>
    <hyperlink ref="B3" r:id="rId2" xr:uid="{3CE630B3-1A54-4C4F-B738-30D36FD8B3FF}"/>
    <hyperlink ref="B4" r:id="rId3" xr:uid="{3B85568F-8130-4382-8124-DA8AF825BF4C}"/>
    <hyperlink ref="B5" r:id="rId4" display="https://www.apty.io/blog/servicenow-implementation-cost/" xr:uid="{1AA68836-DBA6-40C0-BE31-263CCFA5ECBC}"/>
    <hyperlink ref="B6" r:id="rId5" display="https://www.apty.io/blog/servicenow-implementation-cost/" xr:uid="{D7DD0DA4-B2BC-4944-9D1A-9A8A818F83DE}"/>
    <hyperlink ref="B8" r:id="rId6" display="https://www.apty.io/blog/servicenow-implementation-cost/" xr:uid="{AD0933B7-42B9-4019-94FE-819006D8A67D}"/>
    <hyperlink ref="B7" r:id="rId7" display="https://www.apty.io/blog/servicenow-implementation-cost/" xr:uid="{BE47768D-7581-48B3-93DE-A67A6C48FC19}"/>
  </hyperlinks>
  <pageMargins left="0.7" right="0.7" top="0.75" bottom="0.75" header="0.3" footer="0.3"/>
  <pageSetup orientation="portrait" r:id="rId8"/>
  <legacyDrawing r:id="rId9"/>
  <tableParts count="1">
    <tablePart r:id="rId10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2B371-73E5-4FAC-A692-A01BEE5D8BD9}">
  <dimension ref="A1:F25"/>
  <sheetViews>
    <sheetView workbookViewId="0">
      <selection activeCell="A21" sqref="A21:E23"/>
    </sheetView>
  </sheetViews>
  <sheetFormatPr defaultRowHeight="15" x14ac:dyDescent="0.25"/>
  <cols>
    <col min="1" max="1" width="41.42578125" style="27" bestFit="1" customWidth="1"/>
    <col min="2" max="3" width="20.7109375" style="1" customWidth="1"/>
    <col min="4" max="4" width="20.7109375" customWidth="1"/>
  </cols>
  <sheetData>
    <row r="1" spans="1:4" ht="30.75" customHeight="1" x14ac:dyDescent="0.25"/>
    <row r="2" spans="1:4" ht="30" customHeight="1" x14ac:dyDescent="0.25">
      <c r="A2" s="28" t="s">
        <v>52</v>
      </c>
      <c r="B2" s="28" t="s">
        <v>50</v>
      </c>
      <c r="C2" s="28" t="s">
        <v>51</v>
      </c>
      <c r="D2" s="28" t="s">
        <v>54</v>
      </c>
    </row>
    <row r="3" spans="1:4" ht="20.100000000000001" customHeight="1" x14ac:dyDescent="0.25">
      <c r="A3" s="29" t="s">
        <v>55</v>
      </c>
      <c r="B3" s="14">
        <f>'Jira PrimeUp'!$G2/2</f>
        <v>515000.00000000006</v>
      </c>
      <c r="C3" s="14">
        <f>'Jira PrimeUp'!$G2/2</f>
        <v>515000.00000000006</v>
      </c>
      <c r="D3" s="14">
        <f>SUM(B3:C3)</f>
        <v>1030000.0000000001</v>
      </c>
    </row>
    <row r="4" spans="1:4" ht="20.100000000000001" customHeight="1" x14ac:dyDescent="0.25">
      <c r="A4" s="29" t="s">
        <v>56</v>
      </c>
      <c r="B4" s="14">
        <f>'Jira PrimeUp'!$G3/2</f>
        <v>205999.99999999997</v>
      </c>
      <c r="C4" s="14">
        <f>'Jira PrimeUp'!$G3/2</f>
        <v>205999.99999999997</v>
      </c>
      <c r="D4" s="14">
        <f>SUM(B4:C4)</f>
        <v>411999.99999999994</v>
      </c>
    </row>
    <row r="5" spans="1:4" ht="20.100000000000001" customHeight="1" x14ac:dyDescent="0.25">
      <c r="A5" s="29" t="s">
        <v>12</v>
      </c>
      <c r="B5" s="14">
        <f>'Jira PrimeUp'!$G4</f>
        <v>124825</v>
      </c>
      <c r="C5" s="14">
        <v>0</v>
      </c>
      <c r="D5" s="14">
        <f>SUM(B5:C5)</f>
        <v>124825</v>
      </c>
    </row>
    <row r="6" spans="1:4" ht="20.100000000000001" customHeight="1" x14ac:dyDescent="0.25">
      <c r="A6" s="29" t="s">
        <v>61</v>
      </c>
      <c r="B6" s="14">
        <f>'Jira PrimeUp'!$G5</f>
        <v>72000</v>
      </c>
      <c r="C6" s="14">
        <v>0</v>
      </c>
      <c r="D6" s="14">
        <f>SUM(B6:C6)</f>
        <v>72000</v>
      </c>
    </row>
    <row r="7" spans="1:4" ht="20.100000000000001" customHeight="1" x14ac:dyDescent="0.25">
      <c r="A7" s="29" t="s">
        <v>62</v>
      </c>
      <c r="B7" s="14">
        <f>'Jira PrimeUp'!$G6/2</f>
        <v>48000</v>
      </c>
      <c r="C7" s="14">
        <f>'Jira PrimeUp'!$G6/2</f>
        <v>48000</v>
      </c>
      <c r="D7" s="14">
        <f>SUM(B7:C7)</f>
        <v>96000</v>
      </c>
    </row>
    <row r="8" spans="1:4" ht="20.100000000000001" customHeight="1" x14ac:dyDescent="0.25">
      <c r="A8" s="30" t="s">
        <v>54</v>
      </c>
      <c r="B8" s="31">
        <f t="shared" ref="B8:D8" si="0">SUM(B3:B7)</f>
        <v>965825</v>
      </c>
      <c r="C8" s="31">
        <f t="shared" si="0"/>
        <v>769000</v>
      </c>
      <c r="D8" s="31">
        <f t="shared" si="0"/>
        <v>1734825</v>
      </c>
    </row>
    <row r="9" spans="1:4" ht="20.100000000000001" customHeight="1" x14ac:dyDescent="0.25">
      <c r="D9" s="2"/>
    </row>
    <row r="12" spans="1:4" ht="30" customHeight="1" x14ac:dyDescent="0.25">
      <c r="A12" s="28" t="s">
        <v>53</v>
      </c>
      <c r="B12" s="28" t="s">
        <v>50</v>
      </c>
      <c r="C12" s="28" t="s">
        <v>51</v>
      </c>
      <c r="D12" s="28" t="s">
        <v>54</v>
      </c>
    </row>
    <row r="13" spans="1:4" ht="20.100000000000001" customHeight="1" x14ac:dyDescent="0.25">
      <c r="A13" s="12" t="s">
        <v>9</v>
      </c>
      <c r="B13" s="14">
        <f>ServiceNow!$G2/2</f>
        <v>1437119.9999999998</v>
      </c>
      <c r="C13" s="14">
        <f>ServiceNow!$G2/2</f>
        <v>1437119.9999999998</v>
      </c>
      <c r="D13" s="14">
        <f t="shared" ref="D13:D17" si="1">SUM(B13:C13)</f>
        <v>2874239.9999999995</v>
      </c>
    </row>
    <row r="14" spans="1:4" ht="20.100000000000001" customHeight="1" x14ac:dyDescent="0.25">
      <c r="A14" s="12" t="s">
        <v>11</v>
      </c>
      <c r="B14" s="14">
        <f>ServiceNow!$G3/2</f>
        <v>153600</v>
      </c>
      <c r="C14" s="14">
        <f>ServiceNow!$G3/2</f>
        <v>153600</v>
      </c>
      <c r="D14" s="14">
        <f t="shared" si="1"/>
        <v>307200</v>
      </c>
    </row>
    <row r="15" spans="1:4" ht="20.100000000000001" customHeight="1" x14ac:dyDescent="0.25">
      <c r="A15" s="12" t="s">
        <v>12</v>
      </c>
      <c r="B15" s="14">
        <f>ServiceNow!$G4</f>
        <v>624000</v>
      </c>
      <c r="C15" s="14">
        <v>0</v>
      </c>
      <c r="D15" s="14">
        <f t="shared" si="1"/>
        <v>624000</v>
      </c>
    </row>
    <row r="16" spans="1:4" ht="20.100000000000001" customHeight="1" x14ac:dyDescent="0.25">
      <c r="A16" s="12" t="s">
        <v>61</v>
      </c>
      <c r="B16" s="14">
        <f>SUM(ServiceNow!G5:G7)</f>
        <v>57152</v>
      </c>
      <c r="C16" s="14">
        <v>0</v>
      </c>
      <c r="D16" s="14">
        <f t="shared" si="1"/>
        <v>57152</v>
      </c>
    </row>
    <row r="17" spans="1:6" ht="20.100000000000001" customHeight="1" x14ac:dyDescent="0.25">
      <c r="A17" s="29" t="s">
        <v>62</v>
      </c>
      <c r="B17" s="14">
        <f>ServiceNow!$G8/2</f>
        <v>48000</v>
      </c>
      <c r="C17" s="14">
        <f>ServiceNow!$G8/2</f>
        <v>48000</v>
      </c>
      <c r="D17" s="14">
        <f t="shared" si="1"/>
        <v>96000</v>
      </c>
    </row>
    <row r="18" spans="1:6" ht="20.100000000000001" customHeight="1" x14ac:dyDescent="0.25">
      <c r="A18" s="30" t="s">
        <v>54</v>
      </c>
      <c r="B18" s="31">
        <f>SUM(B13:B17)</f>
        <v>2319872</v>
      </c>
      <c r="C18" s="31">
        <f>SUM(C13:C17)</f>
        <v>1638719.9999999998</v>
      </c>
      <c r="D18" s="31">
        <f>SUM(D13:D17)</f>
        <v>3958591.9999999995</v>
      </c>
    </row>
    <row r="20" spans="1:6" x14ac:dyDescent="0.25">
      <c r="A20" s="37"/>
      <c r="B20" s="9"/>
      <c r="C20" s="9"/>
      <c r="D20" s="11"/>
      <c r="E20" s="11"/>
      <c r="F20" s="11"/>
    </row>
    <row r="21" spans="1:6" ht="30" customHeight="1" x14ac:dyDescent="0.25">
      <c r="A21" s="28" t="s">
        <v>57</v>
      </c>
      <c r="B21" s="28" t="s">
        <v>50</v>
      </c>
      <c r="C21" s="28" t="s">
        <v>51</v>
      </c>
      <c r="D21" s="28" t="s">
        <v>54</v>
      </c>
      <c r="E21" s="11"/>
      <c r="F21" s="11"/>
    </row>
    <row r="22" spans="1:6" ht="20.100000000000001" customHeight="1" x14ac:dyDescent="0.25">
      <c r="A22" s="29" t="s">
        <v>52</v>
      </c>
      <c r="B22" s="14">
        <f>B8</f>
        <v>965825</v>
      </c>
      <c r="C22" s="14">
        <f>C8</f>
        <v>769000</v>
      </c>
      <c r="D22" s="14">
        <f>SUM(B22:C22)</f>
        <v>1734825</v>
      </c>
      <c r="E22" s="38"/>
      <c r="F22" s="11"/>
    </row>
    <row r="23" spans="1:6" ht="20.100000000000001" customHeight="1" x14ac:dyDescent="0.25">
      <c r="A23" s="29" t="s">
        <v>53</v>
      </c>
      <c r="B23" s="14">
        <f>B18</f>
        <v>2319872</v>
      </c>
      <c r="C23" s="14">
        <f>C18</f>
        <v>1638719.9999999998</v>
      </c>
      <c r="D23" s="14">
        <f>SUM(B23:C23)</f>
        <v>3958592</v>
      </c>
      <c r="E23" s="39" t="s">
        <v>68</v>
      </c>
      <c r="F23" s="11"/>
    </row>
    <row r="24" spans="1:6" x14ac:dyDescent="0.25">
      <c r="A24" s="37"/>
      <c r="B24" s="9"/>
      <c r="C24" s="9"/>
      <c r="D24" s="11"/>
      <c r="E24" s="11"/>
      <c r="F24" s="11"/>
    </row>
    <row r="25" spans="1:6" x14ac:dyDescent="0.25">
      <c r="A25" s="37"/>
      <c r="B25" s="9"/>
      <c r="C25" s="9"/>
      <c r="D25" s="11"/>
      <c r="E25" s="11"/>
      <c r="F25" s="11"/>
    </row>
  </sheetData>
  <phoneticPr fontId="7" type="noConversion"/>
  <pageMargins left="0.511811024" right="0.511811024" top="0.78740157499999996" bottom="0.78740157499999996" header="0.31496062000000002" footer="0.3149606200000000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183D3-F2B1-4ED1-B8B9-3C1AD510B0D8}">
  <dimension ref="A1:G17"/>
  <sheetViews>
    <sheetView zoomScale="145" zoomScaleNormal="145" workbookViewId="0">
      <selection activeCell="G6" sqref="G6"/>
    </sheetView>
  </sheetViews>
  <sheetFormatPr defaultRowHeight="15" x14ac:dyDescent="0.25"/>
  <cols>
    <col min="1" max="1" width="33.5703125" style="1" bestFit="1" customWidth="1"/>
    <col min="2" max="2" width="19.85546875" style="1" customWidth="1"/>
    <col min="3" max="3" width="39.5703125" style="1" customWidth="1"/>
    <col min="4" max="4" width="17.85546875" style="1" customWidth="1"/>
    <col min="5" max="5" width="13.85546875" style="1" customWidth="1"/>
    <col min="6" max="6" width="14.5703125" style="1" customWidth="1"/>
    <col min="7" max="7" width="19.85546875" style="1" customWidth="1"/>
  </cols>
  <sheetData>
    <row r="1" spans="1:7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</row>
    <row r="2" spans="1:7" ht="30" customHeight="1" x14ac:dyDescent="0.25">
      <c r="A2" s="12" t="s">
        <v>59</v>
      </c>
      <c r="B2" s="12" t="s">
        <v>58</v>
      </c>
      <c r="C2" s="12" t="s">
        <v>47</v>
      </c>
      <c r="D2" s="14">
        <v>171.9</v>
      </c>
      <c r="E2" s="12">
        <v>180</v>
      </c>
      <c r="F2" s="12">
        <v>60</v>
      </c>
      <c r="G2" s="14">
        <f>D2*E2*F2</f>
        <v>1856520</v>
      </c>
    </row>
    <row r="3" spans="1:7" ht="30" customHeight="1" x14ac:dyDescent="0.25">
      <c r="A3" s="12" t="s">
        <v>59</v>
      </c>
      <c r="B3" s="12" t="s">
        <v>58</v>
      </c>
      <c r="C3" s="12" t="s">
        <v>48</v>
      </c>
      <c r="D3" s="32">
        <v>71.260000000000005</v>
      </c>
      <c r="E3" s="12">
        <v>140</v>
      </c>
      <c r="F3" s="12">
        <v>60</v>
      </c>
      <c r="G3" s="14">
        <f>D3*E3*F3</f>
        <v>598584.00000000012</v>
      </c>
    </row>
    <row r="4" spans="1:7" ht="30" customHeight="1" x14ac:dyDescent="0.25">
      <c r="A4" s="12" t="s">
        <v>59</v>
      </c>
      <c r="B4" s="12" t="s">
        <v>58</v>
      </c>
      <c r="C4" s="12" t="s">
        <v>11</v>
      </c>
      <c r="D4" s="14">
        <v>0</v>
      </c>
      <c r="E4" s="12">
        <v>1</v>
      </c>
      <c r="F4" s="12">
        <v>60</v>
      </c>
      <c r="G4" s="14">
        <f>D4*E4*F4</f>
        <v>0</v>
      </c>
    </row>
    <row r="5" spans="1:7" ht="30" customHeight="1" x14ac:dyDescent="0.25">
      <c r="A5" s="12" t="s">
        <v>59</v>
      </c>
      <c r="B5" s="12" t="s">
        <v>58</v>
      </c>
      <c r="C5" s="12" t="s">
        <v>34</v>
      </c>
      <c r="D5" s="14" t="s">
        <v>13</v>
      </c>
      <c r="E5" s="12" t="s">
        <v>13</v>
      </c>
      <c r="F5" s="12" t="s">
        <v>13</v>
      </c>
      <c r="G5" s="14">
        <f>140000+71520</f>
        <v>211520</v>
      </c>
    </row>
    <row r="6" spans="1:7" x14ac:dyDescent="0.25">
      <c r="A6" s="17"/>
      <c r="B6" s="17"/>
      <c r="C6" s="17"/>
      <c r="D6" s="18"/>
      <c r="E6" s="17"/>
      <c r="F6" s="19" t="s">
        <v>14</v>
      </c>
      <c r="G6" s="20">
        <f>SUM(G2:G5)</f>
        <v>2666624</v>
      </c>
    </row>
    <row r="7" spans="1:7" x14ac:dyDescent="0.25">
      <c r="D7" s="2"/>
      <c r="G7" s="2"/>
    </row>
    <row r="8" spans="1:7" x14ac:dyDescent="0.25">
      <c r="D8" s="2"/>
      <c r="F8" s="1" t="s">
        <v>15</v>
      </c>
      <c r="G8" s="2">
        <f>G6/5</f>
        <v>533324.80000000005</v>
      </c>
    </row>
    <row r="9" spans="1:7" x14ac:dyDescent="0.25">
      <c r="D9" s="2"/>
      <c r="G9" s="2"/>
    </row>
    <row r="11" spans="1:7" x14ac:dyDescent="0.25">
      <c r="E11" s="2">
        <v>412568</v>
      </c>
    </row>
    <row r="12" spans="1:7" x14ac:dyDescent="0.25">
      <c r="E12" s="2">
        <f>E11/200</f>
        <v>2062.84</v>
      </c>
    </row>
    <row r="13" spans="1:7" x14ac:dyDescent="0.25">
      <c r="E13" s="2">
        <f>E12/12</f>
        <v>171.90333333333334</v>
      </c>
    </row>
    <row r="15" spans="1:7" x14ac:dyDescent="0.25">
      <c r="E15" s="2">
        <v>171018.1</v>
      </c>
    </row>
    <row r="16" spans="1:7" x14ac:dyDescent="0.25">
      <c r="E16" s="2">
        <f>E15/200</f>
        <v>855.09050000000002</v>
      </c>
    </row>
    <row r="17" spans="5:5" x14ac:dyDescent="0.25">
      <c r="E17" s="33">
        <f>E16/12</f>
        <v>71.257541666666668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57469-31CC-40A6-BDAB-9561247EA23C}">
  <dimension ref="A1:G17"/>
  <sheetViews>
    <sheetView zoomScale="145" zoomScaleNormal="145" workbookViewId="0">
      <selection activeCell="G5" sqref="G5"/>
    </sheetView>
  </sheetViews>
  <sheetFormatPr defaultRowHeight="15" x14ac:dyDescent="0.25"/>
  <cols>
    <col min="1" max="1" width="33.5703125" style="1" bestFit="1" customWidth="1"/>
    <col min="2" max="2" width="19.85546875" style="1" customWidth="1"/>
    <col min="3" max="3" width="39.5703125" style="1" customWidth="1"/>
    <col min="4" max="4" width="17.85546875" style="1" customWidth="1"/>
    <col min="5" max="5" width="13.85546875" style="1" customWidth="1"/>
    <col min="6" max="6" width="14.5703125" style="1" customWidth="1"/>
    <col min="7" max="7" width="19.85546875" style="1" customWidth="1"/>
  </cols>
  <sheetData>
    <row r="1" spans="1:7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</row>
    <row r="2" spans="1:7" ht="30" customHeight="1" x14ac:dyDescent="0.25">
      <c r="A2" s="12" t="s">
        <v>59</v>
      </c>
      <c r="B2" s="12" t="s">
        <v>58</v>
      </c>
      <c r="C2" s="12" t="s">
        <v>47</v>
      </c>
      <c r="D2" s="14">
        <v>171.9</v>
      </c>
      <c r="E2" s="12">
        <v>200</v>
      </c>
      <c r="F2" s="12">
        <v>60</v>
      </c>
      <c r="G2" s="14">
        <f>D2*E2*F2</f>
        <v>2062800</v>
      </c>
    </row>
    <row r="3" spans="1:7" ht="30" customHeight="1" x14ac:dyDescent="0.25">
      <c r="A3" s="12" t="s">
        <v>59</v>
      </c>
      <c r="B3" s="12" t="s">
        <v>58</v>
      </c>
      <c r="C3" s="12" t="s">
        <v>48</v>
      </c>
      <c r="D3" s="32">
        <v>71.260000000000005</v>
      </c>
      <c r="E3" s="12">
        <v>200</v>
      </c>
      <c r="F3" s="12">
        <v>60</v>
      </c>
      <c r="G3" s="14">
        <f>D3*E3*F3</f>
        <v>855120.00000000012</v>
      </c>
    </row>
    <row r="4" spans="1:7" ht="30" customHeight="1" x14ac:dyDescent="0.25">
      <c r="A4" s="12" t="s">
        <v>59</v>
      </c>
      <c r="B4" s="12" t="s">
        <v>58</v>
      </c>
      <c r="C4" s="12" t="s">
        <v>11</v>
      </c>
      <c r="D4" s="14">
        <v>0</v>
      </c>
      <c r="E4" s="12">
        <v>1</v>
      </c>
      <c r="F4" s="12">
        <v>60</v>
      </c>
      <c r="G4" s="14">
        <f>D4*E4*F4</f>
        <v>0</v>
      </c>
    </row>
    <row r="5" spans="1:7" ht="30" customHeight="1" x14ac:dyDescent="0.25">
      <c r="A5" s="12" t="s">
        <v>59</v>
      </c>
      <c r="B5" s="12" t="s">
        <v>58</v>
      </c>
      <c r="C5" s="12" t="s">
        <v>34</v>
      </c>
      <c r="D5" s="14" t="s">
        <v>13</v>
      </c>
      <c r="E5" s="12" t="s">
        <v>13</v>
      </c>
      <c r="F5" s="12" t="s">
        <v>13</v>
      </c>
      <c r="G5" s="14">
        <f>140000+71520</f>
        <v>211520</v>
      </c>
    </row>
    <row r="6" spans="1:7" x14ac:dyDescent="0.25">
      <c r="A6" s="17"/>
      <c r="B6" s="17"/>
      <c r="C6" s="17"/>
      <c r="D6" s="18"/>
      <c r="E6" s="17"/>
      <c r="F6" s="19" t="s">
        <v>14</v>
      </c>
      <c r="G6" s="20">
        <f>SUM(G2:G5)</f>
        <v>3129440</v>
      </c>
    </row>
    <row r="7" spans="1:7" x14ac:dyDescent="0.25">
      <c r="D7" s="2"/>
      <c r="G7" s="2"/>
    </row>
    <row r="8" spans="1:7" x14ac:dyDescent="0.25">
      <c r="D8" s="2"/>
      <c r="F8" s="1" t="s">
        <v>15</v>
      </c>
      <c r="G8" s="2">
        <f>G6/5</f>
        <v>625888</v>
      </c>
    </row>
    <row r="9" spans="1:7" x14ac:dyDescent="0.25">
      <c r="D9" s="2"/>
      <c r="G9" s="2"/>
    </row>
    <row r="11" spans="1:7" x14ac:dyDescent="0.25">
      <c r="E11" s="2">
        <v>412568</v>
      </c>
    </row>
    <row r="12" spans="1:7" x14ac:dyDescent="0.25">
      <c r="E12" s="2">
        <f>E11/200</f>
        <v>2062.84</v>
      </c>
    </row>
    <row r="13" spans="1:7" x14ac:dyDescent="0.25">
      <c r="E13" s="2">
        <f>E12/12</f>
        <v>171.90333333333334</v>
      </c>
    </row>
    <row r="15" spans="1:7" x14ac:dyDescent="0.25">
      <c r="E15" s="2">
        <v>171018.1</v>
      </c>
    </row>
    <row r="16" spans="1:7" x14ac:dyDescent="0.25">
      <c r="E16" s="2">
        <f>E15/200</f>
        <v>855.09050000000002</v>
      </c>
    </row>
    <row r="17" spans="5:5" x14ac:dyDescent="0.25">
      <c r="E17" s="33">
        <f>E16/12</f>
        <v>71.257541666666668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5226089315EF4E9C7B687B9F3207B0" ma:contentTypeVersion="11" ma:contentTypeDescription="Crie um novo documento." ma:contentTypeScope="" ma:versionID="62fcc1b4cc392c10f8d39fe7905be64e">
  <xsd:schema xmlns:xsd="http://www.w3.org/2001/XMLSchema" xmlns:xs="http://www.w3.org/2001/XMLSchema" xmlns:p="http://schemas.microsoft.com/office/2006/metadata/properties" xmlns:ns2="8b1b11ea-6a58-4a11-ab14-229b7e97d556" xmlns:ns3="1d75b7fa-623a-415b-906c-fc0223e33cca" targetNamespace="http://schemas.microsoft.com/office/2006/metadata/properties" ma:root="true" ma:fieldsID="60b074e25cee59446a44856943c9344c" ns2:_="" ns3:_="">
    <xsd:import namespace="8b1b11ea-6a58-4a11-ab14-229b7e97d556"/>
    <xsd:import namespace="1d75b7fa-623a-415b-906c-fc0223e33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b11ea-6a58-4a11-ab14-229b7e97d5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8183afdb-6ab0-4fbd-8a2f-2d24a9aba3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5b7fa-623a-415b-906c-fc0223e33cc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097ca6e-5043-43d5-af7c-74d6fbe42373}" ma:internalName="TaxCatchAll" ma:showField="CatchAllData" ma:web="1d75b7fa-623a-415b-906c-fc0223e33c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75b7fa-623a-415b-906c-fc0223e33cca" xsi:nil="true"/>
    <lcf76f155ced4ddcb4097134ff3c332f xmlns="8b1b11ea-6a58-4a11-ab14-229b7e97d55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9DAB55-37C7-4184-B43B-10835C64F1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b11ea-6a58-4a11-ab14-229b7e97d556"/>
    <ds:schemaRef ds:uri="1d75b7fa-623a-415b-906c-fc0223e33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CFC700-4DF1-46B6-A0C2-1CFB399986EE}">
  <ds:schemaRefs>
    <ds:schemaRef ds:uri="http://schemas.microsoft.com/office/2006/metadata/properties"/>
    <ds:schemaRef ds:uri="http://schemas.microsoft.com/office/infopath/2007/PartnerControls"/>
    <ds:schemaRef ds:uri="1d75b7fa-623a-415b-906c-fc0223e33cca"/>
    <ds:schemaRef ds:uri="8b1b11ea-6a58-4a11-ab14-229b7e97d556"/>
  </ds:schemaRefs>
</ds:datastoreItem>
</file>

<file path=customXml/itemProps3.xml><?xml version="1.0" encoding="utf-8"?>
<ds:datastoreItem xmlns:ds="http://schemas.openxmlformats.org/officeDocument/2006/customXml" ds:itemID="{08EDFECA-8CAD-4FF3-ADA2-FF3A16731C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IBM Control Desk</vt:lpstr>
      <vt:lpstr>Desenvolvimento SUDES</vt:lpstr>
      <vt:lpstr>Jira IPLANRIO</vt:lpstr>
      <vt:lpstr>Jira PrimeUp</vt:lpstr>
      <vt:lpstr>ServiceNow</vt:lpstr>
      <vt:lpstr>TCO</vt:lpstr>
      <vt:lpstr>Jira E-core</vt:lpstr>
      <vt:lpstr>Jira E-core v2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Mota de Azevedo Junior</dc:creator>
  <cp:keywords/>
  <dc:description/>
  <cp:lastModifiedBy>Marcelo Mota de Azevedo Junior</cp:lastModifiedBy>
  <cp:revision/>
  <dcterms:created xsi:type="dcterms:W3CDTF">2023-05-04T18:31:24Z</dcterms:created>
  <dcterms:modified xsi:type="dcterms:W3CDTF">2023-11-27T19:13:31Z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0x010100C45226089315EF4E9C7B687B9F3207B0</vt:lpwstr>
  </property>
  <property fmtid="{D5CDD505-2E9C-101B-9397-08002B2CF9AE}" pid="3" name="MediaServiceImageTags">
    <vt:lpwstr/>
  </property>
</Properties>
</file>