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Default Extension="jpeg" ContentType="image/jpeg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firstSheet="9" activeTab="13"/>
  </bookViews>
  <sheets>
    <sheet name="Encargos" sheetId="1" r:id="rId1"/>
    <sheet name="Uniforme" sheetId="2" r:id="rId2"/>
    <sheet name="Espec.I" sheetId="3" state="hidden" r:id="rId3"/>
    <sheet name="Espc.II" sheetId="4" state="hidden" r:id="rId4"/>
    <sheet name="Especificações" sheetId="5" r:id="rId5"/>
    <sheet name="Mat.Limpeza e EPI COVID" sheetId="6" r:id="rId6"/>
    <sheet name="EPI - COVID 19" sheetId="7" r:id="rId7"/>
    <sheet name="Dados" sheetId="8" r:id="rId8"/>
    <sheet name="Servente-Insalu. 150" sheetId="9" r:id="rId9"/>
    <sheet name="Servente 150" sheetId="10" r:id="rId10"/>
    <sheet name="Servente-copeira 150" sheetId="11" r:id="rId11"/>
    <sheet name="Zelador 220" sheetId="12" r:id="rId12"/>
    <sheet name="Auxiliar Jud. 150" sheetId="13" r:id="rId13"/>
    <sheet name="Resumo " sheetId="14" r:id="rId14"/>
  </sheets>
  <definedNames>
    <definedName name="_xlnm.Print_Area" localSheetId="5">'Mat.Limpeza e EPI COVID'!$A$6:$J$54</definedName>
    <definedName name="Print_Area_0" localSheetId="5">'Mat.Limpeza e EPI COVID'!$A$6:$J$54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Y26" i="14"/>
  <c r="X26"/>
  <c r="W26"/>
  <c r="Z22"/>
  <c r="Y21"/>
  <c r="X21"/>
  <c r="W21"/>
  <c r="V21"/>
  <c r="Y20"/>
  <c r="X20"/>
  <c r="W20"/>
  <c r="V20"/>
  <c r="Y19"/>
  <c r="X19"/>
  <c r="W19"/>
  <c r="V19"/>
  <c r="Z18"/>
  <c r="Y18"/>
  <c r="X18"/>
  <c r="W18"/>
  <c r="V18"/>
  <c r="Y17"/>
  <c r="X17"/>
  <c r="W17"/>
  <c r="V17"/>
  <c r="C17"/>
  <c r="N16"/>
  <c r="Y22" s="1"/>
  <c r="K16"/>
  <c r="X22" s="1"/>
  <c r="H16"/>
  <c r="W22" s="1"/>
  <c r="D16"/>
  <c r="B15"/>
  <c r="U21" s="1"/>
  <c r="A15"/>
  <c r="U12" s="1"/>
  <c r="B14"/>
  <c r="U20" s="1"/>
  <c r="B13"/>
  <c r="U19" s="1"/>
  <c r="B12"/>
  <c r="U18" s="1"/>
  <c r="B11"/>
  <c r="U17" s="1"/>
  <c r="A11"/>
  <c r="U11" s="1"/>
  <c r="E65" i="13"/>
  <c r="E50"/>
  <c r="A43"/>
  <c r="A42"/>
  <c r="D39"/>
  <c r="D38"/>
  <c r="D37"/>
  <c r="D33"/>
  <c r="E61" s="1"/>
  <c r="D31"/>
  <c r="I27"/>
  <c r="F26"/>
  <c r="G24"/>
  <c r="G23"/>
  <c r="F22"/>
  <c r="F55" s="1"/>
  <c r="E22"/>
  <c r="D22"/>
  <c r="C22"/>
  <c r="E21"/>
  <c r="D21"/>
  <c r="C21"/>
  <c r="F20"/>
  <c r="F19"/>
  <c r="G15"/>
  <c r="H13"/>
  <c r="H15" s="1"/>
  <c r="G13"/>
  <c r="F12"/>
  <c r="E12"/>
  <c r="F11"/>
  <c r="I11" s="1"/>
  <c r="I13" s="1"/>
  <c r="E11"/>
  <c r="F10"/>
  <c r="E10"/>
  <c r="E6"/>
  <c r="E62" i="12"/>
  <c r="E51"/>
  <c r="A44"/>
  <c r="A43"/>
  <c r="D40"/>
  <c r="E66" s="1"/>
  <c r="D39"/>
  <c r="D38"/>
  <c r="D34"/>
  <c r="D32"/>
  <c r="I28"/>
  <c r="F27"/>
  <c r="G25"/>
  <c r="G24"/>
  <c r="E23"/>
  <c r="D23"/>
  <c r="F23" s="1"/>
  <c r="F56" s="1"/>
  <c r="C23"/>
  <c r="E22"/>
  <c r="D22"/>
  <c r="C22"/>
  <c r="F21"/>
  <c r="F20"/>
  <c r="G16"/>
  <c r="H14"/>
  <c r="H16" s="1"/>
  <c r="G14"/>
  <c r="F13"/>
  <c r="F12"/>
  <c r="F11"/>
  <c r="I11" s="1"/>
  <c r="I14" s="1"/>
  <c r="E11"/>
  <c r="F10"/>
  <c r="E10"/>
  <c r="E6"/>
  <c r="E61" i="11"/>
  <c r="E50"/>
  <c r="A43"/>
  <c r="A42"/>
  <c r="D39"/>
  <c r="E65" s="1"/>
  <c r="D38"/>
  <c r="D37"/>
  <c r="E63" s="1"/>
  <c r="D33"/>
  <c r="D31"/>
  <c r="I27"/>
  <c r="F26"/>
  <c r="F24"/>
  <c r="G24" s="1"/>
  <c r="F22"/>
  <c r="F55" s="1"/>
  <c r="E22"/>
  <c r="D22"/>
  <c r="C22"/>
  <c r="E21"/>
  <c r="D21"/>
  <c r="C21"/>
  <c r="F20"/>
  <c r="F19"/>
  <c r="I15"/>
  <c r="H15"/>
  <c r="I13"/>
  <c r="H13"/>
  <c r="G13"/>
  <c r="G15" s="1"/>
  <c r="E12"/>
  <c r="E11"/>
  <c r="F11" s="1"/>
  <c r="E10"/>
  <c r="F12" s="1"/>
  <c r="E6"/>
  <c r="E65" i="10"/>
  <c r="E50"/>
  <c r="E51" s="1"/>
  <c r="A43"/>
  <c r="A42"/>
  <c r="D39"/>
  <c r="D38"/>
  <c r="D37"/>
  <c r="D33"/>
  <c r="E61" s="1"/>
  <c r="D31"/>
  <c r="I27"/>
  <c r="I28" s="1"/>
  <c r="I31" s="1"/>
  <c r="F26"/>
  <c r="G24"/>
  <c r="F24"/>
  <c r="F22"/>
  <c r="F55" s="1"/>
  <c r="E22"/>
  <c r="D22"/>
  <c r="C22"/>
  <c r="E21"/>
  <c r="D21"/>
  <c r="C21"/>
  <c r="F20"/>
  <c r="F19"/>
  <c r="I15"/>
  <c r="H15"/>
  <c r="I13"/>
  <c r="H13"/>
  <c r="G13"/>
  <c r="G15" s="1"/>
  <c r="F12"/>
  <c r="E12"/>
  <c r="E11"/>
  <c r="F11" s="1"/>
  <c r="F13" s="1"/>
  <c r="F10"/>
  <c r="E10"/>
  <c r="E6"/>
  <c r="F55" i="9"/>
  <c r="E50"/>
  <c r="E51" s="1"/>
  <c r="A43"/>
  <c r="A42"/>
  <c r="D39"/>
  <c r="E65" s="1"/>
  <c r="D38"/>
  <c r="E63" s="1"/>
  <c r="D37"/>
  <c r="D33"/>
  <c r="E61" s="1"/>
  <c r="D31"/>
  <c r="I27"/>
  <c r="F26"/>
  <c r="F22"/>
  <c r="E22"/>
  <c r="D22"/>
  <c r="C22"/>
  <c r="E21"/>
  <c r="D21"/>
  <c r="C21"/>
  <c r="F20"/>
  <c r="F19"/>
  <c r="H15"/>
  <c r="H13"/>
  <c r="E12"/>
  <c r="F12" s="1"/>
  <c r="G12" s="1"/>
  <c r="G13" s="1"/>
  <c r="G15" s="1"/>
  <c r="E11"/>
  <c r="F11" s="1"/>
  <c r="I11" s="1"/>
  <c r="I13" s="1"/>
  <c r="E10"/>
  <c r="F10" s="1"/>
  <c r="F13" s="1"/>
  <c r="E6"/>
  <c r="G11" i="8"/>
  <c r="F11"/>
  <c r="G10"/>
  <c r="F10"/>
  <c r="G9"/>
  <c r="F9"/>
  <c r="G8"/>
  <c r="F8"/>
  <c r="E8"/>
  <c r="G7"/>
  <c r="F7"/>
  <c r="E7"/>
  <c r="F20" i="7"/>
  <c r="E20"/>
  <c r="F19"/>
  <c r="E19"/>
  <c r="F18"/>
  <c r="E18"/>
  <c r="G18" s="1"/>
  <c r="H18" s="1"/>
  <c r="I18" s="1"/>
  <c r="F17"/>
  <c r="E17"/>
  <c r="G17" s="1"/>
  <c r="H17" s="1"/>
  <c r="I17" s="1"/>
  <c r="F16"/>
  <c r="F21" s="1"/>
  <c r="E16"/>
  <c r="L8"/>
  <c r="I60" i="6" s="1"/>
  <c r="J8" i="7"/>
  <c r="F60" i="6"/>
  <c r="G60" s="1"/>
  <c r="G61" s="1"/>
  <c r="H53"/>
  <c r="J53" s="1"/>
  <c r="J52"/>
  <c r="H52"/>
  <c r="H51"/>
  <c r="J51" s="1"/>
  <c r="J50"/>
  <c r="H50"/>
  <c r="H49"/>
  <c r="J49" s="1"/>
  <c r="J48"/>
  <c r="H48"/>
  <c r="J47"/>
  <c r="J46"/>
  <c r="J45"/>
  <c r="J44"/>
  <c r="J43"/>
  <c r="J42"/>
  <c r="J41"/>
  <c r="J40"/>
  <c r="H39"/>
  <c r="J39" s="1"/>
  <c r="J38"/>
  <c r="H38"/>
  <c r="H37"/>
  <c r="J37" s="1"/>
  <c r="J36"/>
  <c r="J35"/>
  <c r="J34"/>
  <c r="J33"/>
  <c r="H33"/>
  <c r="J32"/>
  <c r="H32"/>
  <c r="J31"/>
  <c r="J30"/>
  <c r="J29"/>
  <c r="J28"/>
  <c r="J27"/>
  <c r="J26"/>
  <c r="J25"/>
  <c r="J24"/>
  <c r="J23"/>
  <c r="J22"/>
  <c r="J21"/>
  <c r="H21"/>
  <c r="J20"/>
  <c r="H20"/>
  <c r="J19"/>
  <c r="J18"/>
  <c r="J17"/>
  <c r="H17"/>
  <c r="J16"/>
  <c r="H16"/>
  <c r="J15"/>
  <c r="J14"/>
  <c r="H14"/>
  <c r="H13"/>
  <c r="J13" s="1"/>
  <c r="J12"/>
  <c r="H12"/>
  <c r="J11"/>
  <c r="J10"/>
  <c r="J9"/>
  <c r="E110" i="4"/>
  <c r="E106"/>
  <c r="E103"/>
  <c r="E100"/>
  <c r="E98"/>
  <c r="E95"/>
  <c r="E92"/>
  <c r="E89"/>
  <c r="E87"/>
  <c r="E82"/>
  <c r="E77"/>
  <c r="E72"/>
  <c r="E67"/>
  <c r="E61"/>
  <c r="E55"/>
  <c r="E51"/>
  <c r="E45"/>
  <c r="E41"/>
  <c r="E36"/>
  <c r="E31"/>
  <c r="E26"/>
  <c r="E21"/>
  <c r="E20"/>
  <c r="E19"/>
  <c r="E16"/>
  <c r="E13"/>
  <c r="E10"/>
  <c r="E7"/>
  <c r="H29" i="2"/>
  <c r="H28"/>
  <c r="H24"/>
  <c r="F24"/>
  <c r="H23"/>
  <c r="F23"/>
  <c r="H22"/>
  <c r="F22"/>
  <c r="H21"/>
  <c r="F21"/>
  <c r="H16"/>
  <c r="F16"/>
  <c r="H15"/>
  <c r="H17" s="1"/>
  <c r="H18" s="1"/>
  <c r="H11" i="8" s="1"/>
  <c r="F18" i="13" s="1"/>
  <c r="F15" i="2"/>
  <c r="H14"/>
  <c r="F14"/>
  <c r="H10"/>
  <c r="F10"/>
  <c r="H9"/>
  <c r="F9"/>
  <c r="H8"/>
  <c r="F8"/>
  <c r="H7"/>
  <c r="H11" s="1"/>
  <c r="H12" s="1"/>
  <c r="F7"/>
  <c r="C51" i="1"/>
  <c r="C49"/>
  <c r="C56" s="1"/>
  <c r="C44"/>
  <c r="C36"/>
  <c r="C33"/>
  <c r="C32"/>
  <c r="C24"/>
  <c r="C25" s="1"/>
  <c r="C52" s="1"/>
  <c r="C23"/>
  <c r="C18"/>
  <c r="C45" s="1"/>
  <c r="G19" i="7" l="1"/>
  <c r="H19" s="1"/>
  <c r="I19" s="1"/>
  <c r="F21" i="9"/>
  <c r="F22" i="12"/>
  <c r="F57" s="1"/>
  <c r="F59" s="1"/>
  <c r="F73" s="1"/>
  <c r="F21" i="13"/>
  <c r="F21" i="10"/>
  <c r="F56" s="1"/>
  <c r="F58" s="1"/>
  <c r="F72" s="1"/>
  <c r="E62" i="11"/>
  <c r="D41" i="12"/>
  <c r="F10" i="11"/>
  <c r="F21" s="1"/>
  <c r="H9" i="8"/>
  <c r="F18" i="10" s="1"/>
  <c r="H8" i="8"/>
  <c r="F18" i="9" s="1"/>
  <c r="H21"/>
  <c r="H27" s="1"/>
  <c r="H28" s="1"/>
  <c r="F56"/>
  <c r="F58" s="1"/>
  <c r="F72" s="1"/>
  <c r="F49"/>
  <c r="F51" s="1"/>
  <c r="E62"/>
  <c r="H22" i="12"/>
  <c r="H28" s="1"/>
  <c r="H29" s="1"/>
  <c r="H21" i="13"/>
  <c r="H27" s="1"/>
  <c r="H28" s="1"/>
  <c r="F56"/>
  <c r="E60" i="9"/>
  <c r="D34"/>
  <c r="E60" i="10"/>
  <c r="D34"/>
  <c r="D34" i="13"/>
  <c r="E60"/>
  <c r="F49" i="10"/>
  <c r="F50" s="1"/>
  <c r="E60" i="11"/>
  <c r="D34"/>
  <c r="D35" i="12"/>
  <c r="E61"/>
  <c r="I32" i="10"/>
  <c r="I33" s="1"/>
  <c r="I34" s="1"/>
  <c r="I35" s="1"/>
  <c r="J54" i="6"/>
  <c r="H21" i="10"/>
  <c r="H27" s="1"/>
  <c r="H28" s="1"/>
  <c r="I28" i="11"/>
  <c r="F58" i="13"/>
  <c r="F72" s="1"/>
  <c r="C46" i="1"/>
  <c r="C55" s="1"/>
  <c r="H25" i="2"/>
  <c r="H26" s="1"/>
  <c r="H10" i="8" s="1"/>
  <c r="F19" i="12" s="1"/>
  <c r="G20" i="7"/>
  <c r="H20" s="1"/>
  <c r="I20" s="1"/>
  <c r="D40" i="9"/>
  <c r="E52"/>
  <c r="F14" i="12"/>
  <c r="F13" i="13"/>
  <c r="H30" i="2"/>
  <c r="H31" s="1"/>
  <c r="H7" i="8" s="1"/>
  <c r="F18" i="11" s="1"/>
  <c r="G16" i="7"/>
  <c r="E21"/>
  <c r="F50" i="9"/>
  <c r="E63" i="10"/>
  <c r="E62" s="1"/>
  <c r="D40" i="13"/>
  <c r="E52" i="10"/>
  <c r="D40"/>
  <c r="D40" i="11"/>
  <c r="C28" i="1"/>
  <c r="C29" s="1"/>
  <c r="C53" s="1"/>
  <c r="C35"/>
  <c r="C37" s="1"/>
  <c r="C54" s="1"/>
  <c r="C57" s="1"/>
  <c r="G13" i="8" s="1"/>
  <c r="E51" i="11"/>
  <c r="E52" i="12"/>
  <c r="E51" i="13"/>
  <c r="E52" s="1"/>
  <c r="E63"/>
  <c r="E62" s="1"/>
  <c r="E64" i="12"/>
  <c r="E63" s="1"/>
  <c r="F56" i="11" l="1"/>
  <c r="F58" s="1"/>
  <c r="F72" s="1"/>
  <c r="H21"/>
  <c r="H27" s="1"/>
  <c r="H28" s="1"/>
  <c r="F13"/>
  <c r="F49" s="1"/>
  <c r="F50" s="1"/>
  <c r="I41" i="10"/>
  <c r="E14" i="11"/>
  <c r="F14" s="1"/>
  <c r="F15" s="1"/>
  <c r="E14" i="10"/>
  <c r="F14" s="1"/>
  <c r="F15" s="1"/>
  <c r="E14" i="13"/>
  <c r="E15" i="12"/>
  <c r="E14" i="9"/>
  <c r="I39" i="10"/>
  <c r="I42"/>
  <c r="I37"/>
  <c r="I38"/>
  <c r="H32" i="11"/>
  <c r="H33" s="1"/>
  <c r="H31"/>
  <c r="F50" i="12"/>
  <c r="F51" s="1"/>
  <c r="I31" i="11"/>
  <c r="H31" i="10"/>
  <c r="H33" i="12"/>
  <c r="H34" s="1"/>
  <c r="H32"/>
  <c r="H31" i="9"/>
  <c r="G21" i="7"/>
  <c r="K8" s="1"/>
  <c r="H16"/>
  <c r="F49" i="13"/>
  <c r="F50" s="1"/>
  <c r="K8" i="8"/>
  <c r="V28" i="14"/>
  <c r="H32" i="13"/>
  <c r="H33" s="1"/>
  <c r="H31"/>
  <c r="F51" i="11"/>
  <c r="F52" s="1"/>
  <c r="F53" s="1"/>
  <c r="F71" s="1"/>
  <c r="F73" s="1"/>
  <c r="F60" s="1"/>
  <c r="F52" i="9"/>
  <c r="F53" s="1"/>
  <c r="F71" s="1"/>
  <c r="F73" s="1"/>
  <c r="F52" i="12"/>
  <c r="E53"/>
  <c r="F51" i="13"/>
  <c r="E52" i="11"/>
  <c r="F51" i="10"/>
  <c r="F52" s="1"/>
  <c r="F53" s="1"/>
  <c r="F71" s="1"/>
  <c r="F73" s="1"/>
  <c r="F60" s="1"/>
  <c r="F61" i="9" l="1"/>
  <c r="F61" i="10"/>
  <c r="F62" s="1"/>
  <c r="I14" i="9"/>
  <c r="I15" s="1"/>
  <c r="F14"/>
  <c r="F15" s="1"/>
  <c r="F61" i="11"/>
  <c r="F62" s="1"/>
  <c r="I7" i="8"/>
  <c r="F23" i="11" s="1"/>
  <c r="I8" i="8"/>
  <c r="F23" i="9" s="1"/>
  <c r="I9" i="8"/>
  <c r="F23" i="10" s="1"/>
  <c r="M8" i="7"/>
  <c r="H60" i="6"/>
  <c r="J60" s="1"/>
  <c r="W28" i="14"/>
  <c r="I16" i="7"/>
  <c r="I21" s="1"/>
  <c r="J16" s="1"/>
  <c r="J21" s="1"/>
  <c r="H21"/>
  <c r="I14" i="13"/>
  <c r="I15" s="1"/>
  <c r="F14"/>
  <c r="F15" s="1"/>
  <c r="F15" i="12"/>
  <c r="F16" s="1"/>
  <c r="I15"/>
  <c r="I16" s="1"/>
  <c r="H34" i="13"/>
  <c r="H35" s="1"/>
  <c r="H41" s="1"/>
  <c r="F60" i="9"/>
  <c r="H35" i="12"/>
  <c r="H36" s="1"/>
  <c r="H42" s="1"/>
  <c r="I32" i="11"/>
  <c r="I33" s="1"/>
  <c r="I34" s="1"/>
  <c r="I35" s="1"/>
  <c r="I41" s="1"/>
  <c r="H34"/>
  <c r="H35" s="1"/>
  <c r="H41" s="1"/>
  <c r="F52" i="13"/>
  <c r="F53" s="1"/>
  <c r="F71" s="1"/>
  <c r="F73" s="1"/>
  <c r="H32" i="9"/>
  <c r="H33" s="1"/>
  <c r="H34" s="1"/>
  <c r="H35" s="1"/>
  <c r="H41" s="1"/>
  <c r="H32" i="10"/>
  <c r="H33" s="1"/>
  <c r="H34" s="1"/>
  <c r="H35" s="1"/>
  <c r="H41" s="1"/>
  <c r="F53" i="12"/>
  <c r="F54" s="1"/>
  <c r="F72" s="1"/>
  <c r="F74" s="1"/>
  <c r="I40" i="10"/>
  <c r="F67" l="1"/>
  <c r="F74" s="1"/>
  <c r="F75" s="1"/>
  <c r="F65" s="1"/>
  <c r="H38" i="9"/>
  <c r="H42"/>
  <c r="G12" i="14" s="1"/>
  <c r="I12" s="1"/>
  <c r="H37" i="9"/>
  <c r="H39"/>
  <c r="I37" i="11"/>
  <c r="I39"/>
  <c r="I42"/>
  <c r="I38"/>
  <c r="F61" i="13"/>
  <c r="F60"/>
  <c r="H42" i="10"/>
  <c r="G13" i="14" s="1"/>
  <c r="I13" s="1"/>
  <c r="H37" i="10"/>
  <c r="H38"/>
  <c r="H39"/>
  <c r="H43" i="12"/>
  <c r="H38"/>
  <c r="H39"/>
  <c r="G14" i="14"/>
  <c r="I14" s="1"/>
  <c r="H40" i="12"/>
  <c r="I29"/>
  <c r="V29" i="14"/>
  <c r="J61" i="6"/>
  <c r="Q7" i="8"/>
  <c r="S17" i="14"/>
  <c r="G23" i="11"/>
  <c r="H42" i="13"/>
  <c r="G15" i="14" s="1"/>
  <c r="I15" s="1"/>
  <c r="H37" i="13"/>
  <c r="H38"/>
  <c r="H39"/>
  <c r="I28"/>
  <c r="G23" i="9"/>
  <c r="I28"/>
  <c r="F62" i="12"/>
  <c r="F61"/>
  <c r="H38" i="11"/>
  <c r="H42"/>
  <c r="G11" i="14" s="1"/>
  <c r="I11" s="1"/>
  <c r="H37" i="11"/>
  <c r="H39"/>
  <c r="G23" i="10"/>
  <c r="F67" i="11"/>
  <c r="F74" s="1"/>
  <c r="F75" s="1"/>
  <c r="F62" i="9"/>
  <c r="F67" s="1"/>
  <c r="F74" s="1"/>
  <c r="F75" s="1"/>
  <c r="Z28" i="14"/>
  <c r="X28"/>
  <c r="M13" l="1"/>
  <c r="O13" s="1"/>
  <c r="I40" i="11"/>
  <c r="H40"/>
  <c r="M12" i="14"/>
  <c r="O12" s="1"/>
  <c r="F65" i="9"/>
  <c r="I16" i="14"/>
  <c r="W23" s="1"/>
  <c r="Y28"/>
  <c r="P11" i="8"/>
  <c r="F25" i="13" s="1"/>
  <c r="P10" i="8"/>
  <c r="F26" i="12" s="1"/>
  <c r="P9" i="8"/>
  <c r="F25" i="10" s="1"/>
  <c r="P8" i="8"/>
  <c r="F25" i="9" s="1"/>
  <c r="P7" i="8"/>
  <c r="F25" i="11" s="1"/>
  <c r="I31" i="9"/>
  <c r="I32" s="1"/>
  <c r="I33" s="1"/>
  <c r="I31" i="13"/>
  <c r="I32" s="1"/>
  <c r="I33" s="1"/>
  <c r="I32" i="12"/>
  <c r="M11" i="14"/>
  <c r="F65" i="11"/>
  <c r="W29" i="14"/>
  <c r="W30" s="1"/>
  <c r="X29"/>
  <c r="X30" s="1"/>
  <c r="V30"/>
  <c r="H41" i="12"/>
  <c r="H40" i="13"/>
  <c r="F62"/>
  <c r="F67" s="1"/>
  <c r="F74" s="1"/>
  <c r="F75" s="1"/>
  <c r="H40" i="9"/>
  <c r="F63" i="12"/>
  <c r="F68" s="1"/>
  <c r="F75" s="1"/>
  <c r="F76" s="1"/>
  <c r="H40" i="10"/>
  <c r="M14" i="14" l="1"/>
  <c r="O14" s="1"/>
  <c r="F66" i="12"/>
  <c r="G25" i="11"/>
  <c r="G27" s="1"/>
  <c r="F27"/>
  <c r="G25" i="13"/>
  <c r="G27" s="1"/>
  <c r="F27"/>
  <c r="G26" i="12"/>
  <c r="G28" s="1"/>
  <c r="F28"/>
  <c r="I35"/>
  <c r="I36" s="1"/>
  <c r="I42" s="1"/>
  <c r="M15" i="14"/>
  <c r="O15" s="1"/>
  <c r="F65" i="13"/>
  <c r="G25" i="10"/>
  <c r="G27" s="1"/>
  <c r="F27"/>
  <c r="Z29" i="14"/>
  <c r="I33" i="12"/>
  <c r="I34" s="1"/>
  <c r="I34" i="9"/>
  <c r="I35" s="1"/>
  <c r="I41" s="1"/>
  <c r="M16" i="14"/>
  <c r="O11"/>
  <c r="G25" i="9"/>
  <c r="G27" s="1"/>
  <c r="F27"/>
  <c r="I34" i="13"/>
  <c r="I35" s="1"/>
  <c r="I41" s="1"/>
  <c r="I43" i="12" l="1"/>
  <c r="I38"/>
  <c r="I41" s="1"/>
  <c r="I40"/>
  <c r="I39"/>
  <c r="G28" i="13"/>
  <c r="F28"/>
  <c r="F28" i="9"/>
  <c r="F28" i="10"/>
  <c r="G29" i="12"/>
  <c r="G28" i="11"/>
  <c r="O16" i="14"/>
  <c r="Y23" s="1"/>
  <c r="I37" i="13"/>
  <c r="I42"/>
  <c r="I39"/>
  <c r="I38"/>
  <c r="Y29" i="14"/>
  <c r="Y30" s="1"/>
  <c r="Z30"/>
  <c r="G28" i="9"/>
  <c r="I37"/>
  <c r="I42"/>
  <c r="I43" s="1"/>
  <c r="I39"/>
  <c r="I38"/>
  <c r="Q13" i="14"/>
  <c r="Z23" s="1"/>
  <c r="G28" i="10"/>
  <c r="F29" i="12"/>
  <c r="F28" i="11"/>
  <c r="F32" i="12" l="1"/>
  <c r="F33" s="1"/>
  <c r="F34" s="1"/>
  <c r="G32"/>
  <c r="G33" s="1"/>
  <c r="G34" s="1"/>
  <c r="F31" i="9"/>
  <c r="F32" s="1"/>
  <c r="F33" s="1"/>
  <c r="G31" i="13"/>
  <c r="G32" s="1"/>
  <c r="G33" s="1"/>
  <c r="I40" i="9"/>
  <c r="I40" i="13"/>
  <c r="G31" i="9"/>
  <c r="G32" s="1"/>
  <c r="G33" s="1"/>
  <c r="F31" i="11"/>
  <c r="F32" s="1"/>
  <c r="F33" s="1"/>
  <c r="G31" i="10"/>
  <c r="G32" s="1"/>
  <c r="G33" s="1"/>
  <c r="G31" i="11"/>
  <c r="G32" s="1"/>
  <c r="G33" s="1"/>
  <c r="F31" i="10"/>
  <c r="F31" i="13"/>
  <c r="F32" s="1"/>
  <c r="F33" s="1"/>
  <c r="F34" i="10" l="1"/>
  <c r="F35" s="1"/>
  <c r="F41" s="1"/>
  <c r="G34" i="11"/>
  <c r="G35" s="1"/>
  <c r="G41" s="1"/>
  <c r="F34" i="9"/>
  <c r="F35" s="1"/>
  <c r="F41" s="1"/>
  <c r="F34" i="13"/>
  <c r="F35" s="1"/>
  <c r="F41" s="1"/>
  <c r="F34" i="11"/>
  <c r="F35" s="1"/>
  <c r="F41" s="1"/>
  <c r="F35" i="12"/>
  <c r="F36" s="1"/>
  <c r="F42" s="1"/>
  <c r="F32" i="10"/>
  <c r="F33" s="1"/>
  <c r="G34"/>
  <c r="G35" s="1"/>
  <c r="G41" s="1"/>
  <c r="G34" i="9"/>
  <c r="G35" s="1"/>
  <c r="G41" s="1"/>
  <c r="G34" i="13"/>
  <c r="G35" s="1"/>
  <c r="G41" s="1"/>
  <c r="G35" i="12"/>
  <c r="G36" s="1"/>
  <c r="G42" s="1"/>
  <c r="E11" i="14" l="1"/>
  <c r="F11" s="1"/>
  <c r="F38" i="11"/>
  <c r="F39"/>
  <c r="F42"/>
  <c r="F37"/>
  <c r="F40" s="1"/>
  <c r="E13" i="14"/>
  <c r="F13" s="1"/>
  <c r="F38" i="10"/>
  <c r="F39"/>
  <c r="F42"/>
  <c r="F37"/>
  <c r="F40" s="1"/>
  <c r="G39" i="11"/>
  <c r="G42"/>
  <c r="G37"/>
  <c r="G38"/>
  <c r="G38" i="13"/>
  <c r="G39"/>
  <c r="G42"/>
  <c r="G37"/>
  <c r="G40" s="1"/>
  <c r="G39" i="12"/>
  <c r="G40"/>
  <c r="G43"/>
  <c r="G38"/>
  <c r="G41" s="1"/>
  <c r="E12" i="14"/>
  <c r="F12" s="1"/>
  <c r="F39" i="9"/>
  <c r="F38"/>
  <c r="F37"/>
  <c r="F42"/>
  <c r="G39"/>
  <c r="G38"/>
  <c r="G42"/>
  <c r="G37"/>
  <c r="F40" i="12"/>
  <c r="E14" i="14"/>
  <c r="F14" s="1"/>
  <c r="F39" i="12"/>
  <c r="F43"/>
  <c r="F38"/>
  <c r="G42" i="10"/>
  <c r="G37"/>
  <c r="G40" s="1"/>
  <c r="G38"/>
  <c r="G39"/>
  <c r="F39" i="13"/>
  <c r="E15" i="14"/>
  <c r="F15" s="1"/>
  <c r="F38" i="13"/>
  <c r="F42"/>
  <c r="F37"/>
  <c r="F40" s="1"/>
  <c r="F40" i="9" l="1"/>
  <c r="J13" i="14"/>
  <c r="L13" s="1"/>
  <c r="R13" s="1"/>
  <c r="S13" s="1"/>
  <c r="F43" i="10"/>
  <c r="F16" i="14"/>
  <c r="G40" i="11"/>
  <c r="J14" i="14"/>
  <c r="L14" s="1"/>
  <c r="R14" s="1"/>
  <c r="S14" s="1"/>
  <c r="F44" i="12"/>
  <c r="J12" i="14"/>
  <c r="L12" s="1"/>
  <c r="R12" s="1"/>
  <c r="F43" i="9"/>
  <c r="G40"/>
  <c r="S12" i="14"/>
  <c r="J15"/>
  <c r="L15" s="1"/>
  <c r="R15" s="1"/>
  <c r="S15" s="1"/>
  <c r="V12" s="1"/>
  <c r="F43" i="13"/>
  <c r="J11" i="14"/>
  <c r="F43" i="11"/>
  <c r="F41" i="12"/>
  <c r="J16" i="14" l="1"/>
  <c r="L11"/>
  <c r="L16" l="1"/>
  <c r="X23" s="1"/>
  <c r="R11"/>
  <c r="R16" l="1"/>
  <c r="S11"/>
  <c r="S16" l="1"/>
  <c r="S18" s="1"/>
  <c r="V11"/>
  <c r="V13" s="1"/>
</calcChain>
</file>

<file path=xl/sharedStrings.xml><?xml version="1.0" encoding="utf-8"?>
<sst xmlns="http://schemas.openxmlformats.org/spreadsheetml/2006/main" count="1548" uniqueCount="577">
  <si>
    <t xml:space="preserve">                        Tribunal Regional Federal da 6ª Região</t>
  </si>
  <si>
    <t xml:space="preserve">                        Seção Judiciária de Minas Gerais</t>
  </si>
  <si>
    <t xml:space="preserve">                        Seção de Gestão e Suporte aos Contratos de Terceirização</t>
  </si>
  <si>
    <t xml:space="preserve">   Subseção Judiciária de Varginha</t>
  </si>
  <si>
    <t>Planilha de Encargos Sociais e Trabalhistas</t>
  </si>
  <si>
    <t>ANEXO II</t>
  </si>
  <si>
    <t>QUADRO RESUMO</t>
  </si>
  <si>
    <t>ITEM</t>
  </si>
  <si>
    <t>DESCRIÇÃO</t>
  </si>
  <si>
    <t>PERCENTUAL</t>
  </si>
  <si>
    <t>Grupo A</t>
  </si>
  <si>
    <t>Encargos Previdenciários, FGTS e Outras Contribuições</t>
  </si>
  <si>
    <t>PREVIDÊNCIA SOCIAL - INSS</t>
  </si>
  <si>
    <t>SESI ou SESC</t>
  </si>
  <si>
    <t>SENAI ou SENAC</t>
  </si>
  <si>
    <t>INCRA</t>
  </si>
  <si>
    <t>Salário Educação</t>
  </si>
  <si>
    <t>FGTS</t>
  </si>
  <si>
    <t>Seguro Acidentes Trabalho - RAT</t>
  </si>
  <si>
    <t>SEBRAE</t>
  </si>
  <si>
    <t>Total Grupo A - Encargos previdenciários, FGTS e Outras Contribuições</t>
  </si>
  <si>
    <t>Grupo B</t>
  </si>
  <si>
    <t>Grupo B.1</t>
  </si>
  <si>
    <t>13º Salário</t>
  </si>
  <si>
    <t>Adicional de Férias</t>
  </si>
  <si>
    <t>Subtotal</t>
  </si>
  <si>
    <t>Incidência do Grupo A sobre 13º salário e adicional de férias</t>
  </si>
  <si>
    <t>Total Grupo B.1 - 13º salário e adicional de férias</t>
  </si>
  <si>
    <t>Grupo B.2</t>
  </si>
  <si>
    <t>Afastamento Maternidade</t>
  </si>
  <si>
    <t>Licença Maternidade</t>
  </si>
  <si>
    <t>Incidência do Grupo A sobre o afastamento maternidade</t>
  </si>
  <si>
    <t>Total Grupo B.2 - Afastamento maternidade</t>
  </si>
  <si>
    <t>Grupo B.3</t>
  </si>
  <si>
    <t>Provisão para Rescisão</t>
  </si>
  <si>
    <t>Aviso Prévio Indenizado</t>
  </si>
  <si>
    <t>Incidência do FGTS sobre o Aviso Prévio Indenizado</t>
  </si>
  <si>
    <t>Multa do FGTS do Aviso Prévio Indenizado</t>
  </si>
  <si>
    <t>Aviso Prévio Trabalhado</t>
  </si>
  <si>
    <t xml:space="preserve">Incidência do Grupo A sobre o Aviso Prévio Trabalhado </t>
  </si>
  <si>
    <t xml:space="preserve">Multa do FGTS do Aviso Prévio Trabalhado </t>
  </si>
  <si>
    <t>Total Grupo B.3 - Provisão para rescisão</t>
  </si>
  <si>
    <t>Grupo B.4</t>
  </si>
  <si>
    <t>Composição do Custo de Reposição do Profissional Ausente</t>
  </si>
  <si>
    <t>Remuneração do profissional substituto</t>
  </si>
  <si>
    <t>Ausência por doença</t>
  </si>
  <si>
    <t>Licença Paternidade</t>
  </si>
  <si>
    <t>Ausências Legais</t>
  </si>
  <si>
    <t>Ausência por acidente de trabalho</t>
  </si>
  <si>
    <t>Incidência do submódulo 4.1 sobre custo de reposição</t>
  </si>
  <si>
    <t>Total Grupo B.4 - Custo de reposição do profissional ausente</t>
  </si>
  <si>
    <t>Grupo C</t>
  </si>
  <si>
    <t>Outros (especificar)</t>
  </si>
  <si>
    <t>Indenização Adicional</t>
  </si>
  <si>
    <t>Total Grupo C - Indenização Adicional</t>
  </si>
  <si>
    <t>Quadro Resumo - Encargos Sociais e Trabalhistas</t>
  </si>
  <si>
    <t>13º Salário + Adicional de Férias</t>
  </si>
  <si>
    <t>Custo de Rescisão</t>
  </si>
  <si>
    <t>Custo de Reposição do profissional Ausente</t>
  </si>
  <si>
    <t>Total dos Encargos Sociais Trabalhistas</t>
  </si>
  <si>
    <t>OBSERVAÇÕES:</t>
  </si>
  <si>
    <t>1. Não deverá haver alteração nos itens 9(9,09%), 10(3,03%), 13(3,49%) e 16(9,09%) dos percentuais acima, considerando que a Justiça Federal segue as diretrizes da IN 1/2016, de 20 de janeiro de 2016, do CJF, bem como o disposto no Art. 12 da Lei 13.932/2019, com vigência a partir de 01/01/2020.</t>
  </si>
  <si>
    <t xml:space="preserve">                        Subseção Judiciária de Varginha</t>
  </si>
  <si>
    <t>ANEXO III - CUSTO ESTIMATIVO DE PREÇOS DOS UNIFORMES</t>
  </si>
  <si>
    <t>Serviços de Limpeza e Conservação</t>
  </si>
  <si>
    <t>CATEGORIA</t>
  </si>
  <si>
    <t>UNIFORME</t>
  </si>
  <si>
    <t>QUANT.</t>
  </si>
  <si>
    <t>DESCRIÇÃO DE UNIFORME</t>
  </si>
  <si>
    <t>CORES</t>
  </si>
  <si>
    <t>TOTAL DO QUANTITATIVO</t>
  </si>
  <si>
    <t>PREÇO UNITÁRIO</t>
  </si>
  <si>
    <t>TOTAL</t>
  </si>
  <si>
    <t xml:space="preserve">Servente </t>
  </si>
  <si>
    <t>Calça</t>
  </si>
  <si>
    <t xml:space="preserve">Tecido bi-stretch, gabardine ou BRIM, elástico na cintura, reta, com 2 bolsos, tamanhos PP, P, M, G, GG e EX </t>
  </si>
  <si>
    <t>Azul Marinho</t>
  </si>
  <si>
    <t>Camisa</t>
  </si>
  <si>
    <t>Camisa polo tradicional, em 50% algodão e 50% poliéster, com 2 botões</t>
  </si>
  <si>
    <t>Palha</t>
  </si>
  <si>
    <t>Calçado</t>
  </si>
  <si>
    <t>Botina de segurança, em couro, sem ponteira e confortável, atendendo as exigências das Normas de Segurança do Trabalho</t>
  </si>
  <si>
    <t>Preta</t>
  </si>
  <si>
    <t>Bota</t>
  </si>
  <si>
    <t>Bota em PVC, atendendo as Normas de Segurança do Trabalho vigentes</t>
  </si>
  <si>
    <t>Soma</t>
  </si>
  <si>
    <t xml:space="preserve">CÁLCULO VALOR DO REPASSE MENSAL SERVENTE DE LIMPEZA   </t>
  </si>
  <si>
    <t xml:space="preserve">Auxiliar Judiciário  </t>
  </si>
  <si>
    <t>Jeans santista ou similiar, modelo tradicional</t>
  </si>
  <si>
    <t xml:space="preserve">Cinza </t>
  </si>
  <si>
    <t>Sapato social em couro natural ou sintético confortável</t>
  </si>
  <si>
    <t>Preto</t>
  </si>
  <si>
    <t xml:space="preserve">CÁLCULO VALOR DO REPASSE MENSAL AUXILIAR JUDICIÁRIO </t>
  </si>
  <si>
    <t>Zelador</t>
  </si>
  <si>
    <t>CÁLCULO VALOR DO REPASSE MENSAL ZELADOR</t>
  </si>
  <si>
    <t>Servente com Acúmulo de Copeira</t>
  </si>
  <si>
    <t>Avental</t>
  </si>
  <si>
    <t>Em PVC, com peitilho, resistente, comprido</t>
  </si>
  <si>
    <t>Branco</t>
  </si>
  <si>
    <t>Touca</t>
  </si>
  <si>
    <t>Touca protetora tecido e tela, lavável</t>
  </si>
  <si>
    <t>CÁLCULO VALOR DO REPASSE MENSAL SERVENTE COM ACÚMULO DE COPEIRA</t>
  </si>
  <si>
    <t xml:space="preserve">                        Tribunal Regional Federal da 1ª Região</t>
  </si>
  <si>
    <t xml:space="preserve">                        Seção de Gestão e Suporte aos Contratos de Terceirização - Seget</t>
  </si>
  <si>
    <t>ANEXO III - ESPECIFICAÇÕES TÉCNICAS DOS UNIFORMES I</t>
  </si>
  <si>
    <t xml:space="preserve">ESPECIFICAÇÕES </t>
  </si>
  <si>
    <t>COR</t>
  </si>
  <si>
    <t>Serventes, Limpadores de Vidro, Jardineiro, Lavador de Carro</t>
  </si>
  <si>
    <t>Calça Feminina / Masculina</t>
  </si>
  <si>
    <t>Calça reta, com elástico na cintura, dois bolsos modelo faca nas laterais</t>
  </si>
  <si>
    <t>Tamanhos PP, P, M, G, GG e EX</t>
  </si>
  <si>
    <t>Tecido Bi Stretch, em microfibra gabardine, 100% poliéster</t>
  </si>
  <si>
    <t xml:space="preserve">Camisa Feminina / Masculina </t>
  </si>
  <si>
    <t>Camisa reta em malha, gola careca ou redonda</t>
  </si>
  <si>
    <t>Beje ou creme</t>
  </si>
  <si>
    <t>Tecido em malha 88% poliamida e 12% elastano</t>
  </si>
  <si>
    <t>Serventes, Limpadores de Vidro, Jardineiro, Lavador de Carro, Auxiliares de Manutenção Predial, Auxiliar de Operador de Carga</t>
  </si>
  <si>
    <t>Calçado Botina de Segurança Feminina / Masculina</t>
  </si>
  <si>
    <t>Botina de segurança, em couro, sem ponteira e confortável, atendendo as exisgências das Normas de Segurança do Trabalho</t>
  </si>
  <si>
    <t xml:space="preserve">Preta </t>
  </si>
  <si>
    <t>Tamanhos diversos</t>
  </si>
  <si>
    <t>Calçado Botina de Segurança em PVC Feminina / Masculina</t>
  </si>
  <si>
    <t>Botina de segurança, em PVC, cano alto, atendendo as exigências das Normas de Segurança do Trabalho</t>
  </si>
  <si>
    <t>Jardineiro</t>
  </si>
  <si>
    <t>Luvas</t>
  </si>
  <si>
    <t>Luvas de Jardinagem</t>
  </si>
  <si>
    <t>A definir</t>
  </si>
  <si>
    <t>Lavador de Carro</t>
  </si>
  <si>
    <t xml:space="preserve">Encarregadas Gerais  </t>
  </si>
  <si>
    <t>Camisa Feminina manga longa</t>
  </si>
  <si>
    <t>Camisa com gola italiana, manga longa, na cor cinza claro, partes internas do punho e dos botões com detalhe em cinza grafite.</t>
  </si>
  <si>
    <t>Cinza Claro e Cinza Grafite</t>
  </si>
  <si>
    <r>
      <rPr>
        <sz val="10"/>
        <color rgb="FF000000"/>
        <rFont val="Arial"/>
        <family val="2"/>
        <charset val="1"/>
      </rPr>
      <t>Tecido tricoline, composição de 28% algodão, 67% poliéster, 5% elastano, gramatura 153 g/m</t>
    </r>
    <r>
      <rPr>
        <vertAlign val="superscript"/>
        <sz val="10"/>
        <color rgb="FF000000"/>
        <rFont val="Arial"/>
        <family val="2"/>
        <charset val="1"/>
      </rPr>
      <t>2</t>
    </r>
  </si>
  <si>
    <t xml:space="preserve">Acinturada </t>
  </si>
  <si>
    <t xml:space="preserve">Entretela de gola e punho. </t>
  </si>
  <si>
    <t>Camisa Feminina manga curta</t>
  </si>
  <si>
    <t>Camisa com gola italiana, manga curta, na cor cinza claro, parte interna dos botões com detalhe em cinza grafite.</t>
  </si>
  <si>
    <t>Entretela de gola</t>
  </si>
  <si>
    <t>Encarregadas Gerais, Auxiliar de Manutenção Predial e Operador de Carga</t>
  </si>
  <si>
    <t>Jaleco</t>
  </si>
  <si>
    <t>Tecido em gabardine Votex ou similar, manga curta, três bolsos na frente</t>
  </si>
  <si>
    <t>Cinza Grafite</t>
  </si>
  <si>
    <t>Auxiliar Administrativo e Auxiliar de Judiciário</t>
  </si>
  <si>
    <t>Camisa com gola italiana, manga curta, na cor azul turquesa, partes internas do punho e dos botões com detalhe em azul marinho.</t>
  </si>
  <si>
    <t>Azul Turquesa e Azul Marinho</t>
  </si>
  <si>
    <t>Camisa com gola italiana, manga longa, na cor azul turquesa, parte interna dos botões com detalhe em azul marinho.</t>
  </si>
  <si>
    <t>Recepcionista e Ascensorista</t>
  </si>
  <si>
    <t>Camisa com gola italiana, manga longa, na cor branca, partes internas do punho e dos botões com detalhe em poá (branco e azul marinho)</t>
  </si>
  <si>
    <t>Branco e Azul Marinho</t>
  </si>
  <si>
    <t>Camisa com gola italiana, manga curta, na cor branca, parte interna dos botões com detalhe em poá (branco e azul marinho)</t>
  </si>
  <si>
    <t>Encarregadas, Auxiliar Administrativo, Auxiliar de Judiciário, Recepcionista e Ascensorista</t>
  </si>
  <si>
    <t xml:space="preserve">Calça Feminina   </t>
  </si>
  <si>
    <t>Calça clássica reta, com cós de 6 cm trespassado, dois botões, bolsos nas laterais</t>
  </si>
  <si>
    <r>
      <rPr>
        <sz val="10"/>
        <color rgb="FF000000"/>
        <rFont val="Arial"/>
        <family val="2"/>
        <charset val="1"/>
      </rPr>
      <t>Tecido Oxford (prada ou similar), composição de 100% poliéster, gramatura 280 g/m</t>
    </r>
    <r>
      <rPr>
        <vertAlign val="superscript"/>
        <sz val="10"/>
        <color rgb="FF000000"/>
        <rFont val="Arial"/>
        <family val="2"/>
        <charset val="1"/>
      </rPr>
      <t>2</t>
    </r>
  </si>
  <si>
    <t>Entretela nos cós</t>
  </si>
  <si>
    <t>Blazer Feminino</t>
  </si>
  <si>
    <t>Blazer padrão alfaiataria, três botões</t>
  </si>
  <si>
    <t>Forro composto de 100% poliéster</t>
  </si>
  <si>
    <t xml:space="preserve">Entretela </t>
  </si>
  <si>
    <t>Calçado Feminino</t>
  </si>
  <si>
    <t>Sapato modelo social, salto quadrado de 2 cm, linha Confort</t>
  </si>
  <si>
    <t>Encarregado de Manutenção</t>
  </si>
  <si>
    <t>Calça Masculina</t>
  </si>
  <si>
    <t>Calça clássica reta, social, bolsos nas laterais</t>
  </si>
  <si>
    <t>Blazer Masculino</t>
  </si>
  <si>
    <t>Modelo Slim</t>
  </si>
  <si>
    <t>Camisa Maculina manga curta</t>
  </si>
  <si>
    <t>Camisa com gola italiana, manga longa, na cor cinza claro, parte interna dos botões com detalhe em cinza grafite.</t>
  </si>
  <si>
    <t>Encarregado de Manutenção, Encarregado de Copa, Operadores de Áudio e Vídeo, Garçom</t>
  </si>
  <si>
    <t>Cinto</t>
  </si>
  <si>
    <t>Em couro ou similar, modelo social</t>
  </si>
  <si>
    <t>Calçado Masculino</t>
  </si>
  <si>
    <t>Sapato modelo social, salto quadrado de 2 cm, linha Confort, com cadarço, pico quadrado</t>
  </si>
  <si>
    <t>Encarregado de Copa</t>
  </si>
  <si>
    <t>Camisa com gola italiana, manga longa, na cor branca</t>
  </si>
  <si>
    <t>Branca</t>
  </si>
  <si>
    <t>Garçon</t>
  </si>
  <si>
    <t>Camisa Maculina manga longa</t>
  </si>
  <si>
    <t>Gravata</t>
  </si>
  <si>
    <t>Gravata estilo borboleta</t>
  </si>
  <si>
    <t>Tecido compostos de 100% poliéster</t>
  </si>
  <si>
    <t>Colete</t>
  </si>
  <si>
    <t>Colete modelo panamá cherme ou similar</t>
  </si>
  <si>
    <t>Operador de Áudio e Vídeo</t>
  </si>
  <si>
    <t>Camisa com gola italiana, manga longa, na cor preta</t>
  </si>
  <si>
    <t xml:space="preserve">Camisa Polo </t>
  </si>
  <si>
    <t>Camisa Pólo modelo tradicional, com 2 botões</t>
  </si>
  <si>
    <t>Malha com composição de 50% algodão, 50% poliéster</t>
  </si>
  <si>
    <t>Copeira</t>
  </si>
  <si>
    <t>Jaleco com botões frontais, ajuste dorsal com laço, manga curta, dois bolsos</t>
  </si>
  <si>
    <t>Sapato ocupacional EPI branco, linha Conforte</t>
  </si>
  <si>
    <t>Tamanhos variados</t>
  </si>
  <si>
    <t>Touca protetora em tecido nas bordas e tela</t>
  </si>
  <si>
    <t>Borda (poá branco e azul marinho) e Tela (azul marinho)</t>
  </si>
  <si>
    <t>Lavável</t>
  </si>
  <si>
    <t>Auxiliar de Manutenção Predial, Auxiliar de Operador de Carga, Mensageiro, Auxiliar Administrativo - Classe II</t>
  </si>
  <si>
    <t>Calça Jeans santista ou similar, modelo tradicional</t>
  </si>
  <si>
    <t xml:space="preserve">Cinza Claro   </t>
  </si>
  <si>
    <t>Mensageiro e Auxiliar Administrativo - Classe II</t>
  </si>
  <si>
    <t>Tênis</t>
  </si>
  <si>
    <t>Tênis maleavel, modelo Olympikus ou similiar</t>
  </si>
  <si>
    <t>1. As costuras devem ser rebatidas e bem acabadas de modo a impedir desfiamento ou esgarçamento do tecido.</t>
  </si>
  <si>
    <t>2. A casa do botão deve ser feita de modo a impedir desfiamento ou esgarçamento do tecido.</t>
  </si>
  <si>
    <t>3. As peças deverão ter etiquetas nos locais convencionais com indicação do tecido, marca do confeccionista, tamanho do manequim</t>
  </si>
  <si>
    <t>4. Deverá ter dois botões de reserva (interno) no caso dos blazeres e um botão nas camisas de mangas longas e curtas.</t>
  </si>
  <si>
    <t>5. Nos modelos em que houver golas e punhos, os mesmos deverão ser entretelados</t>
  </si>
  <si>
    <t>6. A qualidade da costura e do tecido serão critérios para aprovação do uniforme.</t>
  </si>
  <si>
    <t>7. Os uniformes das categorias de Recepcionista, Ascensorista, Auxiliar Administrativo, Auxiliar Judiciário, Encarregado e Garçom deverão ser confeccionados sob medida. Não serão aceitos ajustes em uniformes já confeccionados.</t>
  </si>
  <si>
    <t>8. Os calçados devem ser confortáveis e durarem um ano, pelo menos e serão testados;</t>
  </si>
  <si>
    <t>9. As camisas em malha, que desbotarem ou encherem de "bolinhas", serão substituídas às expensas da CONTRATADA</t>
  </si>
  <si>
    <t xml:space="preserve">                        Seção de Gestão e Suporte aos Contratos de Terceirização - Seget/MG</t>
  </si>
  <si>
    <t>ANEXO III - ESPECIFICAÇÕES TÉCNICAS DOS UNIFORMES II</t>
  </si>
  <si>
    <t>ESPECIFICAÇÕES</t>
  </si>
  <si>
    <t>QUANT POR CATEGORIA</t>
  </si>
  <si>
    <t>MODELO</t>
  </si>
  <si>
    <t>Servente/Limpador vidro</t>
  </si>
  <si>
    <t>Lavador de Carros</t>
  </si>
  <si>
    <t>Malha PV ou simular, reta, gola careca ou redonda</t>
  </si>
  <si>
    <t>Malha PV ou similar, reta, gola careca ou redonda</t>
  </si>
  <si>
    <t>Tecido Bi Stretch, com peitilho, resistente, comprido</t>
  </si>
  <si>
    <t>Recepcionista</t>
  </si>
  <si>
    <t>Camisa com gola italiana, manga longa, na cor branca, parte interna dos botões com detalhe em azul marinho.</t>
  </si>
  <si>
    <t>Ascensorista</t>
  </si>
  <si>
    <r>
      <rPr>
        <sz val="10"/>
        <color rgb="FF000000"/>
        <rFont val="Arial"/>
        <family val="2"/>
        <charset val="1"/>
      </rPr>
      <t>Tecido tricoline, composição de 67% algodão, 30% poliéster, 3% elastano, gramatura 132 g/m</t>
    </r>
    <r>
      <rPr>
        <vertAlign val="superscript"/>
        <sz val="10"/>
        <color rgb="FF000000"/>
        <rFont val="Arial"/>
        <family val="2"/>
        <charset val="1"/>
      </rPr>
      <t>2</t>
    </r>
  </si>
  <si>
    <t>Entretela de gola e punho</t>
  </si>
  <si>
    <t>Camisa com gola italiana, manga curta, na cor branca, parte interna dos botões com detalhe em azul marinho.</t>
  </si>
  <si>
    <t>Auxiliar Administrativo</t>
  </si>
  <si>
    <t>Camisa com gola italiana, manga curta, na cor azul turquesa, parte interna dos botões com detalhe em azul marinho.</t>
  </si>
  <si>
    <t>Classes I e III</t>
  </si>
  <si>
    <t>Auxiliar Judiciário</t>
  </si>
  <si>
    <t>Encarregadas</t>
  </si>
  <si>
    <t>Recep/Ascensorista</t>
  </si>
  <si>
    <t xml:space="preserve">Auxiliar Adm (I e III) </t>
  </si>
  <si>
    <t>Entretela no cós</t>
  </si>
  <si>
    <t>Encarregado Manutenção</t>
  </si>
  <si>
    <t>Encarregado Copa</t>
  </si>
  <si>
    <t xml:space="preserve">Camisa com gola italiana, manga curta, na cor branca  </t>
  </si>
  <si>
    <t>Operador e Editor de Áudio e Vídeo</t>
  </si>
  <si>
    <t>Garçom</t>
  </si>
  <si>
    <t>Preto risca de giz</t>
  </si>
  <si>
    <t>Jaleco com botões frontais, manga curta e dois bolsos</t>
  </si>
  <si>
    <t>Aux. Manut.Predial</t>
  </si>
  <si>
    <t>Brim Santista ou similar, lavado, modelo tradicional</t>
  </si>
  <si>
    <t>Aux. Operador Carga</t>
  </si>
  <si>
    <t>Três bolsos na frente</t>
  </si>
  <si>
    <t>Encarregadas Gerais</t>
  </si>
  <si>
    <t>Borda(poá - branco e azul marinho) Tela (azul marinho)</t>
  </si>
  <si>
    <t>Mens/Auxiliar Administrativo - Classe II</t>
  </si>
  <si>
    <t>Polo tradicional, em 50% algodão e 50% poliéster, com 2 botões</t>
  </si>
  <si>
    <t>Mens/ Auxiliar Administrativo - Classe II</t>
  </si>
  <si>
    <t>3. As peças deverão ter etiquetas nos locais convencionais com indicação do tecido, marca do confeccionista, tamanho do manequim.</t>
  </si>
  <si>
    <t>5. Nos modelos em que houver golas e punhos, os mesmos deverão ser entretelados.</t>
  </si>
  <si>
    <t>8. Os calçados devem ser confortáveis e durarem um ano, pelo menos e, serão testados;</t>
  </si>
  <si>
    <t>9. As camisas em malha que desbotarem ou encherem de "bolinhas", serão substituídas às expensas da CONTRATADA.</t>
  </si>
  <si>
    <r>
      <rPr>
        <b/>
        <sz val="11"/>
        <rFont val="Times New Roman"/>
        <family val="1"/>
        <charset val="1"/>
      </rPr>
      <t>10. A logo da CONTRATADA deverá ser</t>
    </r>
    <r>
      <rPr>
        <b/>
        <u/>
        <sz val="11"/>
        <rFont val="Times New Roman"/>
        <family val="1"/>
        <charset val="1"/>
      </rPr>
      <t xml:space="preserve"> bordada</t>
    </r>
    <r>
      <rPr>
        <b/>
        <sz val="11"/>
        <rFont val="Times New Roman"/>
        <family val="1"/>
        <charset val="1"/>
      </rPr>
      <t xml:space="preserve"> nas peças dos uniformes dos profissionais, inclusive nas camisas polo.</t>
    </r>
  </si>
  <si>
    <t xml:space="preserve">11. Quando da renovação contratual os uniformes deverão ser repostos na quantidade, qualidade e especificações pactuadas em Contrato. </t>
  </si>
  <si>
    <t>12. Haverá sanções, descritas em Contrato, caso a CONTRATADA não cumpra com as obrigações contratuais referentes aos uniformes.</t>
  </si>
  <si>
    <t xml:space="preserve">                        Seção Judiciária de Varginha</t>
  </si>
  <si>
    <t xml:space="preserve">ANEXO IV - PLANILHA DE CUSTO ESTIMATIVO DE UNIFORMES </t>
  </si>
  <si>
    <t>Servente</t>
  </si>
  <si>
    <t>Servente com acúmulo de copeira</t>
  </si>
  <si>
    <t>Tecido bi-stretch, gabardine ou BRIM</t>
  </si>
  <si>
    <t>Polo tradicional com 2 botões</t>
  </si>
  <si>
    <t>Tecido em 50% algodão e 50% poliéster</t>
  </si>
  <si>
    <t xml:space="preserve">Auxiliar Judiciário </t>
  </si>
  <si>
    <t>Tecido bi-stretch, gabardine ou BRIM, elástico na cintura, reta, com 2 bolsos</t>
  </si>
  <si>
    <t>Auxiliar Judiciário e Zelador</t>
  </si>
  <si>
    <t>Cinza</t>
  </si>
  <si>
    <t>4. A qualidade da costura e do tecido serão critérios para aprovação do uniforme.</t>
  </si>
  <si>
    <t>5. Os calçados devem ser confortáveis e durarem um ano, pelo menos e, serão testados;</t>
  </si>
  <si>
    <t>6. No caso das camisas, o emblema com nome da empresa deverá constar só na parte da frente;</t>
  </si>
  <si>
    <t xml:space="preserve">7. Quando da renovação contratual os uniformes deverão ser repostos na quantidade, qualidade e especificações pactuadas em Contrato. </t>
  </si>
  <si>
    <t>8. Haverá sanções, descritas em Contrato, caso a CONTRATADA não cumpra com as obrigações contratuais referentes aos uniformes.</t>
  </si>
  <si>
    <t xml:space="preserve">                        Subseção Judiciária de Muriaé</t>
  </si>
  <si>
    <t>Subseção Judiciária de Varginha</t>
  </si>
  <si>
    <t>ANEXO V - CUSTO ESTIMATIVO DE MATERIAIS DE LIMPEZA</t>
  </si>
  <si>
    <t>DESCRIÇÃO DO MATERIAL</t>
  </si>
  <si>
    <t>GASTO MENSAL</t>
  </si>
  <si>
    <t>OBSERVAÇÕES</t>
  </si>
  <si>
    <t>ANEXO I E IV</t>
  </si>
  <si>
    <t>ANEXO III</t>
  </si>
  <si>
    <t>QUANTIDADE MENSAL</t>
  </si>
  <si>
    <t>TOTAL DO CONSUMO MENSAL</t>
  </si>
  <si>
    <t>QUANTIDADE DE REFERÊNCIA</t>
  </si>
  <si>
    <t>Material</t>
  </si>
  <si>
    <t>Unid.</t>
  </si>
  <si>
    <t>Marcas de Referência</t>
  </si>
  <si>
    <t>QUANTIDADE</t>
  </si>
  <si>
    <t>PERIODICIDADE</t>
  </si>
  <si>
    <t>Álcool em gel 70% 5L</t>
  </si>
  <si>
    <t>galão</t>
  </si>
  <si>
    <t>Asseptgel</t>
  </si>
  <si>
    <t>Mensal</t>
  </si>
  <si>
    <t>Álcool líquido 70% 1L</t>
  </si>
  <si>
    <t>unidade</t>
  </si>
  <si>
    <t xml:space="preserve">Aromatizador de ambiente </t>
  </si>
  <si>
    <t>Glade</t>
  </si>
  <si>
    <t>Balde de 08 litros</t>
  </si>
  <si>
    <t>Semestral</t>
  </si>
  <si>
    <t>Balde de 20 litros</t>
  </si>
  <si>
    <t>Cesto de plástico 20L com tampa</t>
  </si>
  <si>
    <t>Cloro líquido puro 5L</t>
  </si>
  <si>
    <t>Desentupidor de pia</t>
  </si>
  <si>
    <t>Noviça / Bettanin</t>
  </si>
  <si>
    <t>Desentupidor de vaso sanitário</t>
  </si>
  <si>
    <t>Bettanin</t>
  </si>
  <si>
    <t>Desinfetante lavanda/eucalipto galão 5L</t>
  </si>
  <si>
    <t>Ypê</t>
  </si>
  <si>
    <t xml:space="preserve">Detergente líquido neutro 500 ml </t>
  </si>
  <si>
    <t>Escova de nylon p/ lavar roupa</t>
  </si>
  <si>
    <t>Trimestral</t>
  </si>
  <si>
    <t>Espanador</t>
  </si>
  <si>
    <t>Bimestral</t>
  </si>
  <si>
    <t xml:space="preserve">Esponja dupla face </t>
  </si>
  <si>
    <t>Flanela branca 38 x 58cm</t>
  </si>
  <si>
    <t xml:space="preserve">Inseticida 300ml </t>
  </si>
  <si>
    <t>RAID/SBP</t>
  </si>
  <si>
    <t>Lã de aço</t>
  </si>
  <si>
    <t>Bombril</t>
  </si>
  <si>
    <t>Limpa alumínio 500ml</t>
  </si>
  <si>
    <t>Sany/Sanol</t>
  </si>
  <si>
    <t>Limpa vidros 500ml</t>
  </si>
  <si>
    <t xml:space="preserve">unidade </t>
  </si>
  <si>
    <t xml:space="preserve">Limpeza pesada galão 5l </t>
  </si>
  <si>
    <t>Veja</t>
  </si>
  <si>
    <t xml:space="preserve">Lustra móveis 200 ml </t>
  </si>
  <si>
    <t>Poliflor</t>
  </si>
  <si>
    <t>Luva de látex forrada de boa qualidade (tamanho G)</t>
  </si>
  <si>
    <t>par</t>
  </si>
  <si>
    <t xml:space="preserve">Multiuso 500 ml </t>
  </si>
  <si>
    <t>Pá para lixo cabo longo</t>
  </si>
  <si>
    <t>Pano de prato</t>
  </si>
  <si>
    <t>Papel higiênico branco, folha dupla neutro, 30m, fardo com 64 rolos</t>
  </si>
  <si>
    <t>fardo</t>
  </si>
  <si>
    <t>Personal ou Neve</t>
  </si>
  <si>
    <t xml:space="preserve">Papel toalha branco 20 x 20,7 fardo c/ 1.000 fls </t>
  </si>
  <si>
    <t>Economy</t>
  </si>
  <si>
    <t>Pedra Sanitaria 25g</t>
  </si>
  <si>
    <t xml:space="preserve">Sany </t>
  </si>
  <si>
    <t>Rodo de borracha 40 cm, dupla borracha, com cabo longo</t>
  </si>
  <si>
    <t>Quadrimestral</t>
  </si>
  <si>
    <t xml:space="preserve">Rodo de borracha 60cm, dupla borracha, com cabo longo: </t>
  </si>
  <si>
    <t>Rodo limpador de vidro 25 cm c/cabo extensor</t>
  </si>
  <si>
    <t xml:space="preserve">Sabão em barra 200 gr. </t>
  </si>
  <si>
    <t xml:space="preserve">Sabão em pó 1 Kg </t>
  </si>
  <si>
    <t>OMO</t>
  </si>
  <si>
    <t>Sabonete Líquido Perolado galão 5L</t>
  </si>
  <si>
    <t>Saco de  100 lts. Preto Lixo, pacote com 100 unid.</t>
  </si>
  <si>
    <t>cento</t>
  </si>
  <si>
    <t>Saco de 20 lts. Preto Lixo, pacote com 100 unid.</t>
  </si>
  <si>
    <t>Saco de 40 lts. Preto Lixo, pacote com 100 unid.</t>
  </si>
  <si>
    <t xml:space="preserve">Saco de algodão alvejado 80 x 60, 24 batidas, pano de chão </t>
  </si>
  <si>
    <t>Saponáceo em Pó 300g</t>
  </si>
  <si>
    <t>Sapólio Radium</t>
  </si>
  <si>
    <t>Soda Cáustica 1kg</t>
  </si>
  <si>
    <t>Escorpião</t>
  </si>
  <si>
    <t>Vasculho limpa teto c/ extensor (mínimo 3mt)</t>
  </si>
  <si>
    <t>Vassoura de pelo 40 cm</t>
  </si>
  <si>
    <t>Vassoura de pelo 60 cm</t>
  </si>
  <si>
    <t>Vassoura piaçava de boa qualidade</t>
  </si>
  <si>
    <t>Bettanin/Condor</t>
  </si>
  <si>
    <t>Vassoura redonda p/ vaso sanitário c/suporte</t>
  </si>
  <si>
    <t>DESPESA MENSAL</t>
  </si>
  <si>
    <t>Nota Fiscal nº</t>
  </si>
  <si>
    <t>Máscara EPI COVID</t>
  </si>
  <si>
    <t>CONSERVAÇÃO E LIMPEZA</t>
  </si>
  <si>
    <t>Valores em R$</t>
  </si>
  <si>
    <t>Descrição</t>
  </si>
  <si>
    <t>Categoria</t>
  </si>
  <si>
    <t>Unidade</t>
  </si>
  <si>
    <t>Periodicidade</t>
  </si>
  <si>
    <t xml:space="preserve">Nota Fiscal </t>
  </si>
  <si>
    <t>Valor Total</t>
  </si>
  <si>
    <t>TOTAL DO QUANTITAVO ANUAL</t>
  </si>
  <si>
    <t>TOTAL MENSAL</t>
  </si>
  <si>
    <t>Máscara de proteção facial de tecido, reutilizáveis, tripla camada, formato anatômico, elásticos que prendem atrás da orelha, lavável com sabão e água fria ou morna, que porte no mínimo 100 ciclos de lavagem, embalagem individual, sendo obrigatória a apresentação de amostra.</t>
  </si>
  <si>
    <t>200h/m /  200h/m 200h/m e 200h/m</t>
  </si>
  <si>
    <t>OBSERVAÇÃO:</t>
  </si>
  <si>
    <t>A concessão das máscaras somente ocorrerá com solicitação da Justiça Federal e será ressarcida mediante apresentação de Nota Fiscal.</t>
  </si>
  <si>
    <t>DEMONSTRATIVO DO QUANTITATIVO ANUAL DE EPI's</t>
  </si>
  <si>
    <t>Carga Horária</t>
  </si>
  <si>
    <t>QUANT. DE PROFISSIONAL</t>
  </si>
  <si>
    <t>QUANT. DE EPI's POR PROFISISONAL (Máscara Tecido)</t>
  </si>
  <si>
    <t>TOTAL DO QUANT. POR PROFISSIONAL (TECIDO)</t>
  </si>
  <si>
    <t>Valor Total (Máscara de Tecido)</t>
  </si>
  <si>
    <t>Por mês (máscara de tecido)</t>
  </si>
  <si>
    <t>Média por posto (máscara de tecido)</t>
  </si>
  <si>
    <t>ANUAL</t>
  </si>
  <si>
    <t>Servente de Limpeza Insalubre</t>
  </si>
  <si>
    <t>Servente de Limpeza  com Acúmulo de Copeira</t>
  </si>
  <si>
    <t>Servente de Limpeza</t>
  </si>
  <si>
    <t>TOTAL GERAL DE MÁSCARAS ESTIMADAS</t>
  </si>
  <si>
    <t>CCT 2022</t>
  </si>
  <si>
    <t>Elemento Despesa</t>
  </si>
  <si>
    <t>Descrição das Categorias</t>
  </si>
  <si>
    <t>Carga Horária (horas)</t>
  </si>
  <si>
    <t>Salário Base I (para 220h/m)</t>
  </si>
  <si>
    <t>Percentual Adicional</t>
  </si>
  <si>
    <t>Salário Base II</t>
  </si>
  <si>
    <t>Salário Pago</t>
  </si>
  <si>
    <t>Uniforme</t>
  </si>
  <si>
    <t>Material de Limpeza Rateado</t>
  </si>
  <si>
    <t>Material de Copa Rateado</t>
  </si>
  <si>
    <t xml:space="preserve">Total do Material de Limpeza Predial </t>
  </si>
  <si>
    <t>Total do Material de Copa</t>
  </si>
  <si>
    <t>Depreciação Rateada</t>
  </si>
  <si>
    <t>Total da Depreciação</t>
  </si>
  <si>
    <t xml:space="preserve">Quant. Total de Profissional para Rateio </t>
  </si>
  <si>
    <t>EPI COVID 19 (Máscara tecido) rateado</t>
  </si>
  <si>
    <t>TOTAL DO EPI COVID 19 (MÁSCARA DE TECIDO)</t>
  </si>
  <si>
    <t>3339037-02</t>
  </si>
  <si>
    <t>Servente de Limpeza ac. Copeira</t>
  </si>
  <si>
    <t>Servente de Limpeza Insalubridade</t>
  </si>
  <si>
    <t xml:space="preserve">Servente de Limpeza  </t>
  </si>
  <si>
    <t>3339037-01</t>
  </si>
  <si>
    <t>ENCARGOS SOCIAIS E TRABALHISTAS</t>
  </si>
  <si>
    <t>Percentual de Encargos</t>
  </si>
  <si>
    <t>BENEFÍCIOS</t>
  </si>
  <si>
    <t>Seguro de Vida em Grupo</t>
  </si>
  <si>
    <t>Programa de Assistência Familiar - PAF</t>
  </si>
  <si>
    <t>Transporte</t>
  </si>
  <si>
    <t>Custeio Funcionários</t>
  </si>
  <si>
    <t>Vale Alimentação</t>
  </si>
  <si>
    <t>Custeio Funcionários 220h/m</t>
  </si>
  <si>
    <t xml:space="preserve">Dias úteis </t>
  </si>
  <si>
    <t>MONTANTE C</t>
  </si>
  <si>
    <t>Despesas Administrativas</t>
  </si>
  <si>
    <t>Lucro</t>
  </si>
  <si>
    <t>SALÁRIO MINÍMO - 2023</t>
  </si>
  <si>
    <t>Salário Mínimo</t>
  </si>
  <si>
    <t>COFINS</t>
  </si>
  <si>
    <t>PIS/PASEP</t>
  </si>
  <si>
    <t>ISSQN</t>
  </si>
  <si>
    <t>Tribunal Regional Federal da 6ª Região</t>
  </si>
  <si>
    <t>Seção Judiciária de Minas Gerais</t>
  </si>
  <si>
    <t>Planilha de Custo e Formação de Preço Mensal Por Categoria Profissional</t>
  </si>
  <si>
    <t>ANEXO X</t>
  </si>
  <si>
    <t>Servente de Limpeza Insalubre - 150h</t>
  </si>
  <si>
    <t>COM MATERIAL</t>
  </si>
  <si>
    <t>VALOR EPI COVID - MATERIAL</t>
  </si>
  <si>
    <t>CUSTO VALE-TRANSPORTE</t>
  </si>
  <si>
    <t>CUSTO INSALUBRIDADE</t>
  </si>
  <si>
    <t>3339037-02 - Limpeza e Conservação</t>
  </si>
  <si>
    <t>MONTANTE "A" - Mão de Obra</t>
  </si>
  <si>
    <t>Item</t>
  </si>
  <si>
    <t>Função</t>
  </si>
  <si>
    <t>Carga Horária Mensal</t>
  </si>
  <si>
    <t xml:space="preserve"> Salário Base</t>
  </si>
  <si>
    <t>Valor Unitário</t>
  </si>
  <si>
    <t>Adicional de Insalubridade</t>
  </si>
  <si>
    <t>Adicional Acúmulo de Função</t>
  </si>
  <si>
    <t>TOTAL DA REMUNERAÇÃO</t>
  </si>
  <si>
    <t xml:space="preserve">Encargos sociais e trabalhistas                         </t>
  </si>
  <si>
    <t>Total do Montante "A" ( Mão de Obra)</t>
  </si>
  <si>
    <t>MONTANTE "B" - INSUMOS</t>
  </si>
  <si>
    <t>Itens</t>
  </si>
  <si>
    <t>Quant.</t>
  </si>
  <si>
    <t>Valores Unitarios</t>
  </si>
  <si>
    <t xml:space="preserve">Seguro de vida  </t>
  </si>
  <si>
    <t>Vale Transporte</t>
  </si>
  <si>
    <t>Material de Limpeza</t>
  </si>
  <si>
    <t>Material de Copa</t>
  </si>
  <si>
    <t>Material COVID 19 (tecido)</t>
  </si>
  <si>
    <t>Depreciação de Equipamentos</t>
  </si>
  <si>
    <t>Total do Montante "B" (Insumos)</t>
  </si>
  <si>
    <t>Montante "A" + Montante "B"</t>
  </si>
  <si>
    <t>MONTANTE "C" - DEMAIS COMPONENTES</t>
  </si>
  <si>
    <t>ITENS</t>
  </si>
  <si>
    <t>Percentual</t>
  </si>
  <si>
    <t>Despesas administrativas/operacionais</t>
  </si>
  <si>
    <t>Base de cálculo do lucro</t>
  </si>
  <si>
    <t>Total do Montante "C" (Demais componentes)</t>
  </si>
  <si>
    <t>Montante "A" + Montante "B" + Montante "C"</t>
  </si>
  <si>
    <t>MONTANTE "D" - TRIBUTOS</t>
  </si>
  <si>
    <t>Total do Montante "D" (Tributos)</t>
  </si>
  <si>
    <t>Custo Mensal da Servente 150h/m</t>
  </si>
  <si>
    <t xml:space="preserve">PLANILHA DE CUSTO E FORMAÇÃO DE PREÇO MENSAL ESTIMATIVO DO PROFISSIONAL SUBSTITUTO DO TITULAR EM FÉRIAS </t>
  </si>
  <si>
    <t xml:space="preserve">DESCRIÇÃO </t>
  </si>
  <si>
    <t>VALORES EM R$</t>
  </si>
  <si>
    <t>4.5</t>
  </si>
  <si>
    <t>Módulo 1 - Total da Remuneração</t>
  </si>
  <si>
    <t>A</t>
  </si>
  <si>
    <t>G</t>
  </si>
  <si>
    <t>Total do Custo MENSAL de Reposição do Profissional Ausente em Férias</t>
  </si>
  <si>
    <t>Total do Custo ANUAL de Reposição do Profissional Ausente em Férias</t>
  </si>
  <si>
    <t>Módulo 2 - Benefícios Mensais e Diários</t>
  </si>
  <si>
    <t>Vale-Alimentação</t>
  </si>
  <si>
    <t>B</t>
  </si>
  <si>
    <t>Vale-Transporte</t>
  </si>
  <si>
    <t>C</t>
  </si>
  <si>
    <t>Outros (sem concessão do intervalo intrajornada)</t>
  </si>
  <si>
    <t>Total de Benefícios Mensais e Diários</t>
  </si>
  <si>
    <t>Módulo 5 - Custos Indiretos, Lucros e Tributos</t>
  </si>
  <si>
    <t>Custos Indiretos (Despesas Operacionais e Administrativas)</t>
  </si>
  <si>
    <t>Tributos</t>
  </si>
  <si>
    <t>C.1</t>
  </si>
  <si>
    <t>Tributos Federais (PIS E COFINS)</t>
  </si>
  <si>
    <t>C.2</t>
  </si>
  <si>
    <t>Tributos Estaduais (especificar)</t>
  </si>
  <si>
    <t>C.3</t>
  </si>
  <si>
    <t>Tributos Municipais (ISS)</t>
  </si>
  <si>
    <t>C.4</t>
  </si>
  <si>
    <t>Outros tributos (especificar)</t>
  </si>
  <si>
    <t>Total dos Custos Indiretos e Tributos</t>
  </si>
  <si>
    <t>CUSTO TOTAL DO PROFISSIONAL SUBSTITUTO</t>
  </si>
  <si>
    <t>Resumo do Custo Por Empregado Substituto do Titular em Férias</t>
  </si>
  <si>
    <t>Mão de Obra Vinculada à Execução Contratual  (Valor Por Empregado)</t>
  </si>
  <si>
    <t>Módulo 1 - Composição Remuneração * 12 (Anual)</t>
  </si>
  <si>
    <t>Subtotal (A+B)</t>
  </si>
  <si>
    <t>E</t>
  </si>
  <si>
    <t>Módulo 5 - Custos Indiretos, Tributos e Lucro</t>
  </si>
  <si>
    <t xml:space="preserve">Valor Total Mensal Por Empregado Substituto do Titular em Férias </t>
  </si>
  <si>
    <t>ANEXO XI</t>
  </si>
  <si>
    <t>Servente de Limpeza - 150h</t>
  </si>
  <si>
    <t>Servente de Limpeza ac. Copeira - 150h</t>
  </si>
  <si>
    <t>ANEXO XII</t>
  </si>
  <si>
    <t>Zelador - 220h</t>
  </si>
  <si>
    <t>Material de Limpeza Veicular</t>
  </si>
  <si>
    <t>Custo Mensal do Zelador 220h/m</t>
  </si>
  <si>
    <t>ANEXO XIII</t>
  </si>
  <si>
    <t>Auxiliar Judiciário - 150h</t>
  </si>
  <si>
    <t>3339037-01 - Apoio Administrativo, Ténico e Operacional</t>
  </si>
  <si>
    <t>Custo Mensal do Auxiliar Judiciário 150h</t>
  </si>
  <si>
    <t>PREÇO MENSAL GLOBAL     - SUBSEÇÃO JUDICIÁRIA DE VARGINHA</t>
  </si>
  <si>
    <t xml:space="preserve">MÊS: </t>
  </si>
  <si>
    <t>ELEMENTO DE DESPESA</t>
  </si>
  <si>
    <t>CATEGORIA PROFISSIONAL</t>
  </si>
  <si>
    <t>FATURAMENTO MENSAL</t>
  </si>
  <si>
    <t>TOTAL DO FATURAMENTO MENSAL</t>
  </si>
  <si>
    <t>DISTRIBUIÇÃO POR ELEMENTO DE DESPESA</t>
  </si>
  <si>
    <t>CUSTO MENSAL</t>
  </si>
  <si>
    <t>GLOSA VALE-TRANSPORTE</t>
  </si>
  <si>
    <t>GLOSA DE ATRASOS, FALTAS E DESCONTO DO TITULAR EM FÉRIAS (sem material)</t>
  </si>
  <si>
    <t>Homem-Mês</t>
  </si>
  <si>
    <t>Custo Mensal  do vale-transporte da categoria com Encargos</t>
  </si>
  <si>
    <t xml:space="preserve">GLOSA </t>
  </si>
  <si>
    <t>Glosa de Atrasos e Faltas</t>
  </si>
  <si>
    <t>Desconto Mensal do Titular em Férias sem substituição</t>
  </si>
  <si>
    <t>Nº dias de férias da servente insalubre quando os serviços insalubres forem redirecionados para outra servente do quadro</t>
  </si>
  <si>
    <t>Valor glosa da servente insalubre quando serviço insalubre é realizado por outra servente do quadro</t>
  </si>
  <si>
    <t>Total da Glosa de Atrasos, Faltas e Desconto do Titular em Férias sem substituição</t>
  </si>
  <si>
    <t>Quant</t>
  </si>
  <si>
    <t>Custo Unitário da categoria</t>
  </si>
  <si>
    <t>Custo Mensal da categoria</t>
  </si>
  <si>
    <t>Dias de afastamento</t>
  </si>
  <si>
    <t>Valor da Glosa do vale-transporte da categoria</t>
  </si>
  <si>
    <t>Custo Homem-Mês               (sem material)</t>
  </si>
  <si>
    <t>Quant. Atrasos e Faltas</t>
  </si>
  <si>
    <t>Valor da Glosa de Atrasos e Faltas</t>
  </si>
  <si>
    <t>Custo Unitário da categoria Planilha de Férias</t>
  </si>
  <si>
    <t>Dias de Férias</t>
  </si>
  <si>
    <t xml:space="preserve">Valor do Desconto Mensal </t>
  </si>
  <si>
    <t>OCORRÊNCIAS</t>
  </si>
  <si>
    <t xml:space="preserve">TOTAL DO FATURAMENTO MENSAL </t>
  </si>
  <si>
    <t>CATEGORIAS</t>
  </si>
  <si>
    <t>Nº DIAS DE GLOSA VT</t>
  </si>
  <si>
    <t>Nº DIAS FALTA</t>
  </si>
  <si>
    <t>Nº DIAS FÉRIAS</t>
  </si>
  <si>
    <t>DIAS DESLOCAMENTO INSALUBRIDADE</t>
  </si>
  <si>
    <t>VALOR DO MATERIAL</t>
  </si>
  <si>
    <t>TOTAL DO FATURAMENTO ANUAL</t>
  </si>
  <si>
    <t>VALOR DA GLOSA</t>
  </si>
  <si>
    <t>MATERIAIS</t>
  </si>
  <si>
    <t>PERCENTUAIS</t>
  </si>
  <si>
    <t>R$ MENSAL CONSUMIDO</t>
  </si>
  <si>
    <t>Despesa Adm/op</t>
  </si>
  <si>
    <t>Total</t>
  </si>
  <si>
    <t>EPI COVID</t>
  </si>
  <si>
    <t>ANEXO VI - CUSTO ESTIMATIVO DE MATERIAIS DE INSUMOS EPI - COVID 19</t>
  </si>
  <si>
    <t>ANEXO VII - PLANILHA DE CUSTO E FORMAÇÃO DE PREÇO MENSAL ESTIMATIVO -  PLANILHA DE DADOS</t>
  </si>
  <si>
    <t>ANEXO VIII</t>
  </si>
  <si>
    <t>ANEXO IX</t>
  </si>
  <si>
    <t>ANEXO XIV</t>
  </si>
  <si>
    <t>ANEXO XV</t>
  </si>
  <si>
    <t>ANEXO XVI</t>
  </si>
  <si>
    <t>ANEXO XVII</t>
  </si>
  <si>
    <t>ANEXO XVIII - PLANILHA DE CUSTO E FORMAÇÃO DE PREÇO MENSAL ESTIMATIVO INTEGRAL</t>
  </si>
</sst>
</file>

<file path=xl/styles.xml><?xml version="1.0" encoding="utf-8"?>
<styleSheet xmlns="http://schemas.openxmlformats.org/spreadsheetml/2006/main">
  <numFmts count="6">
    <numFmt numFmtId="164" formatCode="_(&quot;Cr$&quot;* #,##0.00_);_(&quot;Cr$&quot;* \(#,##0.00\);_(&quot;Cr$&quot;* \-??_);_(@_)"/>
    <numFmt numFmtId="165" formatCode="_-[$R$-416]\ * #,##0.00_-;\-[$R$-416]\ * #,##0.00_-;_-[$R$-416]\ * \-??_-;_-@_-"/>
    <numFmt numFmtId="166" formatCode="_(* #,##0.00_);_(* \(#,##0.00\);_(* \-??_);_(@_)"/>
    <numFmt numFmtId="167" formatCode="_(* #,##0_);_(* \(#,##0\);_(* \-??_);_(@_)"/>
    <numFmt numFmtId="168" formatCode="_-* #,##0.00_-;\-* #,##0.00_-;_-* \-??_-;_-@_-"/>
    <numFmt numFmtId="169" formatCode="0.0000"/>
  </numFmts>
  <fonts count="66">
    <font>
      <sz val="10"/>
      <name val="Arial"/>
      <charset val="1"/>
    </font>
    <font>
      <sz val="10"/>
      <name val="Times New Roman"/>
      <family val="1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9"/>
      <name val="Calibri"/>
      <family val="2"/>
      <charset val="1"/>
    </font>
    <font>
      <b/>
      <sz val="12"/>
      <color rgb="FF00000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9"/>
      <color rgb="FF000000"/>
      <name val="Arial"/>
      <family val="2"/>
      <charset val="1"/>
    </font>
    <font>
      <sz val="9"/>
      <name val="Arial"/>
      <family val="2"/>
      <charset val="1"/>
    </font>
    <font>
      <i/>
      <sz val="11"/>
      <color rgb="FF7F7F7F"/>
      <name val="Calibri"/>
      <family val="2"/>
      <charset val="1"/>
    </font>
    <font>
      <b/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name val="Arial"/>
      <family val="2"/>
      <charset val="1"/>
    </font>
    <font>
      <b/>
      <i/>
      <u/>
      <sz val="10"/>
      <color rgb="FFFFFFFF"/>
      <name val="Times New Roman"/>
      <family val="1"/>
      <charset val="1"/>
    </font>
    <font>
      <sz val="10"/>
      <color rgb="FFFFFFFF"/>
      <name val="Times New Roman"/>
      <family val="1"/>
      <charset val="1"/>
    </font>
    <font>
      <sz val="11"/>
      <color rgb="FFFFFFFF"/>
      <name val="Calibri"/>
      <family val="2"/>
      <charset val="1"/>
    </font>
    <font>
      <sz val="11"/>
      <name val="Times New Roman"/>
      <family val="1"/>
      <charset val="1"/>
    </font>
    <font>
      <b/>
      <sz val="18"/>
      <name val="Times New Roman"/>
      <family val="1"/>
      <charset val="1"/>
    </font>
    <font>
      <b/>
      <sz val="10"/>
      <name val="Times New Roman"/>
      <family val="1"/>
      <charset val="1"/>
    </font>
    <font>
      <b/>
      <sz val="6"/>
      <name val="Times New Roman"/>
      <family val="1"/>
      <charset val="1"/>
    </font>
    <font>
      <b/>
      <sz val="7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28"/>
      <name val="Times New Roman"/>
      <family val="1"/>
      <charset val="1"/>
    </font>
    <font>
      <b/>
      <sz val="12"/>
      <color rgb="FFFFFFFF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color rgb="FF000000"/>
      <name val="Arial"/>
      <family val="2"/>
      <charset val="1"/>
    </font>
    <font>
      <vertAlign val="superscript"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1"/>
      <name val="Arial"/>
      <family val="2"/>
      <charset val="1"/>
    </font>
    <font>
      <b/>
      <u/>
      <sz val="11"/>
      <name val="Times New Roman"/>
      <family val="1"/>
      <charset val="1"/>
    </font>
    <font>
      <b/>
      <sz val="14"/>
      <name val="Times New Roman"/>
      <family val="1"/>
      <charset val="1"/>
    </font>
    <font>
      <b/>
      <sz val="9"/>
      <name val="Times New Roman"/>
      <family val="1"/>
      <charset val="1"/>
    </font>
    <font>
      <b/>
      <sz val="10"/>
      <name val="Calibri"/>
      <family val="2"/>
      <charset val="1"/>
    </font>
    <font>
      <sz val="10"/>
      <color rgb="FF000000"/>
      <name val="Arial"/>
      <charset val="1"/>
    </font>
    <font>
      <sz val="11"/>
      <name val="Times New Roman"/>
      <charset val="1"/>
    </font>
    <font>
      <b/>
      <sz val="12"/>
      <name val="Times New Roman"/>
      <family val="1"/>
      <charset val="1"/>
    </font>
    <font>
      <b/>
      <sz val="16"/>
      <name val="Times New Roman"/>
      <family val="1"/>
      <charset val="1"/>
    </font>
    <font>
      <b/>
      <sz val="14"/>
      <name val="Calibri"/>
      <family val="2"/>
      <charset val="1"/>
    </font>
    <font>
      <b/>
      <sz val="8"/>
      <name val="Times New Roman"/>
      <family val="1"/>
      <charset val="1"/>
    </font>
    <font>
      <sz val="7"/>
      <name val="Times New Roman"/>
      <family val="1"/>
      <charset val="1"/>
    </font>
    <font>
      <sz val="8"/>
      <name val="Times New Roman"/>
      <family val="1"/>
      <charset val="1"/>
    </font>
    <font>
      <b/>
      <i/>
      <sz val="14"/>
      <name val="Arial"/>
      <family val="2"/>
      <charset val="1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Arial"/>
      <family val="2"/>
      <charset val="1"/>
    </font>
    <font>
      <b/>
      <sz val="12"/>
      <name val="Arial"/>
      <family val="2"/>
      <charset val="1"/>
    </font>
    <font>
      <b/>
      <sz val="12.5"/>
      <name val="Arial"/>
      <family val="2"/>
      <charset val="1"/>
    </font>
    <font>
      <sz val="8"/>
      <name val="Arial"/>
      <family val="2"/>
      <charset val="1"/>
    </font>
    <font>
      <sz val="8"/>
      <name val="Calibri"/>
      <family val="2"/>
      <charset val="1"/>
    </font>
    <font>
      <b/>
      <sz val="11"/>
      <name val="Arial"/>
      <family val="2"/>
      <charset val="1"/>
    </font>
    <font>
      <b/>
      <sz val="16"/>
      <name val="Arial"/>
      <family val="2"/>
      <charset val="1"/>
    </font>
    <font>
      <b/>
      <sz val="9"/>
      <color rgb="FFFFFFFF"/>
      <name val="Times New Roman"/>
      <family val="1"/>
      <charset val="1"/>
    </font>
    <font>
      <b/>
      <sz val="10"/>
      <color rgb="FF000000"/>
      <name val="Arial"/>
      <family val="2"/>
      <charset val="1"/>
    </font>
    <font>
      <sz val="9"/>
      <color rgb="FF000000"/>
      <name val="Times New Roman"/>
      <family val="1"/>
      <charset val="1"/>
    </font>
    <font>
      <b/>
      <sz val="10"/>
      <color rgb="FFFFFFFF"/>
      <name val="Times New Roman"/>
      <family val="1"/>
      <charset val="1"/>
    </font>
    <font>
      <b/>
      <sz val="10"/>
      <color rgb="FF000000"/>
      <name val="Times New Roman"/>
      <family val="1"/>
      <charset val="1"/>
    </font>
    <font>
      <sz val="9"/>
      <name val="Times New Roman"/>
      <family val="1"/>
      <charset val="1"/>
    </font>
    <font>
      <b/>
      <sz val="9"/>
      <color rgb="FF000000"/>
      <name val="Times New Roman"/>
      <family val="1"/>
      <charset val="1"/>
    </font>
    <font>
      <b/>
      <i/>
      <sz val="18"/>
      <name val="Calibri"/>
      <family val="2"/>
      <charset val="1"/>
    </font>
    <font>
      <b/>
      <i/>
      <sz val="14"/>
      <name val="Calibri"/>
      <family val="2"/>
      <charset val="1"/>
    </font>
    <font>
      <b/>
      <sz val="12.5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i/>
      <u/>
      <sz val="11"/>
      <name val="Arial"/>
      <family val="2"/>
      <charset val="1"/>
    </font>
    <font>
      <b/>
      <sz val="10"/>
      <color rgb="FF00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rgb="FFE3E3E3"/>
        <bgColor rgb="FFDDDDDD"/>
      </patternFill>
    </fill>
    <fill>
      <patternFill patternType="solid">
        <fgColor rgb="FF808080"/>
        <bgColor rgb="FF7F7F7F"/>
      </patternFill>
    </fill>
    <fill>
      <patternFill patternType="solid">
        <fgColor rgb="FFFFFFFF"/>
        <bgColor rgb="FFDBEEF4"/>
      </patternFill>
    </fill>
    <fill>
      <patternFill patternType="solid">
        <fgColor rgb="FF333399"/>
        <bgColor rgb="FF424242"/>
      </patternFill>
    </fill>
    <fill>
      <patternFill patternType="solid">
        <fgColor rgb="FFDDDDDD"/>
        <bgColor rgb="FFD9D9D9"/>
      </patternFill>
    </fill>
    <fill>
      <patternFill patternType="solid">
        <fgColor rgb="FFA0E0E0"/>
        <bgColor rgb="FFA6CAF0"/>
      </patternFill>
    </fill>
    <fill>
      <patternFill patternType="solid">
        <fgColor rgb="FFA6CAF0"/>
        <bgColor rgb="FFA0E0E0"/>
      </patternFill>
    </fill>
    <fill>
      <patternFill patternType="solid">
        <fgColor rgb="FFDBEEF4"/>
        <bgColor rgb="FFE3E3E3"/>
      </patternFill>
    </fill>
    <fill>
      <patternFill patternType="solid">
        <fgColor rgb="FFC6D9F1"/>
        <bgColor rgb="FFD3D3D3"/>
      </patternFill>
    </fill>
    <fill>
      <patternFill patternType="solid">
        <fgColor rgb="FFD3D3D3"/>
        <bgColor rgb="FFD9D9D9"/>
      </patternFill>
    </fill>
    <fill>
      <patternFill patternType="solid">
        <fgColor rgb="FFD9D9D9"/>
        <bgColor rgb="FFDDDDDD"/>
      </patternFill>
    </fill>
    <fill>
      <patternFill patternType="solid">
        <fgColor rgb="FFFFCC99"/>
        <bgColor rgb="FFD3D3D3"/>
      </patternFill>
    </fill>
    <fill>
      <patternFill patternType="solid">
        <fgColor rgb="FF969696"/>
        <bgColor rgb="FF808080"/>
      </patternFill>
    </fill>
    <fill>
      <patternFill patternType="solid">
        <fgColor rgb="FFFFFF00"/>
        <bgColor rgb="FFFFFF00"/>
      </patternFill>
    </fill>
    <fill>
      <patternFill patternType="solid">
        <fgColor rgb="FFCCCCCC"/>
        <bgColor rgb="FFD3D3D3"/>
      </patternFill>
    </fill>
    <fill>
      <patternFill patternType="solid">
        <fgColor rgb="FFBFBFBF"/>
        <bgColor rgb="FFCCCCCC"/>
      </patternFill>
    </fill>
  </fills>
  <borders count="8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166" fontId="13" fillId="0" borderId="0" applyBorder="0" applyProtection="0"/>
    <xf numFmtId="164" fontId="13" fillId="0" borderId="0" applyBorder="0" applyProtection="0"/>
    <xf numFmtId="9" fontId="13" fillId="0" borderId="0" applyBorder="0" applyProtection="0"/>
    <xf numFmtId="0" fontId="1" fillId="0" borderId="0"/>
    <xf numFmtId="0" fontId="10" fillId="0" borderId="0" applyBorder="0" applyProtection="0"/>
    <xf numFmtId="0" fontId="10" fillId="0" borderId="0" applyBorder="0" applyProtection="0"/>
  </cellStyleXfs>
  <cellXfs count="810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0" fillId="0" borderId="3" xfId="0" applyBorder="1"/>
    <xf numFmtId="0" fontId="2" fillId="0" borderId="4" xfId="0" applyFont="1" applyBorder="1"/>
    <xf numFmtId="0" fontId="3" fillId="0" borderId="0" xfId="0" applyFont="1"/>
    <xf numFmtId="0" fontId="0" fillId="0" borderId="5" xfId="0" applyBorder="1"/>
    <xf numFmtId="0" fontId="4" fillId="0" borderId="0" xfId="0" applyFont="1"/>
    <xf numFmtId="0" fontId="0" fillId="0" borderId="4" xfId="0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2" borderId="7" xfId="0" applyFont="1" applyFill="1" applyBorder="1" applyAlignment="1" applyProtection="1">
      <alignment horizontal="center"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vertical="center"/>
    </xf>
    <xf numFmtId="10" fontId="9" fillId="4" borderId="9" xfId="5" applyNumberFormat="1" applyFont="1" applyFill="1" applyBorder="1" applyAlignment="1" applyProtection="1">
      <alignment horizontal="center" vertical="center"/>
      <protection locked="0"/>
    </xf>
    <xf numFmtId="10" fontId="9" fillId="4" borderId="9" xfId="5" applyNumberFormat="1" applyFont="1" applyFill="1" applyBorder="1" applyAlignment="1" applyProtection="1">
      <alignment horizontal="center" vertical="center"/>
    </xf>
    <xf numFmtId="2" fontId="0" fillId="0" borderId="0" xfId="0" applyNumberFormat="1"/>
    <xf numFmtId="10" fontId="8" fillId="4" borderId="9" xfId="5" applyNumberFormat="1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vertical="center"/>
    </xf>
    <xf numFmtId="9" fontId="8" fillId="2" borderId="12" xfId="5" applyNumberFormat="1" applyFont="1" applyFill="1" applyBorder="1" applyAlignment="1" applyProtection="1">
      <alignment horizontal="center" vertical="center"/>
    </xf>
    <xf numFmtId="10" fontId="11" fillId="0" borderId="13" xfId="5" applyNumberFormat="1" applyFont="1" applyBorder="1" applyAlignment="1" applyProtection="1">
      <alignment horizontal="center" vertical="center"/>
    </xf>
    <xf numFmtId="10" fontId="9" fillId="0" borderId="9" xfId="5" applyNumberFormat="1" applyFont="1" applyBorder="1" applyAlignment="1" applyProtection="1">
      <alignment horizontal="center" vertical="center"/>
    </xf>
    <xf numFmtId="10" fontId="11" fillId="0" borderId="9" xfId="5" applyNumberFormat="1" applyFont="1" applyBorder="1" applyAlignment="1" applyProtection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0" fontId="12" fillId="0" borderId="13" xfId="5" applyNumberFormat="1" applyFont="1" applyBorder="1" applyAlignment="1" applyProtection="1">
      <alignment horizontal="center" vertical="center"/>
    </xf>
    <xf numFmtId="10" fontId="8" fillId="0" borderId="9" xfId="5" applyNumberFormat="1" applyFont="1" applyBorder="1" applyAlignment="1" applyProtection="1">
      <alignment horizontal="center" vertical="center"/>
    </xf>
    <xf numFmtId="10" fontId="0" fillId="0" borderId="14" xfId="5" applyNumberFormat="1" applyFont="1" applyBorder="1" applyAlignment="1" applyProtection="1">
      <alignment horizontal="center" vertical="center"/>
    </xf>
    <xf numFmtId="10" fontId="13" fillId="4" borderId="9" xfId="5" applyNumberFormat="1" applyFont="1" applyFill="1" applyBorder="1" applyAlignment="1" applyProtection="1">
      <alignment horizontal="center" vertical="center"/>
    </xf>
    <xf numFmtId="10" fontId="0" fillId="0" borderId="9" xfId="5" applyNumberFormat="1" applyFont="1" applyBorder="1" applyAlignment="1" applyProtection="1">
      <alignment horizontal="center" vertical="center"/>
    </xf>
    <xf numFmtId="0" fontId="13" fillId="4" borderId="0" xfId="0" applyFont="1" applyFill="1"/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left" vertical="center"/>
    </xf>
    <xf numFmtId="10" fontId="12" fillId="0" borderId="9" xfId="5" applyNumberFormat="1" applyFont="1" applyBorder="1" applyAlignment="1" applyProtection="1">
      <alignment horizontal="center" vertical="center"/>
    </xf>
    <xf numFmtId="10" fontId="8" fillId="0" borderId="12" xfId="5" applyNumberFormat="1" applyFont="1" applyBorder="1" applyAlignment="1" applyProtection="1">
      <alignment horizontal="center" vertical="center"/>
    </xf>
    <xf numFmtId="0" fontId="14" fillId="5" borderId="4" xfId="0" applyFont="1" applyFill="1" applyBorder="1" applyAlignment="1">
      <alignment vertical="center"/>
    </xf>
    <xf numFmtId="0" fontId="15" fillId="5" borderId="0" xfId="0" applyFont="1" applyFill="1" applyAlignment="1">
      <alignment vertical="center"/>
    </xf>
    <xf numFmtId="0" fontId="15" fillId="5" borderId="5" xfId="0" applyFont="1" applyFill="1" applyBorder="1" applyAlignment="1">
      <alignment vertical="center"/>
    </xf>
    <xf numFmtId="0" fontId="17" fillId="0" borderId="0" xfId="5" applyFont="1" applyBorder="1" applyProtection="1"/>
    <xf numFmtId="0" fontId="17" fillId="0" borderId="0" xfId="5" applyFont="1" applyBorder="1" applyAlignment="1" applyProtection="1">
      <alignment horizontal="center"/>
    </xf>
    <xf numFmtId="165" fontId="13" fillId="0" borderId="0" xfId="2" applyNumberFormat="1" applyBorder="1" applyProtection="1"/>
    <xf numFmtId="0" fontId="1" fillId="0" borderId="1" xfId="5" applyFont="1" applyBorder="1" applyProtection="1"/>
    <xf numFmtId="0" fontId="17" fillId="0" borderId="2" xfId="5" applyFont="1" applyBorder="1" applyAlignment="1" applyProtection="1">
      <alignment horizontal="center"/>
    </xf>
    <xf numFmtId="0" fontId="17" fillId="0" borderId="2" xfId="5" applyFont="1" applyBorder="1" applyProtection="1"/>
    <xf numFmtId="165" fontId="13" fillId="0" borderId="2" xfId="2" applyNumberFormat="1" applyBorder="1" applyProtection="1"/>
    <xf numFmtId="165" fontId="13" fillId="0" borderId="3" xfId="2" applyNumberFormat="1" applyBorder="1" applyProtection="1"/>
    <xf numFmtId="0" fontId="1" fillId="0" borderId="4" xfId="5" applyFont="1" applyBorder="1" applyProtection="1"/>
    <xf numFmtId="165" fontId="13" fillId="0" borderId="5" xfId="2" applyNumberFormat="1" applyBorder="1" applyProtection="1"/>
    <xf numFmtId="0" fontId="17" fillId="4" borderId="17" xfId="5" applyFont="1" applyFill="1" applyBorder="1" applyAlignment="1" applyProtection="1">
      <alignment vertical="center"/>
    </xf>
    <xf numFmtId="0" fontId="17" fillId="0" borderId="18" xfId="5" applyFont="1" applyBorder="1" applyAlignment="1" applyProtection="1">
      <alignment horizontal="center" vertical="center"/>
    </xf>
    <xf numFmtId="0" fontId="17" fillId="4" borderId="18" xfId="5" applyFont="1" applyFill="1" applyBorder="1" applyAlignment="1" applyProtection="1">
      <alignment vertical="center"/>
    </xf>
    <xf numFmtId="0" fontId="17" fillId="0" borderId="18" xfId="5" applyFont="1" applyBorder="1" applyAlignment="1" applyProtection="1">
      <alignment vertical="center"/>
    </xf>
    <xf numFmtId="165" fontId="13" fillId="0" borderId="18" xfId="2" applyNumberFormat="1" applyBorder="1" applyProtection="1"/>
    <xf numFmtId="165" fontId="13" fillId="0" borderId="19" xfId="2" applyNumberFormat="1" applyBorder="1" applyProtection="1"/>
    <xf numFmtId="0" fontId="19" fillId="2" borderId="20" xfId="5" applyFont="1" applyFill="1" applyBorder="1" applyAlignment="1" applyProtection="1">
      <alignment horizontal="center" vertical="center"/>
    </xf>
    <xf numFmtId="0" fontId="20" fillId="2" borderId="21" xfId="5" applyFont="1" applyFill="1" applyBorder="1" applyAlignment="1" applyProtection="1">
      <alignment horizontal="center" vertical="center"/>
    </xf>
    <xf numFmtId="0" fontId="19" fillId="2" borderId="21" xfId="5" applyFont="1" applyFill="1" applyBorder="1" applyAlignment="1" applyProtection="1">
      <alignment horizontal="center" vertical="center"/>
    </xf>
    <xf numFmtId="0" fontId="21" fillId="2" borderId="21" xfId="5" applyFont="1" applyFill="1" applyBorder="1" applyAlignment="1" applyProtection="1">
      <alignment horizontal="center" vertical="center" wrapText="1"/>
    </xf>
    <xf numFmtId="165" fontId="21" fillId="6" borderId="22" xfId="2" applyNumberFormat="1" applyFont="1" applyFill="1" applyBorder="1" applyAlignment="1" applyProtection="1">
      <alignment horizontal="center" vertical="center"/>
    </xf>
    <xf numFmtId="0" fontId="1" fillId="4" borderId="23" xfId="5" applyFont="1" applyFill="1" applyBorder="1" applyAlignment="1" applyProtection="1">
      <alignment horizontal="left" vertical="center" wrapText="1"/>
    </xf>
    <xf numFmtId="0" fontId="1" fillId="4" borderId="8" xfId="5" applyFont="1" applyFill="1" applyBorder="1" applyAlignment="1" applyProtection="1">
      <alignment horizontal="center" vertical="center"/>
    </xf>
    <xf numFmtId="167" fontId="1" fillId="4" borderId="8" xfId="1" applyNumberFormat="1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center" vertical="center"/>
    </xf>
    <xf numFmtId="167" fontId="1" fillId="4" borderId="8" xfId="0" applyNumberFormat="1" applyFont="1" applyFill="1" applyBorder="1" applyAlignment="1">
      <alignment horizontal="center" vertical="center"/>
    </xf>
    <xf numFmtId="165" fontId="13" fillId="0" borderId="8" xfId="2" applyNumberFormat="1" applyBorder="1" applyProtection="1"/>
    <xf numFmtId="165" fontId="13" fillId="0" borderId="14" xfId="2" applyNumberFormat="1" applyBorder="1" applyAlignment="1" applyProtection="1">
      <alignment horizontal="center" vertical="center"/>
    </xf>
    <xf numFmtId="0" fontId="17" fillId="0" borderId="0" xfId="5" applyFont="1" applyBorder="1" applyAlignment="1" applyProtection="1">
      <alignment vertical="center"/>
    </xf>
    <xf numFmtId="0" fontId="1" fillId="4" borderId="24" xfId="5" applyFont="1" applyFill="1" applyBorder="1" applyAlignment="1" applyProtection="1">
      <alignment horizontal="left" vertical="center" wrapText="1"/>
    </xf>
    <xf numFmtId="0" fontId="1" fillId="4" borderId="8" xfId="5" applyFont="1" applyFill="1" applyBorder="1" applyAlignment="1" applyProtection="1">
      <alignment vertical="center" wrapText="1"/>
    </xf>
    <xf numFmtId="0" fontId="1" fillId="4" borderId="8" xfId="5" applyFont="1" applyFill="1" applyBorder="1" applyAlignment="1" applyProtection="1">
      <alignment horizontal="center" vertical="center" wrapText="1"/>
    </xf>
    <xf numFmtId="165" fontId="13" fillId="0" borderId="13" xfId="2" applyNumberFormat="1" applyBorder="1" applyAlignment="1" applyProtection="1">
      <alignment horizontal="center" vertical="center"/>
    </xf>
    <xf numFmtId="0" fontId="1" fillId="4" borderId="24" xfId="5" applyFont="1" applyFill="1" applyBorder="1" applyAlignment="1" applyProtection="1">
      <alignment horizontal="left" vertical="center"/>
    </xf>
    <xf numFmtId="0" fontId="23" fillId="0" borderId="24" xfId="5" applyFont="1" applyBorder="1" applyAlignment="1" applyProtection="1">
      <alignment horizontal="center" vertical="center"/>
    </xf>
    <xf numFmtId="167" fontId="1" fillId="4" borderId="8" xfId="1" applyNumberFormat="1" applyFont="1" applyFill="1" applyBorder="1" applyAlignment="1" applyProtection="1">
      <alignment vertical="center"/>
    </xf>
    <xf numFmtId="0" fontId="1" fillId="4" borderId="25" xfId="5" applyFont="1" applyFill="1" applyBorder="1" applyAlignment="1" applyProtection="1">
      <alignment vertical="center"/>
    </xf>
    <xf numFmtId="165" fontId="13" fillId="0" borderId="27" xfId="2" applyNumberFormat="1" applyBorder="1" applyProtection="1"/>
    <xf numFmtId="165" fontId="13" fillId="0" borderId="28" xfId="2" applyNumberFormat="1" applyBorder="1" applyAlignment="1" applyProtection="1">
      <alignment horizontal="center" vertical="center"/>
    </xf>
    <xf numFmtId="165" fontId="6" fillId="3" borderId="30" xfId="2" applyNumberFormat="1" applyFont="1" applyFill="1" applyBorder="1" applyAlignment="1" applyProtection="1">
      <alignment horizontal="center" vertical="center"/>
    </xf>
    <xf numFmtId="0" fontId="1" fillId="4" borderId="4" xfId="5" applyFont="1" applyFill="1" applyBorder="1" applyAlignment="1" applyProtection="1">
      <alignment horizontal="left" vertical="center" wrapText="1"/>
    </xf>
    <xf numFmtId="0" fontId="1" fillId="4" borderId="0" xfId="5" applyFont="1" applyFill="1" applyBorder="1" applyAlignment="1" applyProtection="1">
      <alignment horizontal="left" vertical="center"/>
    </xf>
    <xf numFmtId="167" fontId="1" fillId="4" borderId="0" xfId="1" applyNumberFormat="1" applyFont="1" applyFill="1" applyBorder="1" applyAlignment="1" applyProtection="1">
      <alignment horizontal="center" vertical="center"/>
    </xf>
    <xf numFmtId="0" fontId="1" fillId="4" borderId="0" xfId="5" applyFont="1" applyFill="1" applyBorder="1" applyAlignment="1" applyProtection="1">
      <alignment vertical="center" wrapText="1"/>
    </xf>
    <xf numFmtId="0" fontId="1" fillId="4" borderId="1" xfId="5" applyFont="1" applyFill="1" applyBorder="1" applyAlignment="1" applyProtection="1">
      <alignment vertical="center" wrapText="1"/>
    </xf>
    <xf numFmtId="165" fontId="13" fillId="0" borderId="8" xfId="2" applyNumberFormat="1" applyBorder="1" applyAlignment="1" applyProtection="1">
      <alignment horizontal="center" vertical="center"/>
    </xf>
    <xf numFmtId="0" fontId="1" fillId="4" borderId="4" xfId="5" applyFont="1" applyFill="1" applyBorder="1" applyAlignment="1" applyProtection="1">
      <alignment vertical="center" wrapText="1"/>
    </xf>
    <xf numFmtId="0" fontId="23" fillId="4" borderId="0" xfId="5" applyFont="1" applyFill="1" applyBorder="1" applyAlignment="1" applyProtection="1">
      <alignment horizontal="center" vertical="center"/>
    </xf>
    <xf numFmtId="165" fontId="13" fillId="0" borderId="32" xfId="2" applyNumberFormat="1" applyBorder="1" applyAlignment="1" applyProtection="1">
      <alignment horizontal="center" vertical="center"/>
    </xf>
    <xf numFmtId="0" fontId="1" fillId="4" borderId="23" xfId="6" applyFont="1" applyFill="1" applyBorder="1" applyAlignment="1" applyProtection="1">
      <alignment vertical="center" wrapText="1"/>
    </xf>
    <xf numFmtId="0" fontId="1" fillId="4" borderId="8" xfId="4" applyFont="1" applyFill="1" applyBorder="1" applyAlignment="1">
      <alignment horizontal="center" vertical="center"/>
    </xf>
    <xf numFmtId="0" fontId="1" fillId="4" borderId="8" xfId="0" applyFont="1" applyFill="1" applyBorder="1" applyAlignment="1">
      <alignment vertical="center" wrapText="1"/>
    </xf>
    <xf numFmtId="165" fontId="1" fillId="4" borderId="8" xfId="0" applyNumberFormat="1" applyFont="1" applyFill="1" applyBorder="1" applyAlignment="1">
      <alignment vertical="center" wrapText="1"/>
    </xf>
    <xf numFmtId="165" fontId="13" fillId="0" borderId="8" xfId="2" applyNumberFormat="1" applyBorder="1" applyProtection="1"/>
    <xf numFmtId="0" fontId="23" fillId="4" borderId="24" xfId="0" applyFont="1" applyFill="1" applyBorder="1" applyAlignment="1">
      <alignment horizontal="center" vertical="center"/>
    </xf>
    <xf numFmtId="0" fontId="1" fillId="4" borderId="8" xfId="4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/>
    </xf>
    <xf numFmtId="165" fontId="13" fillId="0" borderId="34" xfId="2" applyNumberFormat="1" applyBorder="1" applyProtection="1"/>
    <xf numFmtId="165" fontId="13" fillId="0" borderId="21" xfId="2" applyNumberFormat="1" applyBorder="1" applyProtection="1"/>
    <xf numFmtId="165" fontId="13" fillId="0" borderId="27" xfId="2" applyNumberFormat="1" applyBorder="1" applyProtection="1"/>
    <xf numFmtId="0" fontId="1" fillId="0" borderId="2" xfId="5" applyFont="1" applyBorder="1" applyProtection="1"/>
    <xf numFmtId="0" fontId="17" fillId="0" borderId="3" xfId="5" applyFont="1" applyBorder="1" applyProtection="1"/>
    <xf numFmtId="0" fontId="1" fillId="0" borderId="0" xfId="5" applyFont="1" applyBorder="1" applyProtection="1"/>
    <xf numFmtId="0" fontId="17" fillId="0" borderId="5" xfId="5" applyFont="1" applyBorder="1" applyProtection="1"/>
    <xf numFmtId="0" fontId="19" fillId="7" borderId="15" xfId="5" applyFont="1" applyFill="1" applyBorder="1" applyAlignment="1" applyProtection="1">
      <alignment horizontal="center" vertical="center"/>
    </xf>
    <xf numFmtId="0" fontId="19" fillId="7" borderId="36" xfId="5" applyFont="1" applyFill="1" applyBorder="1" applyAlignment="1" applyProtection="1">
      <alignment horizontal="center" vertical="center"/>
    </xf>
    <xf numFmtId="0" fontId="19" fillId="7" borderId="37" xfId="5" applyFont="1" applyFill="1" applyBorder="1" applyAlignment="1" applyProtection="1">
      <alignment horizontal="center" vertical="center"/>
    </xf>
    <xf numFmtId="0" fontId="19" fillId="7" borderId="12" xfId="5" applyFont="1" applyFill="1" applyBorder="1" applyAlignment="1" applyProtection="1">
      <alignment horizontal="center" vertical="center"/>
    </xf>
    <xf numFmtId="0" fontId="13" fillId="0" borderId="38" xfId="5" applyFont="1" applyBorder="1" applyAlignment="1" applyProtection="1">
      <alignment horizontal="left" vertical="center" wrapText="1"/>
    </xf>
    <xf numFmtId="0" fontId="13" fillId="0" borderId="39" xfId="5" applyFont="1" applyBorder="1" applyAlignment="1" applyProtection="1">
      <alignment vertical="center" wrapText="1"/>
    </xf>
    <xf numFmtId="0" fontId="13" fillId="0" borderId="8" xfId="5" applyFont="1" applyBorder="1" applyAlignment="1" applyProtection="1">
      <alignment vertical="center" wrapText="1"/>
    </xf>
    <xf numFmtId="0" fontId="13" fillId="0" borderId="21" xfId="5" applyFont="1" applyBorder="1" applyAlignment="1" applyProtection="1">
      <alignment vertical="center" wrapText="1"/>
    </xf>
    <xf numFmtId="0" fontId="13" fillId="0" borderId="40" xfId="5" applyFont="1" applyBorder="1" applyAlignment="1" applyProtection="1">
      <alignment vertical="center" wrapText="1"/>
    </xf>
    <xf numFmtId="0" fontId="13" fillId="0" borderId="41" xfId="5" applyFont="1" applyBorder="1" applyAlignment="1" applyProtection="1">
      <alignment vertical="center" wrapText="1"/>
    </xf>
    <xf numFmtId="0" fontId="26" fillId="0" borderId="39" xfId="0" applyFont="1" applyBorder="1" applyAlignment="1">
      <alignment vertical="center" wrapText="1"/>
    </xf>
    <xf numFmtId="0" fontId="26" fillId="0" borderId="8" xfId="0" applyFont="1" applyBorder="1" applyAlignment="1">
      <alignment vertical="center" wrapText="1"/>
    </xf>
    <xf numFmtId="0" fontId="26" fillId="0" borderId="21" xfId="0" applyFont="1" applyBorder="1" applyAlignment="1">
      <alignment vertical="center" wrapText="1"/>
    </xf>
    <xf numFmtId="0" fontId="13" fillId="0" borderId="39" xfId="5" applyFont="1" applyBorder="1" applyProtection="1"/>
    <xf numFmtId="0" fontId="13" fillId="0" borderId="39" xfId="5" applyFont="1" applyBorder="1" applyAlignment="1" applyProtection="1">
      <alignment wrapText="1"/>
    </xf>
    <xf numFmtId="0" fontId="13" fillId="0" borderId="14" xfId="5" applyFont="1" applyBorder="1" applyProtection="1"/>
    <xf numFmtId="0" fontId="13" fillId="0" borderId="42" xfId="5" applyFont="1" applyBorder="1" applyAlignment="1" applyProtection="1">
      <alignment vertical="center" wrapText="1"/>
    </xf>
    <xf numFmtId="0" fontId="26" fillId="0" borderId="32" xfId="0" applyFont="1" applyBorder="1" applyAlignment="1">
      <alignment vertical="center" wrapText="1"/>
    </xf>
    <xf numFmtId="0" fontId="13" fillId="0" borderId="30" xfId="5" applyFont="1" applyBorder="1" applyAlignment="1" applyProtection="1">
      <alignment vertical="center" wrapText="1"/>
    </xf>
    <xf numFmtId="0" fontId="13" fillId="0" borderId="0" xfId="5" applyFont="1" applyBorder="1" applyAlignment="1" applyProtection="1">
      <alignment wrapText="1"/>
    </xf>
    <xf numFmtId="0" fontId="13" fillId="0" borderId="8" xfId="5" applyFont="1" applyBorder="1" applyAlignment="1" applyProtection="1">
      <alignment horizontal="left" vertical="center" wrapText="1"/>
    </xf>
    <xf numFmtId="0" fontId="13" fillId="0" borderId="1" xfId="5" applyFont="1" applyBorder="1" applyAlignment="1" applyProtection="1">
      <alignment horizontal="left" vertical="center"/>
    </xf>
    <xf numFmtId="0" fontId="13" fillId="0" borderId="4" xfId="5" applyFont="1" applyBorder="1" applyAlignment="1" applyProtection="1">
      <alignment horizontal="left" vertical="center"/>
    </xf>
    <xf numFmtId="0" fontId="13" fillId="0" borderId="33" xfId="5" applyFont="1" applyBorder="1" applyAlignment="1" applyProtection="1">
      <alignment horizontal="left" vertical="center"/>
    </xf>
    <xf numFmtId="0" fontId="17" fillId="0" borderId="27" xfId="5" applyFont="1" applyBorder="1" applyProtection="1"/>
    <xf numFmtId="0" fontId="17" fillId="0" borderId="28" xfId="5" applyFont="1" applyBorder="1" applyProtection="1"/>
    <xf numFmtId="4" fontId="17" fillId="0" borderId="2" xfId="5" applyNumberFormat="1" applyFont="1" applyBorder="1" applyAlignment="1" applyProtection="1">
      <alignment horizontal="center"/>
    </xf>
    <xf numFmtId="4" fontId="17" fillId="0" borderId="0" xfId="5" applyNumberFormat="1" applyFont="1" applyBorder="1" applyAlignment="1" applyProtection="1">
      <alignment horizontal="center"/>
    </xf>
    <xf numFmtId="0" fontId="19" fillId="7" borderId="38" xfId="5" applyFont="1" applyFill="1" applyBorder="1" applyAlignment="1" applyProtection="1">
      <alignment horizontal="center" vertical="center"/>
    </xf>
    <xf numFmtId="0" fontId="19" fillId="7" borderId="40" xfId="5" applyFont="1" applyFill="1" applyBorder="1" applyAlignment="1" applyProtection="1">
      <alignment horizontal="center" vertical="center"/>
    </xf>
    <xf numFmtId="0" fontId="19" fillId="7" borderId="46" xfId="5" applyFont="1" applyFill="1" applyBorder="1" applyAlignment="1" applyProtection="1">
      <alignment horizontal="center" vertical="center" wrapText="1"/>
    </xf>
    <xf numFmtId="0" fontId="19" fillId="7" borderId="47" xfId="5" applyFont="1" applyFill="1" applyBorder="1" applyAlignment="1" applyProtection="1">
      <alignment horizontal="center" vertical="center"/>
    </xf>
    <xf numFmtId="0" fontId="19" fillId="7" borderId="41" xfId="5" applyFont="1" applyFill="1" applyBorder="1" applyAlignment="1" applyProtection="1">
      <alignment horizontal="center" vertical="center"/>
    </xf>
    <xf numFmtId="0" fontId="13" fillId="0" borderId="48" xfId="5" applyFont="1" applyBorder="1" applyAlignment="1" applyProtection="1">
      <alignment vertical="center" wrapText="1"/>
    </xf>
    <xf numFmtId="0" fontId="13" fillId="0" borderId="49" xfId="5" applyFont="1" applyBorder="1" applyAlignment="1" applyProtection="1">
      <alignment vertical="center" wrapText="1"/>
    </xf>
    <xf numFmtId="0" fontId="13" fillId="0" borderId="32" xfId="5" applyFont="1" applyBorder="1" applyAlignment="1" applyProtection="1">
      <alignment vertical="center" wrapText="1"/>
    </xf>
    <xf numFmtId="0" fontId="13" fillId="0" borderId="50" xfId="5" applyFont="1" applyBorder="1" applyAlignment="1" applyProtection="1">
      <alignment vertical="center" wrapText="1"/>
    </xf>
    <xf numFmtId="0" fontId="13" fillId="0" borderId="38" xfId="5" applyFont="1" applyBorder="1" applyAlignment="1" applyProtection="1">
      <alignment vertical="center" wrapText="1"/>
    </xf>
    <xf numFmtId="0" fontId="13" fillId="0" borderId="40" xfId="5" applyFont="1" applyBorder="1" applyAlignment="1" applyProtection="1">
      <alignment horizontal="center" vertical="center" wrapText="1"/>
    </xf>
    <xf numFmtId="0" fontId="13" fillId="0" borderId="51" xfId="5" applyFont="1" applyBorder="1" applyAlignment="1" applyProtection="1">
      <alignment vertical="center" wrapText="1"/>
    </xf>
    <xf numFmtId="0" fontId="13" fillId="0" borderId="52" xfId="5" applyFont="1" applyBorder="1" applyAlignment="1" applyProtection="1">
      <alignment vertical="center" wrapText="1"/>
    </xf>
    <xf numFmtId="0" fontId="13" fillId="0" borderId="53" xfId="5" applyFont="1" applyBorder="1" applyAlignment="1" applyProtection="1">
      <alignment vertical="center" wrapText="1"/>
    </xf>
    <xf numFmtId="0" fontId="26" fillId="0" borderId="37" xfId="0" applyFont="1" applyBorder="1" applyAlignment="1">
      <alignment vertical="center" wrapText="1"/>
    </xf>
    <xf numFmtId="0" fontId="26" fillId="0" borderId="2" xfId="0" applyFont="1" applyBorder="1" applyAlignment="1">
      <alignment vertical="center" wrapText="1"/>
    </xf>
    <xf numFmtId="0" fontId="13" fillId="0" borderId="54" xfId="5" applyFont="1" applyBorder="1" applyAlignment="1" applyProtection="1">
      <alignment vertical="center" wrapText="1"/>
    </xf>
    <xf numFmtId="0" fontId="13" fillId="0" borderId="8" xfId="5" applyFont="1" applyBorder="1" applyAlignment="1" applyProtection="1">
      <alignment wrapText="1"/>
    </xf>
    <xf numFmtId="0" fontId="13" fillId="0" borderId="27" xfId="5" applyFont="1" applyBorder="1" applyAlignment="1" applyProtection="1">
      <alignment wrapText="1"/>
    </xf>
    <xf numFmtId="0" fontId="26" fillId="0" borderId="27" xfId="0" applyFont="1" applyBorder="1" applyAlignment="1">
      <alignment vertical="center" wrapText="1"/>
    </xf>
    <xf numFmtId="0" fontId="13" fillId="0" borderId="55" xfId="5" applyFont="1" applyBorder="1" applyAlignment="1" applyProtection="1">
      <alignment vertical="center" wrapText="1"/>
    </xf>
    <xf numFmtId="0" fontId="13" fillId="0" borderId="56" xfId="5" applyFont="1" applyBorder="1" applyAlignment="1" applyProtection="1">
      <alignment vertical="center" wrapText="1"/>
    </xf>
    <xf numFmtId="0" fontId="26" fillId="0" borderId="56" xfId="0" applyFont="1" applyBorder="1" applyAlignment="1">
      <alignment vertical="center" wrapText="1"/>
    </xf>
    <xf numFmtId="0" fontId="13" fillId="0" borderId="51" xfId="5" applyFont="1" applyBorder="1" applyAlignment="1" applyProtection="1">
      <alignment horizontal="left" vertical="center" wrapText="1"/>
    </xf>
    <xf numFmtId="0" fontId="26" fillId="0" borderId="55" xfId="0" applyFont="1" applyBorder="1" applyAlignment="1">
      <alignment vertical="center" wrapText="1"/>
    </xf>
    <xf numFmtId="0" fontId="13" fillId="0" borderId="48" xfId="5" applyFont="1" applyBorder="1" applyAlignment="1" applyProtection="1">
      <alignment horizontal="left" vertical="center" wrapText="1"/>
    </xf>
    <xf numFmtId="0" fontId="13" fillId="0" borderId="50" xfId="5" applyFont="1" applyBorder="1" applyAlignment="1" applyProtection="1">
      <alignment horizontal="left" vertical="center" wrapText="1"/>
    </xf>
    <xf numFmtId="0" fontId="26" fillId="0" borderId="57" xfId="0" applyFont="1" applyBorder="1" applyAlignment="1">
      <alignment vertical="center" wrapText="1"/>
    </xf>
    <xf numFmtId="0" fontId="13" fillId="0" borderId="24" xfId="5" applyFont="1" applyBorder="1" applyAlignment="1" applyProtection="1">
      <alignment horizontal="left" vertical="center" wrapText="1"/>
    </xf>
    <xf numFmtId="0" fontId="13" fillId="0" borderId="37" xfId="5" applyFont="1" applyBorder="1" applyAlignment="1" applyProtection="1">
      <alignment vertical="center" wrapText="1"/>
    </xf>
    <xf numFmtId="0" fontId="29" fillId="0" borderId="21" xfId="5" applyFont="1" applyBorder="1" applyProtection="1"/>
    <xf numFmtId="167" fontId="13" fillId="4" borderId="32" xfId="5" applyNumberFormat="1" applyFont="1" applyFill="1" applyBorder="1" applyAlignment="1" applyProtection="1">
      <alignment horizontal="center" vertical="center"/>
    </xf>
    <xf numFmtId="167" fontId="29" fillId="0" borderId="49" xfId="5" applyNumberFormat="1" applyFont="1" applyBorder="1" applyAlignment="1" applyProtection="1">
      <alignment vertical="center"/>
    </xf>
    <xf numFmtId="0" fontId="13" fillId="4" borderId="32" xfId="5" applyFont="1" applyFill="1" applyBorder="1" applyAlignment="1" applyProtection="1">
      <alignment vertical="center" wrapText="1"/>
    </xf>
    <xf numFmtId="0" fontId="13" fillId="4" borderId="13" xfId="5" applyFont="1" applyFill="1" applyBorder="1" applyAlignment="1" applyProtection="1">
      <alignment vertical="center" wrapText="1"/>
    </xf>
    <xf numFmtId="167" fontId="13" fillId="4" borderId="37" xfId="5" applyNumberFormat="1" applyFont="1" applyFill="1" applyBorder="1" applyAlignment="1" applyProtection="1">
      <alignment horizontal="center" vertical="center"/>
    </xf>
    <xf numFmtId="0" fontId="13" fillId="4" borderId="37" xfId="5" applyFont="1" applyFill="1" applyBorder="1" applyAlignment="1" applyProtection="1">
      <alignment vertical="center" wrapText="1"/>
    </xf>
    <xf numFmtId="0" fontId="13" fillId="4" borderId="12" xfId="5" applyFont="1" applyFill="1" applyBorder="1" applyAlignment="1" applyProtection="1">
      <alignment vertical="center" wrapText="1"/>
    </xf>
    <xf numFmtId="167" fontId="13" fillId="4" borderId="49" xfId="5" applyNumberFormat="1" applyFont="1" applyFill="1" applyBorder="1" applyAlignment="1" applyProtection="1">
      <alignment horizontal="center" vertical="center"/>
    </xf>
    <xf numFmtId="0" fontId="13" fillId="4" borderId="49" xfId="5" applyFont="1" applyFill="1" applyBorder="1" applyAlignment="1" applyProtection="1">
      <alignment vertical="center" wrapText="1"/>
    </xf>
    <xf numFmtId="0" fontId="13" fillId="4" borderId="53" xfId="5" applyFont="1" applyFill="1" applyBorder="1" applyAlignment="1" applyProtection="1">
      <alignment vertical="center" wrapText="1"/>
    </xf>
    <xf numFmtId="0" fontId="13" fillId="4" borderId="40" xfId="5" applyFont="1" applyFill="1" applyBorder="1" applyAlignment="1" applyProtection="1">
      <alignment horizontal="right" vertical="center"/>
    </xf>
    <xf numFmtId="0" fontId="29" fillId="0" borderId="40" xfId="5" applyFont="1" applyBorder="1" applyAlignment="1" applyProtection="1">
      <alignment vertical="center"/>
    </xf>
    <xf numFmtId="0" fontId="13" fillId="4" borderId="40" xfId="5" applyFont="1" applyFill="1" applyBorder="1" applyAlignment="1" applyProtection="1">
      <alignment vertical="center" wrapText="1"/>
    </xf>
    <xf numFmtId="0" fontId="13" fillId="4" borderId="47" xfId="5" applyFont="1" applyFill="1" applyBorder="1" applyAlignment="1" applyProtection="1">
      <alignment vertical="center" wrapText="1"/>
    </xf>
    <xf numFmtId="0" fontId="25" fillId="3" borderId="58" xfId="5" applyFont="1" applyFill="1" applyBorder="1" applyAlignment="1" applyProtection="1">
      <alignment vertical="center"/>
    </xf>
    <xf numFmtId="0" fontId="25" fillId="3" borderId="59" xfId="5" applyFont="1" applyFill="1" applyBorder="1" applyAlignment="1" applyProtection="1">
      <alignment vertical="center"/>
    </xf>
    <xf numFmtId="0" fontId="25" fillId="3" borderId="60" xfId="5" applyFont="1" applyFill="1" applyBorder="1" applyAlignment="1" applyProtection="1">
      <alignment vertical="center"/>
    </xf>
    <xf numFmtId="0" fontId="25" fillId="3" borderId="44" xfId="5" applyFont="1" applyFill="1" applyBorder="1" applyAlignment="1" applyProtection="1">
      <alignment vertical="center"/>
    </xf>
    <xf numFmtId="0" fontId="25" fillId="3" borderId="61" xfId="5" applyFont="1" applyFill="1" applyBorder="1" applyAlignment="1" applyProtection="1">
      <alignment vertical="center"/>
    </xf>
    <xf numFmtId="0" fontId="25" fillId="3" borderId="62" xfId="5" applyFont="1" applyFill="1" applyBorder="1" applyAlignment="1" applyProtection="1">
      <alignment vertical="center"/>
    </xf>
    <xf numFmtId="0" fontId="25" fillId="3" borderId="63" xfId="5" applyFont="1" applyFill="1" applyBorder="1" applyAlignment="1" applyProtection="1">
      <alignment vertical="center"/>
    </xf>
    <xf numFmtId="0" fontId="25" fillId="3" borderId="34" xfId="5" applyFont="1" applyFill="1" applyBorder="1" applyAlignment="1" applyProtection="1">
      <alignment vertical="center"/>
    </xf>
    <xf numFmtId="0" fontId="25" fillId="3" borderId="64" xfId="5" applyFont="1" applyFill="1" applyBorder="1" applyAlignment="1" applyProtection="1">
      <alignment vertical="center"/>
    </xf>
    <xf numFmtId="0" fontId="1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4" fontId="17" fillId="0" borderId="2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19" fillId="9" borderId="38" xfId="0" applyFont="1" applyFill="1" applyBorder="1" applyAlignment="1">
      <alignment horizontal="center" vertical="center"/>
    </xf>
    <xf numFmtId="0" fontId="19" fillId="9" borderId="40" xfId="0" applyFont="1" applyFill="1" applyBorder="1" applyAlignment="1">
      <alignment horizontal="center" vertical="center"/>
    </xf>
    <xf numFmtId="0" fontId="19" fillId="9" borderId="47" xfId="0" applyFont="1" applyFill="1" applyBorder="1" applyAlignment="1">
      <alignment horizontal="center" vertical="center"/>
    </xf>
    <xf numFmtId="0" fontId="19" fillId="9" borderId="41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25" fillId="11" borderId="58" xfId="0" applyFont="1" applyFill="1" applyBorder="1" applyAlignment="1">
      <alignment vertical="center"/>
    </xf>
    <xf numFmtId="0" fontId="25" fillId="11" borderId="59" xfId="0" applyFont="1" applyFill="1" applyBorder="1" applyAlignment="1">
      <alignment vertical="center"/>
    </xf>
    <xf numFmtId="0" fontId="25" fillId="11" borderId="60" xfId="0" applyFont="1" applyFill="1" applyBorder="1" applyAlignment="1">
      <alignment vertical="center"/>
    </xf>
    <xf numFmtId="0" fontId="25" fillId="11" borderId="44" xfId="0" applyFont="1" applyFill="1" applyBorder="1" applyAlignment="1">
      <alignment vertical="center"/>
    </xf>
    <xf numFmtId="0" fontId="25" fillId="11" borderId="61" xfId="0" applyFont="1" applyFill="1" applyBorder="1" applyAlignment="1">
      <alignment vertical="center"/>
    </xf>
    <xf numFmtId="0" fontId="25" fillId="11" borderId="62" xfId="0" applyFont="1" applyFill="1" applyBorder="1" applyAlignment="1">
      <alignment vertical="center"/>
    </xf>
    <xf numFmtId="0" fontId="25" fillId="11" borderId="63" xfId="0" applyFont="1" applyFill="1" applyBorder="1" applyAlignment="1">
      <alignment vertical="center"/>
    </xf>
    <xf numFmtId="0" fontId="25" fillId="11" borderId="34" xfId="0" applyFont="1" applyFill="1" applyBorder="1" applyAlignment="1">
      <alignment vertical="center"/>
    </xf>
    <xf numFmtId="0" fontId="25" fillId="11" borderId="64" xfId="0" applyFont="1" applyFill="1" applyBorder="1" applyAlignment="1">
      <alignment vertical="center"/>
    </xf>
    <xf numFmtId="0" fontId="1" fillId="0" borderId="0" xfId="5" applyFont="1" applyBorder="1" applyAlignment="1" applyProtection="1">
      <alignment horizontal="center" vertical="center"/>
    </xf>
    <xf numFmtId="0" fontId="1" fillId="0" borderId="0" xfId="5" applyFont="1" applyBorder="1" applyAlignment="1" applyProtection="1">
      <alignment horizontal="center"/>
    </xf>
    <xf numFmtId="0" fontId="1" fillId="4" borderId="0" xfId="5" applyFont="1" applyFill="1" applyBorder="1" applyProtection="1"/>
    <xf numFmtId="0" fontId="1" fillId="0" borderId="2" xfId="5" applyFont="1" applyBorder="1" applyAlignment="1" applyProtection="1">
      <alignment horizontal="center"/>
    </xf>
    <xf numFmtId="0" fontId="1" fillId="0" borderId="3" xfId="5" applyFont="1" applyBorder="1" applyProtection="1"/>
    <xf numFmtId="0" fontId="1" fillId="0" borderId="5" xfId="5" applyFont="1" applyBorder="1" applyProtection="1"/>
    <xf numFmtId="0" fontId="17" fillId="0" borderId="0" xfId="5" applyFont="1" applyBorder="1" applyAlignment="1" applyProtection="1">
      <alignment horizontal="left"/>
    </xf>
    <xf numFmtId="0" fontId="19" fillId="0" borderId="4" xfId="5" applyFont="1" applyBorder="1" applyAlignment="1" applyProtection="1">
      <alignment horizontal="center" vertical="center"/>
    </xf>
    <xf numFmtId="0" fontId="19" fillId="0" borderId="0" xfId="5" applyFont="1" applyBorder="1" applyAlignment="1" applyProtection="1">
      <alignment horizontal="center" vertical="center"/>
    </xf>
    <xf numFmtId="0" fontId="1" fillId="2" borderId="2" xfId="5" applyFont="1" applyFill="1" applyBorder="1" applyProtection="1"/>
    <xf numFmtId="0" fontId="19" fillId="2" borderId="2" xfId="5" applyFont="1" applyFill="1" applyBorder="1" applyAlignment="1" applyProtection="1">
      <alignment horizontal="center" vertical="center"/>
    </xf>
    <xf numFmtId="0" fontId="19" fillId="2" borderId="37" xfId="5" applyFont="1" applyFill="1" applyBorder="1" applyAlignment="1" applyProtection="1">
      <alignment horizontal="center" vertical="center" wrapText="1"/>
    </xf>
    <xf numFmtId="0" fontId="32" fillId="2" borderId="37" xfId="5" applyFont="1" applyFill="1" applyBorder="1" applyAlignment="1" applyProtection="1">
      <alignment horizontal="center" vertical="center" wrapText="1"/>
    </xf>
    <xf numFmtId="0" fontId="33" fillId="12" borderId="8" xfId="5" applyFont="1" applyFill="1" applyBorder="1" applyProtection="1"/>
    <xf numFmtId="1" fontId="26" fillId="0" borderId="7" xfId="5" applyNumberFormat="1" applyFont="1" applyBorder="1" applyAlignment="1" applyProtection="1">
      <alignment horizontal="center" vertical="center" wrapText="1"/>
    </xf>
    <xf numFmtId="0" fontId="17" fillId="0" borderId="8" xfId="0" applyFont="1" applyBorder="1" applyAlignment="1">
      <alignment horizontal="left" vertical="center" wrapText="1"/>
    </xf>
    <xf numFmtId="0" fontId="13" fillId="0" borderId="10" xfId="5" applyFont="1" applyBorder="1" applyAlignment="1" applyProtection="1">
      <alignment horizontal="left" vertical="center" wrapText="1"/>
    </xf>
    <xf numFmtId="0" fontId="13" fillId="4" borderId="7" xfId="0" applyFont="1" applyFill="1" applyBorder="1" applyAlignment="1">
      <alignment horizontal="center" vertical="center" wrapText="1"/>
    </xf>
    <xf numFmtId="2" fontId="13" fillId="4" borderId="8" xfId="0" applyNumberFormat="1" applyFont="1" applyFill="1" applyBorder="1" applyAlignment="1">
      <alignment horizontal="right" vertical="center" wrapText="1"/>
    </xf>
    <xf numFmtId="166" fontId="13" fillId="0" borderId="9" xfId="1" applyBorder="1" applyAlignment="1" applyProtection="1">
      <alignment horizontal="left" vertical="center" wrapText="1"/>
    </xf>
    <xf numFmtId="0" fontId="13" fillId="4" borderId="60" xfId="5" applyFont="1" applyFill="1" applyBorder="1" applyAlignment="1" applyProtection="1">
      <alignment vertical="center" wrapText="1"/>
    </xf>
    <xf numFmtId="0" fontId="34" fillId="0" borderId="0" xfId="0" applyFont="1" applyAlignment="1">
      <alignment horizontal="center"/>
    </xf>
    <xf numFmtId="0" fontId="13" fillId="4" borderId="60" xfId="5" applyFont="1" applyFill="1" applyBorder="1" applyAlignment="1" applyProtection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8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7" fillId="0" borderId="8" xfId="0" applyFont="1" applyBorder="1" applyAlignment="1">
      <alignment vertical="center"/>
    </xf>
    <xf numFmtId="0" fontId="35" fillId="0" borderId="8" xfId="5" applyFont="1" applyBorder="1" applyAlignment="1" applyProtection="1">
      <alignment horizontal="left" vertical="center"/>
    </xf>
    <xf numFmtId="0" fontId="35" fillId="0" borderId="8" xfId="5" applyFont="1" applyBorder="1" applyAlignment="1" applyProtection="1">
      <alignment horizontal="center" vertical="center"/>
    </xf>
    <xf numFmtId="0" fontId="35" fillId="0" borderId="10" xfId="5" applyFont="1" applyBorder="1" applyAlignment="1" applyProtection="1">
      <alignment horizontal="center" vertical="center"/>
    </xf>
    <xf numFmtId="0" fontId="35" fillId="0" borderId="7" xfId="5" applyFont="1" applyBorder="1" applyAlignment="1" applyProtection="1">
      <alignment horizontal="center" vertical="center"/>
    </xf>
    <xf numFmtId="0" fontId="17" fillId="4" borderId="8" xfId="0" applyFont="1" applyFill="1" applyBorder="1" applyAlignment="1">
      <alignment vertical="center"/>
    </xf>
    <xf numFmtId="0" fontId="17" fillId="0" borderId="8" xfId="0" applyFont="1" applyBorder="1" applyAlignment="1">
      <alignment vertical="center" wrapText="1"/>
    </xf>
    <xf numFmtId="0" fontId="13" fillId="4" borderId="68" xfId="5" applyFont="1" applyFill="1" applyBorder="1" applyAlignment="1" applyProtection="1">
      <alignment vertical="center"/>
    </xf>
    <xf numFmtId="0" fontId="36" fillId="2" borderId="33" xfId="5" applyFont="1" applyFill="1" applyBorder="1" applyAlignment="1" applyProtection="1">
      <alignment vertical="center"/>
    </xf>
    <xf numFmtId="0" fontId="36" fillId="2" borderId="27" xfId="5" applyFont="1" applyFill="1" applyBorder="1" applyAlignment="1" applyProtection="1">
      <alignment vertical="center"/>
    </xf>
    <xf numFmtId="0" fontId="36" fillId="2" borderId="27" xfId="5" applyFont="1" applyFill="1" applyBorder="1" applyAlignment="1" applyProtection="1">
      <alignment horizontal="center" vertical="center"/>
    </xf>
    <xf numFmtId="166" fontId="19" fillId="2" borderId="27" xfId="1" applyFont="1" applyFill="1" applyBorder="1" applyAlignment="1" applyProtection="1">
      <alignment horizontal="right" vertical="center"/>
    </xf>
    <xf numFmtId="166" fontId="19" fillId="2" borderId="28" xfId="1" applyFont="1" applyFill="1" applyBorder="1" applyAlignment="1" applyProtection="1">
      <alignment horizontal="right" vertical="center"/>
    </xf>
    <xf numFmtId="0" fontId="1" fillId="0" borderId="28" xfId="5" applyFont="1" applyBorder="1" applyAlignment="1" applyProtection="1">
      <alignment vertical="center"/>
    </xf>
    <xf numFmtId="0" fontId="19" fillId="11" borderId="19" xfId="0" applyFont="1" applyFill="1" applyBorder="1" applyAlignment="1">
      <alignment horizontal="center" vertical="center"/>
    </xf>
    <xf numFmtId="0" fontId="19" fillId="11" borderId="69" xfId="0" applyFont="1" applyFill="1" applyBorder="1" applyAlignment="1">
      <alignment horizontal="center" vertical="center"/>
    </xf>
    <xf numFmtId="0" fontId="19" fillId="11" borderId="37" xfId="0" applyFont="1" applyFill="1" applyBorder="1" applyAlignment="1">
      <alignment horizontal="center" vertical="center" wrapText="1"/>
    </xf>
    <xf numFmtId="0" fontId="19" fillId="11" borderId="70" xfId="0" applyFont="1" applyFill="1" applyBorder="1" applyAlignment="1">
      <alignment horizontal="center" vertical="center" wrapText="1"/>
    </xf>
    <xf numFmtId="0" fontId="19" fillId="11" borderId="1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1" fillId="0" borderId="8" xfId="0" applyFont="1" applyBorder="1"/>
    <xf numFmtId="166" fontId="17" fillId="0" borderId="8" xfId="0" applyNumberFormat="1" applyFont="1" applyBorder="1" applyAlignment="1">
      <alignment horizontal="center" vertical="center" wrapText="1"/>
    </xf>
    <xf numFmtId="166" fontId="1" fillId="0" borderId="8" xfId="0" applyNumberFormat="1" applyFont="1" applyBorder="1"/>
    <xf numFmtId="0" fontId="0" fillId="0" borderId="8" xfId="0" applyBorder="1"/>
    <xf numFmtId="0" fontId="0" fillId="11" borderId="71" xfId="0" applyFill="1" applyBorder="1"/>
    <xf numFmtId="0" fontId="0" fillId="11" borderId="72" xfId="0" applyFill="1" applyBorder="1"/>
    <xf numFmtId="0" fontId="1" fillId="0" borderId="0" xfId="5" applyFont="1" applyBorder="1" applyAlignment="1" applyProtection="1">
      <alignment vertical="center"/>
    </xf>
    <xf numFmtId="0" fontId="17" fillId="0" borderId="0" xfId="5" applyFont="1" applyBorder="1" applyAlignment="1" applyProtection="1">
      <alignment horizontal="center" vertical="center"/>
    </xf>
    <xf numFmtId="4" fontId="17" fillId="0" borderId="0" xfId="5" applyNumberFormat="1" applyFont="1" applyBorder="1" applyAlignment="1" applyProtection="1">
      <alignment horizontal="center" vertical="center"/>
    </xf>
    <xf numFmtId="0" fontId="37" fillId="4" borderId="0" xfId="5" applyFont="1" applyFill="1" applyBorder="1" applyAlignment="1" applyProtection="1">
      <alignment vertical="center"/>
    </xf>
    <xf numFmtId="0" fontId="38" fillId="0" borderId="0" xfId="5" applyFont="1" applyBorder="1" applyAlignment="1" applyProtection="1">
      <alignment vertical="center"/>
    </xf>
    <xf numFmtId="0" fontId="17" fillId="4" borderId="0" xfId="5" applyFont="1" applyFill="1" applyBorder="1" applyAlignment="1" applyProtection="1">
      <alignment vertical="center"/>
    </xf>
    <xf numFmtId="0" fontId="19" fillId="4" borderId="52" xfId="5" applyFont="1" applyFill="1" applyBorder="1" applyAlignment="1" applyProtection="1">
      <alignment horizontal="center" vertical="center"/>
    </xf>
    <xf numFmtId="0" fontId="32" fillId="4" borderId="52" xfId="5" applyFont="1" applyFill="1" applyBorder="1" applyAlignment="1" applyProtection="1">
      <alignment horizontal="center" vertical="center" wrapText="1"/>
    </xf>
    <xf numFmtId="0" fontId="21" fillId="4" borderId="52" xfId="5" applyFont="1" applyFill="1" applyBorder="1" applyAlignment="1" applyProtection="1">
      <alignment horizontal="center" vertical="center" wrapText="1"/>
    </xf>
    <xf numFmtId="0" fontId="32" fillId="4" borderId="55" xfId="5" applyFont="1" applyFill="1" applyBorder="1" applyAlignment="1" applyProtection="1">
      <alignment horizontal="center" vertical="center" wrapText="1"/>
    </xf>
    <xf numFmtId="0" fontId="21" fillId="2" borderId="23" xfId="5" applyFont="1" applyFill="1" applyBorder="1" applyAlignment="1" applyProtection="1">
      <alignment horizontal="center" vertical="center" wrapText="1"/>
    </xf>
    <xf numFmtId="0" fontId="21" fillId="2" borderId="52" xfId="5" applyFont="1" applyFill="1" applyBorder="1" applyAlignment="1" applyProtection="1">
      <alignment horizontal="center" vertical="center" wrapText="1"/>
    </xf>
    <xf numFmtId="0" fontId="21" fillId="2" borderId="54" xfId="5" applyFont="1" applyFill="1" applyBorder="1" applyAlignment="1" applyProtection="1">
      <alignment horizontal="center" vertical="center" wrapText="1"/>
    </xf>
    <xf numFmtId="0" fontId="1" fillId="4" borderId="20" xfId="5" applyFont="1" applyFill="1" applyBorder="1" applyAlignment="1" applyProtection="1">
      <alignment horizontal="center" vertical="center" wrapText="1"/>
    </xf>
    <xf numFmtId="0" fontId="1" fillId="4" borderId="21" xfId="5" applyFont="1" applyFill="1" applyBorder="1" applyAlignment="1" applyProtection="1">
      <alignment horizontal="center" vertical="center"/>
    </xf>
    <xf numFmtId="0" fontId="22" fillId="0" borderId="21" xfId="5" applyFont="1" applyBorder="1" applyAlignment="1" applyProtection="1">
      <alignment horizontal="center" vertical="center" wrapText="1"/>
    </xf>
    <xf numFmtId="0" fontId="26" fillId="0" borderId="21" xfId="5" applyFont="1" applyBorder="1" applyAlignment="1" applyProtection="1">
      <alignment horizontal="center" vertical="center" wrapText="1"/>
    </xf>
    <xf numFmtId="0" fontId="1" fillId="4" borderId="21" xfId="5" applyFont="1" applyFill="1" applyBorder="1" applyAlignment="1" applyProtection="1">
      <alignment horizontal="center" vertical="center" wrapText="1"/>
    </xf>
    <xf numFmtId="0" fontId="1" fillId="0" borderId="21" xfId="5" applyFont="1" applyBorder="1" applyAlignment="1" applyProtection="1">
      <alignment horizontal="center" vertical="center" wrapText="1"/>
    </xf>
    <xf numFmtId="166" fontId="1" fillId="0" borderId="21" xfId="5" applyNumberFormat="1" applyFont="1" applyBorder="1" applyAlignment="1" applyProtection="1">
      <alignment horizontal="center" vertical="center"/>
    </xf>
    <xf numFmtId="168" fontId="1" fillId="0" borderId="21" xfId="5" applyNumberFormat="1" applyFont="1" applyBorder="1" applyAlignment="1" applyProtection="1">
      <alignment horizontal="center" vertical="center"/>
    </xf>
    <xf numFmtId="167" fontId="1" fillId="4" borderId="21" xfId="5" applyNumberFormat="1" applyFont="1" applyFill="1" applyBorder="1" applyAlignment="1" applyProtection="1">
      <alignment horizontal="center" vertical="center"/>
    </xf>
    <xf numFmtId="166" fontId="1" fillId="4" borderId="21" xfId="5" applyNumberFormat="1" applyFont="1" applyFill="1" applyBorder="1" applyAlignment="1" applyProtection="1">
      <alignment horizontal="center" vertical="center"/>
    </xf>
    <xf numFmtId="166" fontId="1" fillId="4" borderId="22" xfId="5" applyNumberFormat="1" applyFont="1" applyFill="1" applyBorder="1" applyAlignment="1" applyProtection="1">
      <alignment horizontal="center" vertical="center"/>
    </xf>
    <xf numFmtId="0" fontId="1" fillId="4" borderId="0" xfId="5" applyFont="1" applyFill="1" applyBorder="1" applyAlignment="1" applyProtection="1">
      <alignment horizontal="center" vertical="center" wrapText="1"/>
    </xf>
    <xf numFmtId="0" fontId="22" fillId="0" borderId="0" xfId="5" applyFont="1" applyBorder="1" applyAlignment="1" applyProtection="1">
      <alignment horizontal="left" vertical="center" wrapText="1"/>
    </xf>
    <xf numFmtId="0" fontId="26" fillId="0" borderId="0" xfId="5" applyFont="1" applyBorder="1" applyAlignment="1" applyProtection="1">
      <alignment horizontal="left" vertical="center" wrapText="1"/>
    </xf>
    <xf numFmtId="0" fontId="1" fillId="0" borderId="0" xfId="5" applyFont="1" applyBorder="1" applyAlignment="1" applyProtection="1">
      <alignment horizontal="left" vertical="center" wrapText="1"/>
    </xf>
    <xf numFmtId="0" fontId="1" fillId="0" borderId="0" xfId="5" applyFont="1" applyBorder="1" applyAlignment="1" applyProtection="1">
      <alignment horizontal="center" vertical="center" wrapText="1"/>
    </xf>
    <xf numFmtId="166" fontId="1" fillId="0" borderId="0" xfId="5" applyNumberFormat="1" applyFont="1" applyBorder="1" applyAlignment="1" applyProtection="1">
      <alignment horizontal="center" vertical="center"/>
    </xf>
    <xf numFmtId="168" fontId="1" fillId="0" borderId="0" xfId="5" applyNumberFormat="1" applyFont="1" applyBorder="1" applyAlignment="1" applyProtection="1">
      <alignment horizontal="center" vertical="center"/>
    </xf>
    <xf numFmtId="167" fontId="1" fillId="4" borderId="0" xfId="5" applyNumberFormat="1" applyFont="1" applyFill="1" applyBorder="1" applyAlignment="1" applyProtection="1">
      <alignment horizontal="center" vertical="center"/>
    </xf>
    <xf numFmtId="166" fontId="1" fillId="4" borderId="0" xfId="5" applyNumberFormat="1" applyFont="1" applyFill="1" applyBorder="1" applyAlignment="1" applyProtection="1">
      <alignment horizontal="center" vertical="center"/>
    </xf>
    <xf numFmtId="0" fontId="1" fillId="4" borderId="0" xfId="5" applyFont="1" applyFill="1" applyBorder="1" applyAlignment="1" applyProtection="1">
      <alignment horizontal="center" vertical="center"/>
    </xf>
    <xf numFmtId="0" fontId="21" fillId="4" borderId="8" xfId="5" applyFont="1" applyFill="1" applyBorder="1" applyAlignment="1" applyProtection="1">
      <alignment horizontal="center" vertical="center" wrapText="1"/>
    </xf>
    <xf numFmtId="0" fontId="1" fillId="4" borderId="73" xfId="5" applyFont="1" applyFill="1" applyBorder="1" applyAlignment="1" applyProtection="1">
      <alignment vertical="center" wrapText="1"/>
    </xf>
    <xf numFmtId="0" fontId="1" fillId="0" borderId="71" xfId="5" applyFont="1" applyBorder="1" applyAlignment="1" applyProtection="1">
      <alignment vertical="center" wrapText="1"/>
    </xf>
    <xf numFmtId="0" fontId="1" fillId="0" borderId="71" xfId="0" applyFont="1" applyBorder="1" applyAlignment="1">
      <alignment vertical="center" wrapText="1"/>
    </xf>
    <xf numFmtId="0" fontId="40" fillId="4" borderId="8" xfId="5" applyFont="1" applyFill="1" applyBorder="1" applyAlignment="1" applyProtection="1">
      <alignment horizontal="center" vertical="center" wrapText="1"/>
    </xf>
    <xf numFmtId="0" fontId="41" fillId="4" borderId="8" xfId="5" applyFont="1" applyFill="1" applyBorder="1" applyAlignment="1" applyProtection="1">
      <alignment horizontal="center" vertical="center"/>
    </xf>
    <xf numFmtId="0" fontId="41" fillId="4" borderId="8" xfId="5" applyFont="1" applyFill="1" applyBorder="1" applyAlignment="1" applyProtection="1">
      <alignment horizontal="left" vertical="center"/>
    </xf>
    <xf numFmtId="1" fontId="1" fillId="4" borderId="8" xfId="5" applyNumberFormat="1" applyFont="1" applyFill="1" applyBorder="1" applyAlignment="1" applyProtection="1">
      <alignment horizontal="center" vertical="center"/>
    </xf>
    <xf numFmtId="168" fontId="1" fillId="4" borderId="8" xfId="5" applyNumberFormat="1" applyFont="1" applyFill="1" applyBorder="1" applyAlignment="1" applyProtection="1">
      <alignment horizontal="center" vertical="center" wrapText="1"/>
    </xf>
    <xf numFmtId="168" fontId="1" fillId="4" borderId="8" xfId="5" applyNumberFormat="1" applyFont="1" applyFill="1" applyBorder="1" applyAlignment="1" applyProtection="1">
      <alignment horizontal="right" vertical="center" wrapText="1"/>
    </xf>
    <xf numFmtId="0" fontId="1" fillId="0" borderId="73" xfId="5" applyFont="1" applyBorder="1" applyProtection="1"/>
    <xf numFmtId="0" fontId="1" fillId="0" borderId="71" xfId="5" applyFont="1" applyBorder="1" applyProtection="1"/>
    <xf numFmtId="0" fontId="0" fillId="0" borderId="71" xfId="0" applyBorder="1" applyAlignment="1">
      <alignment vertical="center"/>
    </xf>
    <xf numFmtId="0" fontId="19" fillId="4" borderId="8" xfId="5" applyFont="1" applyFill="1" applyBorder="1" applyAlignment="1" applyProtection="1">
      <alignment horizontal="left" vertical="center" wrapText="1"/>
    </xf>
    <xf numFmtId="0" fontId="19" fillId="4" borderId="8" xfId="5" applyFont="1" applyFill="1" applyBorder="1" applyAlignment="1" applyProtection="1">
      <alignment horizontal="center" vertical="center"/>
    </xf>
    <xf numFmtId="2" fontId="19" fillId="4" borderId="8" xfId="5" applyNumberFormat="1" applyFont="1" applyFill="1" applyBorder="1" applyAlignment="1" applyProtection="1">
      <alignment horizontal="right" vertical="center"/>
    </xf>
    <xf numFmtId="0" fontId="19" fillId="4" borderId="73" xfId="5" applyFont="1" applyFill="1" applyBorder="1" applyAlignment="1" applyProtection="1">
      <alignment horizontal="right" vertical="center"/>
    </xf>
    <xf numFmtId="0" fontId="19" fillId="4" borderId="71" xfId="5" applyFont="1" applyFill="1" applyBorder="1" applyAlignment="1" applyProtection="1">
      <alignment horizontal="right" vertical="center"/>
    </xf>
    <xf numFmtId="0" fontId="29" fillId="0" borderId="0" xfId="5" applyFont="1" applyBorder="1" applyProtection="1"/>
    <xf numFmtId="0" fontId="2" fillId="0" borderId="0" xfId="0" applyFont="1"/>
    <xf numFmtId="0" fontId="2" fillId="0" borderId="0" xfId="0" applyFont="1" applyAlignment="1">
      <alignment vertical="center"/>
    </xf>
    <xf numFmtId="0" fontId="29" fillId="0" borderId="2" xfId="5" applyFont="1" applyBorder="1" applyProtection="1"/>
    <xf numFmtId="0" fontId="29" fillId="0" borderId="3" xfId="5" applyFont="1" applyBorder="1" applyProtection="1"/>
    <xf numFmtId="0" fontId="29" fillId="0" borderId="5" xfId="5" applyFont="1" applyBorder="1" applyProtection="1"/>
    <xf numFmtId="0" fontId="2" fillId="0" borderId="0" xfId="0" applyFont="1" applyAlignment="1">
      <alignment horizontal="center" vertical="center"/>
    </xf>
    <xf numFmtId="0" fontId="42" fillId="0" borderId="0" xfId="5" applyFont="1" applyBorder="1" applyAlignment="1" applyProtection="1">
      <alignment horizontal="center" vertical="center" wrapText="1"/>
    </xf>
    <xf numFmtId="0" fontId="42" fillId="0" borderId="5" xfId="5" applyFont="1" applyBorder="1" applyAlignment="1" applyProtection="1">
      <alignment horizontal="center" vertical="center" wrapText="1"/>
    </xf>
    <xf numFmtId="0" fontId="43" fillId="0" borderId="0" xfId="5" applyFont="1" applyBorder="1" applyAlignment="1" applyProtection="1">
      <alignment horizontal="center" vertical="center"/>
    </xf>
    <xf numFmtId="0" fontId="44" fillId="0" borderId="0" xfId="5" applyFont="1" applyBorder="1" applyAlignment="1" applyProtection="1">
      <alignment vertical="center"/>
    </xf>
    <xf numFmtId="0" fontId="45" fillId="0" borderId="1" xfId="5" applyFont="1" applyBorder="1" applyAlignment="1" applyProtection="1">
      <alignment vertical="center"/>
    </xf>
    <xf numFmtId="0" fontId="46" fillId="0" borderId="2" xfId="5" applyFont="1" applyBorder="1" applyAlignment="1" applyProtection="1">
      <alignment horizontal="center" vertical="center"/>
    </xf>
    <xf numFmtId="0" fontId="47" fillId="0" borderId="51" xfId="5" applyFont="1" applyBorder="1" applyAlignment="1" applyProtection="1">
      <alignment vertical="center" wrapText="1"/>
    </xf>
    <xf numFmtId="0" fontId="47" fillId="0" borderId="2" xfId="5" applyFont="1" applyBorder="1" applyAlignment="1" applyProtection="1">
      <alignment horizontal="center" vertical="center" wrapText="1"/>
    </xf>
    <xf numFmtId="0" fontId="47" fillId="0" borderId="3" xfId="5" applyFont="1" applyBorder="1" applyAlignment="1" applyProtection="1">
      <alignment horizontal="center" vertical="center" wrapText="1"/>
    </xf>
    <xf numFmtId="0" fontId="48" fillId="4" borderId="65" xfId="5" applyFont="1" applyFill="1" applyBorder="1" applyAlignment="1" applyProtection="1">
      <alignment horizontal="center" vertical="center" textRotation="90" wrapText="1"/>
    </xf>
    <xf numFmtId="0" fontId="45" fillId="4" borderId="39" xfId="5" applyFont="1" applyFill="1" applyBorder="1" applyAlignment="1" applyProtection="1">
      <alignment horizontal="center" vertical="center" wrapText="1"/>
    </xf>
    <xf numFmtId="0" fontId="9" fillId="4" borderId="39" xfId="5" applyFont="1" applyFill="1" applyBorder="1" applyAlignment="1" applyProtection="1">
      <alignment horizontal="center" vertical="center" wrapText="1"/>
    </xf>
    <xf numFmtId="0" fontId="13" fillId="4" borderId="39" xfId="5" applyFont="1" applyFill="1" applyBorder="1" applyAlignment="1" applyProtection="1">
      <alignment horizontal="center" vertical="center" wrapText="1"/>
    </xf>
    <xf numFmtId="0" fontId="3" fillId="4" borderId="39" xfId="5" applyFont="1" applyFill="1" applyBorder="1" applyAlignment="1" applyProtection="1">
      <alignment horizontal="center" vertical="center" wrapText="1"/>
    </xf>
    <xf numFmtId="0" fontId="3" fillId="4" borderId="66" xfId="5" applyFont="1" applyFill="1" applyBorder="1" applyAlignment="1" applyProtection="1">
      <alignment horizontal="center" vertical="center" wrapText="1"/>
    </xf>
    <xf numFmtId="0" fontId="49" fillId="4" borderId="14" xfId="5" applyFont="1" applyFill="1" applyBorder="1" applyAlignment="1" applyProtection="1">
      <alignment horizontal="center" vertical="center" wrapText="1"/>
    </xf>
    <xf numFmtId="169" fontId="44" fillId="0" borderId="0" xfId="5" applyNumberFormat="1" applyFont="1" applyBorder="1" applyAlignment="1" applyProtection="1">
      <alignment vertical="center"/>
    </xf>
    <xf numFmtId="0" fontId="29" fillId="4" borderId="8" xfId="5" applyFont="1" applyFill="1" applyBorder="1" applyAlignment="1" applyProtection="1">
      <alignment vertical="center" wrapText="1"/>
    </xf>
    <xf numFmtId="1" fontId="29" fillId="4" borderId="8" xfId="5" applyNumberFormat="1" applyFont="1" applyFill="1" applyBorder="1" applyAlignment="1" applyProtection="1">
      <alignment vertical="center"/>
    </xf>
    <xf numFmtId="166" fontId="29" fillId="4" borderId="8" xfId="1" applyFont="1" applyFill="1" applyBorder="1" applyAlignment="1" applyProtection="1">
      <alignment vertical="center"/>
    </xf>
    <xf numFmtId="168" fontId="29" fillId="4" borderId="8" xfId="5" applyNumberFormat="1" applyFont="1" applyFill="1" applyBorder="1" applyAlignment="1" applyProtection="1">
      <alignment vertical="center"/>
    </xf>
    <xf numFmtId="166" fontId="50" fillId="4" borderId="8" xfId="1" applyFont="1" applyFill="1" applyBorder="1" applyAlignment="1" applyProtection="1">
      <alignment vertical="center"/>
    </xf>
    <xf numFmtId="167" fontId="29" fillId="4" borderId="10" xfId="1" applyNumberFormat="1" applyFont="1" applyFill="1" applyBorder="1" applyAlignment="1" applyProtection="1">
      <alignment vertical="center"/>
    </xf>
    <xf numFmtId="166" fontId="29" fillId="4" borderId="10" xfId="1" applyFont="1" applyFill="1" applyBorder="1" applyAlignment="1" applyProtection="1">
      <alignment vertical="center"/>
    </xf>
    <xf numFmtId="166" fontId="29" fillId="4" borderId="9" xfId="1" applyFont="1" applyFill="1" applyBorder="1" applyAlignment="1" applyProtection="1">
      <alignment vertical="center"/>
    </xf>
    <xf numFmtId="0" fontId="11" fillId="4" borderId="7" xfId="5" applyFont="1" applyFill="1" applyBorder="1" applyAlignment="1" applyProtection="1">
      <alignment vertical="center"/>
    </xf>
    <xf numFmtId="167" fontId="29" fillId="4" borderId="8" xfId="1" applyNumberFormat="1" applyFont="1" applyFill="1" applyBorder="1" applyAlignment="1" applyProtection="1">
      <alignment vertical="center"/>
    </xf>
    <xf numFmtId="167" fontId="29" fillId="4" borderId="9" xfId="1" applyNumberFormat="1" applyFont="1" applyFill="1" applyBorder="1" applyAlignment="1" applyProtection="1">
      <alignment vertical="center"/>
    </xf>
    <xf numFmtId="0" fontId="3" fillId="0" borderId="27" xfId="5" applyFont="1" applyBorder="1" applyAlignment="1" applyProtection="1">
      <alignment vertical="center"/>
    </xf>
    <xf numFmtId="166" fontId="1" fillId="0" borderId="27" xfId="1" applyFont="1" applyBorder="1" applyProtection="1"/>
    <xf numFmtId="0" fontId="3" fillId="0" borderId="28" xfId="5" applyFont="1" applyBorder="1" applyAlignment="1" applyProtection="1">
      <alignment vertical="center"/>
    </xf>
    <xf numFmtId="0" fontId="3" fillId="0" borderId="0" xfId="5" applyFont="1" applyBorder="1" applyAlignment="1" applyProtection="1">
      <alignment vertical="center"/>
    </xf>
    <xf numFmtId="0" fontId="29" fillId="0" borderId="4" xfId="5" applyFont="1" applyBorder="1" applyAlignment="1" applyProtection="1">
      <alignment vertical="center"/>
    </xf>
    <xf numFmtId="0" fontId="29" fillId="0" borderId="0" xfId="5" applyFont="1" applyBorder="1" applyAlignment="1" applyProtection="1">
      <alignment vertical="center"/>
    </xf>
    <xf numFmtId="10" fontId="45" fillId="0" borderId="32" xfId="3" applyNumberFormat="1" applyFont="1" applyBorder="1" applyAlignment="1" applyProtection="1">
      <alignment vertical="center"/>
    </xf>
    <xf numFmtId="0" fontId="3" fillId="0" borderId="5" xfId="5" applyFont="1" applyBorder="1" applyAlignment="1" applyProtection="1">
      <alignment vertical="center"/>
    </xf>
    <xf numFmtId="0" fontId="29" fillId="0" borderId="7" xfId="5" applyFont="1" applyBorder="1" applyAlignment="1" applyProtection="1">
      <alignment vertical="center"/>
    </xf>
    <xf numFmtId="0" fontId="29" fillId="0" borderId="10" xfId="5" applyFont="1" applyBorder="1" applyAlignment="1" applyProtection="1">
      <alignment vertical="center"/>
    </xf>
    <xf numFmtId="0" fontId="50" fillId="4" borderId="8" xfId="5" applyFont="1" applyFill="1" applyBorder="1" applyAlignment="1" applyProtection="1">
      <alignment vertical="center"/>
    </xf>
    <xf numFmtId="0" fontId="50" fillId="0" borderId="8" xfId="5" applyFont="1" applyBorder="1" applyAlignment="1" applyProtection="1">
      <alignment vertical="center"/>
    </xf>
    <xf numFmtId="166" fontId="46" fillId="0" borderId="8" xfId="1" applyFont="1" applyBorder="1" applyAlignment="1" applyProtection="1">
      <alignment vertical="center"/>
    </xf>
    <xf numFmtId="166" fontId="45" fillId="4" borderId="8" xfId="1" applyFont="1" applyFill="1" applyBorder="1" applyAlignment="1" applyProtection="1">
      <alignment vertical="center"/>
    </xf>
    <xf numFmtId="0" fontId="29" fillId="0" borderId="8" xfId="5" applyFont="1" applyBorder="1" applyAlignment="1" applyProtection="1">
      <alignment vertical="center"/>
    </xf>
    <xf numFmtId="166" fontId="45" fillId="0" borderId="8" xfId="1" applyFont="1" applyBorder="1" applyAlignment="1" applyProtection="1">
      <alignment vertical="center"/>
    </xf>
    <xf numFmtId="166" fontId="45" fillId="4" borderId="10" xfId="1" applyFont="1" applyFill="1" applyBorder="1" applyAlignment="1" applyProtection="1">
      <alignment vertical="center"/>
    </xf>
    <xf numFmtId="9" fontId="51" fillId="13" borderId="8" xfId="3" applyFont="1" applyFill="1" applyBorder="1" applyAlignment="1" applyProtection="1">
      <alignment vertical="center"/>
    </xf>
    <xf numFmtId="0" fontId="29" fillId="0" borderId="8" xfId="5" applyFont="1" applyBorder="1" applyAlignment="1" applyProtection="1">
      <alignment horizontal="left" vertical="center" wrapText="1"/>
    </xf>
    <xf numFmtId="0" fontId="29" fillId="0" borderId="0" xfId="5" applyFont="1" applyBorder="1" applyAlignment="1" applyProtection="1">
      <alignment horizontal="left" vertical="center" wrapText="1"/>
    </xf>
    <xf numFmtId="0" fontId="29" fillId="0" borderId="8" xfId="5" applyFont="1" applyBorder="1" applyAlignment="1" applyProtection="1">
      <alignment horizontal="left" vertical="center"/>
    </xf>
    <xf numFmtId="3" fontId="51" fillId="13" borderId="8" xfId="1" applyNumberFormat="1" applyFont="1" applyFill="1" applyBorder="1" applyAlignment="1" applyProtection="1">
      <alignment vertical="center"/>
    </xf>
    <xf numFmtId="10" fontId="45" fillId="0" borderId="8" xfId="3" applyNumberFormat="1" applyFont="1" applyBorder="1" applyAlignment="1" applyProtection="1">
      <alignment vertical="center"/>
    </xf>
    <xf numFmtId="10" fontId="29" fillId="0" borderId="0" xfId="5" applyNumberFormat="1" applyFont="1" applyBorder="1" applyProtection="1"/>
    <xf numFmtId="166" fontId="29" fillId="0" borderId="0" xfId="1" applyFont="1" applyBorder="1" applyProtection="1"/>
    <xf numFmtId="0" fontId="29" fillId="0" borderId="20" xfId="5" applyFont="1" applyBorder="1" applyProtection="1"/>
    <xf numFmtId="10" fontId="29" fillId="0" borderId="21" xfId="3" applyNumberFormat="1" applyFont="1" applyBorder="1" applyProtection="1"/>
    <xf numFmtId="0" fontId="29" fillId="0" borderId="27" xfId="5" applyFont="1" applyBorder="1" applyProtection="1"/>
    <xf numFmtId="0" fontId="29" fillId="0" borderId="28" xfId="5" applyFont="1" applyBorder="1" applyProtection="1"/>
    <xf numFmtId="4" fontId="1" fillId="0" borderId="0" xfId="5" applyNumberFormat="1" applyFont="1" applyBorder="1" applyProtection="1"/>
    <xf numFmtId="0" fontId="26" fillId="0" borderId="0" xfId="5" applyFont="1" applyBorder="1" applyAlignment="1" applyProtection="1">
      <alignment vertical="center"/>
    </xf>
    <xf numFmtId="0" fontId="13" fillId="0" borderId="2" xfId="5" applyFont="1" applyBorder="1" applyAlignment="1" applyProtection="1">
      <alignment vertical="center"/>
    </xf>
    <xf numFmtId="4" fontId="13" fillId="0" borderId="2" xfId="5" applyNumberFormat="1" applyFont="1" applyBorder="1" applyAlignment="1" applyProtection="1">
      <alignment vertical="center"/>
    </xf>
    <xf numFmtId="0" fontId="13" fillId="0" borderId="0" xfId="5" applyFont="1" applyBorder="1" applyAlignment="1" applyProtection="1">
      <alignment vertical="center"/>
    </xf>
    <xf numFmtId="4" fontId="13" fillId="0" borderId="0" xfId="5" applyNumberFormat="1" applyFont="1" applyBorder="1" applyAlignment="1" applyProtection="1">
      <alignment vertical="center"/>
    </xf>
    <xf numFmtId="0" fontId="9" fillId="0" borderId="0" xfId="5" applyFont="1" applyBorder="1" applyProtection="1"/>
    <xf numFmtId="0" fontId="28" fillId="0" borderId="18" xfId="5" applyFont="1" applyBorder="1" applyAlignment="1" applyProtection="1">
      <alignment horizontal="center" vertical="center"/>
    </xf>
    <xf numFmtId="0" fontId="13" fillId="4" borderId="27" xfId="5" applyFont="1" applyFill="1" applyBorder="1" applyAlignment="1" applyProtection="1">
      <alignment vertical="center" wrapText="1"/>
    </xf>
    <xf numFmtId="0" fontId="9" fillId="0" borderId="7" xfId="5" applyFont="1" applyBorder="1" applyAlignment="1" applyProtection="1">
      <alignment horizontal="center" vertical="center"/>
    </xf>
    <xf numFmtId="0" fontId="9" fillId="0" borderId="8" xfId="5" applyFont="1" applyBorder="1" applyAlignment="1" applyProtection="1">
      <alignment horizontal="center" vertical="center" wrapText="1"/>
    </xf>
    <xf numFmtId="0" fontId="9" fillId="0" borderId="70" xfId="5" applyFont="1" applyBorder="1" applyAlignment="1" applyProtection="1">
      <alignment horizontal="center" vertical="center"/>
    </xf>
    <xf numFmtId="1" fontId="13" fillId="0" borderId="8" xfId="5" applyNumberFormat="1" applyFont="1" applyBorder="1" applyAlignment="1" applyProtection="1">
      <alignment vertical="center"/>
      <protection locked="0"/>
    </xf>
    <xf numFmtId="166" fontId="13" fillId="4" borderId="10" xfId="5" applyNumberFormat="1" applyFont="1" applyFill="1" applyBorder="1" applyAlignment="1" applyProtection="1">
      <alignment vertical="center"/>
      <protection locked="0"/>
    </xf>
    <xf numFmtId="166" fontId="13" fillId="0" borderId="8" xfId="5" applyNumberFormat="1" applyFont="1" applyBorder="1" applyAlignment="1" applyProtection="1">
      <alignment vertical="center"/>
    </xf>
    <xf numFmtId="166" fontId="13" fillId="0" borderId="9" xfId="5" applyNumberFormat="1" applyFont="1" applyBorder="1" applyAlignment="1" applyProtection="1">
      <alignment vertical="center"/>
    </xf>
    <xf numFmtId="9" fontId="13" fillId="0" borderId="8" xfId="5" applyNumberFormat="1" applyFont="1" applyBorder="1" applyAlignment="1" applyProtection="1">
      <alignment vertical="center"/>
      <protection locked="0"/>
    </xf>
    <xf numFmtId="0" fontId="13" fillId="0" borderId="8" xfId="5" applyFont="1" applyBorder="1" applyAlignment="1" applyProtection="1">
      <alignment vertical="center" wrapText="1"/>
      <protection locked="0"/>
    </xf>
    <xf numFmtId="9" fontId="13" fillId="0" borderId="8" xfId="5" applyNumberFormat="1" applyFont="1" applyBorder="1" applyAlignment="1" applyProtection="1">
      <alignment vertical="center" wrapText="1"/>
      <protection locked="0"/>
    </xf>
    <xf numFmtId="166" fontId="28" fillId="2" borderId="8" xfId="5" applyNumberFormat="1" applyFont="1" applyFill="1" applyBorder="1" applyAlignment="1" applyProtection="1">
      <alignment vertical="center"/>
    </xf>
    <xf numFmtId="166" fontId="28" fillId="2" borderId="9" xfId="5" applyNumberFormat="1" applyFont="1" applyFill="1" applyBorder="1" applyAlignment="1" applyProtection="1">
      <alignment vertical="center"/>
    </xf>
    <xf numFmtId="168" fontId="1" fillId="0" borderId="0" xfId="5" applyNumberFormat="1" applyFont="1" applyBorder="1" applyProtection="1"/>
    <xf numFmtId="10" fontId="13" fillId="0" borderId="70" xfId="3" applyNumberFormat="1" applyBorder="1" applyAlignment="1" applyProtection="1">
      <alignment vertical="center"/>
      <protection locked="0"/>
    </xf>
    <xf numFmtId="166" fontId="13" fillId="0" borderId="37" xfId="5" applyNumberFormat="1" applyFont="1" applyBorder="1" applyAlignment="1" applyProtection="1">
      <alignment vertical="center"/>
    </xf>
    <xf numFmtId="166" fontId="13" fillId="0" borderId="12" xfId="5" applyNumberFormat="1" applyFont="1" applyBorder="1" applyAlignment="1" applyProtection="1">
      <alignment vertical="center"/>
    </xf>
    <xf numFmtId="166" fontId="28" fillId="2" borderId="40" xfId="5" applyNumberFormat="1" applyFont="1" applyFill="1" applyBorder="1" applyAlignment="1" applyProtection="1">
      <alignment vertical="center"/>
    </xf>
    <xf numFmtId="166" fontId="28" fillId="2" borderId="41" xfId="5" applyNumberFormat="1" applyFont="1" applyFill="1" applyBorder="1" applyAlignment="1" applyProtection="1">
      <alignment vertical="center"/>
    </xf>
    <xf numFmtId="0" fontId="13" fillId="0" borderId="8" xfId="5" applyFont="1" applyBorder="1" applyAlignment="1" applyProtection="1">
      <alignment horizontal="center" vertical="center"/>
    </xf>
    <xf numFmtId="0" fontId="13" fillId="0" borderId="7" xfId="5" applyFont="1" applyBorder="1" applyAlignment="1" applyProtection="1">
      <alignment horizontal="left" vertical="center"/>
    </xf>
    <xf numFmtId="0" fontId="13" fillId="0" borderId="8" xfId="5" applyFont="1" applyBorder="1" applyAlignment="1" applyProtection="1">
      <alignment vertical="center"/>
    </xf>
    <xf numFmtId="10" fontId="13" fillId="0" borderId="8" xfId="5" applyNumberFormat="1" applyFont="1" applyBorder="1" applyAlignment="1" applyProtection="1">
      <alignment vertical="center"/>
    </xf>
    <xf numFmtId="4" fontId="13" fillId="0" borderId="8" xfId="5" applyNumberFormat="1" applyFont="1" applyBorder="1" applyAlignment="1" applyProtection="1">
      <alignment vertical="center"/>
    </xf>
    <xf numFmtId="167" fontId="13" fillId="0" borderId="8" xfId="1" applyNumberFormat="1" applyBorder="1" applyAlignment="1" applyProtection="1">
      <alignment vertical="center"/>
    </xf>
    <xf numFmtId="9" fontId="13" fillId="0" borderId="8" xfId="3" applyBorder="1" applyAlignment="1" applyProtection="1">
      <alignment vertical="center"/>
    </xf>
    <xf numFmtId="166" fontId="13" fillId="0" borderId="8" xfId="1" applyBorder="1" applyAlignment="1" applyProtection="1">
      <alignment vertical="center"/>
      <protection locked="0"/>
    </xf>
    <xf numFmtId="10" fontId="1" fillId="0" borderId="0" xfId="5" applyNumberFormat="1" applyFont="1" applyBorder="1" applyProtection="1"/>
    <xf numFmtId="166" fontId="13" fillId="0" borderId="0" xfId="5" applyNumberFormat="1" applyFont="1" applyBorder="1" applyAlignment="1" applyProtection="1">
      <alignment vertical="center"/>
    </xf>
    <xf numFmtId="0" fontId="13" fillId="0" borderId="8" xfId="5" applyFont="1" applyBorder="1" applyAlignment="1" applyProtection="1">
      <alignment horizontal="left" vertical="center"/>
    </xf>
    <xf numFmtId="167" fontId="13" fillId="0" borderId="8" xfId="5" applyNumberFormat="1" applyFont="1" applyBorder="1" applyAlignment="1" applyProtection="1">
      <alignment vertical="center"/>
    </xf>
    <xf numFmtId="167" fontId="13" fillId="0" borderId="37" xfId="1" applyNumberFormat="1" applyBorder="1" applyAlignment="1" applyProtection="1">
      <alignment vertical="center"/>
    </xf>
    <xf numFmtId="0" fontId="13" fillId="0" borderId="10" xfId="5" applyFont="1" applyBorder="1" applyAlignment="1" applyProtection="1">
      <alignment horizontal="center" vertical="center" wrapText="1"/>
    </xf>
    <xf numFmtId="0" fontId="13" fillId="0" borderId="58" xfId="5" applyFont="1" applyBorder="1" applyAlignment="1" applyProtection="1">
      <alignment vertical="center"/>
    </xf>
    <xf numFmtId="0" fontId="13" fillId="0" borderId="59" xfId="5" applyFont="1" applyBorder="1" applyAlignment="1" applyProtection="1">
      <alignment vertical="center"/>
    </xf>
    <xf numFmtId="4" fontId="13" fillId="0" borderId="59" xfId="5" applyNumberFormat="1" applyFont="1" applyBorder="1" applyAlignment="1" applyProtection="1">
      <alignment vertical="center"/>
    </xf>
    <xf numFmtId="0" fontId="13" fillId="0" borderId="74" xfId="5" applyFont="1" applyBorder="1" applyAlignment="1" applyProtection="1">
      <alignment vertical="center"/>
    </xf>
    <xf numFmtId="0" fontId="13" fillId="0" borderId="75" xfId="5" applyFont="1" applyBorder="1" applyAlignment="1" applyProtection="1">
      <alignment vertical="center"/>
    </xf>
    <xf numFmtId="10" fontId="13" fillId="0" borderId="37" xfId="5" applyNumberFormat="1" applyFont="1" applyBorder="1" applyAlignment="1" applyProtection="1">
      <alignment vertical="center"/>
    </xf>
    <xf numFmtId="4" fontId="13" fillId="0" borderId="75" xfId="5" applyNumberFormat="1" applyFont="1" applyBorder="1" applyAlignment="1" applyProtection="1">
      <alignment vertical="center"/>
    </xf>
    <xf numFmtId="0" fontId="28" fillId="2" borderId="29" xfId="5" applyFont="1" applyFill="1" applyBorder="1" applyAlignment="1" applyProtection="1">
      <alignment vertical="center"/>
    </xf>
    <xf numFmtId="0" fontId="28" fillId="2" borderId="76" xfId="5" applyFont="1" applyFill="1" applyBorder="1" applyAlignment="1" applyProtection="1">
      <alignment vertical="center"/>
    </xf>
    <xf numFmtId="10" fontId="28" fillId="2" borderId="40" xfId="5" applyNumberFormat="1" applyFont="1" applyFill="1" applyBorder="1" applyAlignment="1" applyProtection="1">
      <alignment vertical="center"/>
    </xf>
    <xf numFmtId="4" fontId="28" fillId="2" borderId="76" xfId="5" applyNumberFormat="1" applyFont="1" applyFill="1" applyBorder="1" applyAlignment="1" applyProtection="1">
      <alignment vertical="center"/>
    </xf>
    <xf numFmtId="166" fontId="28" fillId="2" borderId="42" xfId="5" applyNumberFormat="1" applyFont="1" applyFill="1" applyBorder="1" applyAlignment="1" applyProtection="1">
      <alignment vertical="center"/>
    </xf>
    <xf numFmtId="166" fontId="28" fillId="2" borderId="30" xfId="5" applyNumberFormat="1" applyFont="1" applyFill="1" applyBorder="1" applyAlignment="1" applyProtection="1">
      <alignment vertical="center"/>
    </xf>
    <xf numFmtId="0" fontId="28" fillId="2" borderId="7" xfId="5" applyFont="1" applyFill="1" applyBorder="1" applyAlignment="1" applyProtection="1">
      <alignment vertical="center"/>
    </xf>
    <xf numFmtId="0" fontId="28" fillId="2" borderId="8" xfId="5" applyFont="1" applyFill="1" applyBorder="1" applyAlignment="1" applyProtection="1">
      <alignment vertical="center"/>
    </xf>
    <xf numFmtId="10" fontId="28" fillId="2" borderId="8" xfId="5" applyNumberFormat="1" applyFont="1" applyFill="1" applyBorder="1" applyAlignment="1" applyProtection="1">
      <alignment vertical="center"/>
    </xf>
    <xf numFmtId="4" fontId="28" fillId="2" borderId="8" xfId="5" applyNumberFormat="1" applyFont="1" applyFill="1" applyBorder="1" applyAlignment="1" applyProtection="1">
      <alignment vertical="center"/>
    </xf>
    <xf numFmtId="166" fontId="28" fillId="2" borderId="37" xfId="5" applyNumberFormat="1" applyFont="1" applyFill="1" applyBorder="1" applyAlignment="1" applyProtection="1">
      <alignment vertical="center"/>
    </xf>
    <xf numFmtId="166" fontId="28" fillId="2" borderId="12" xfId="5" applyNumberFormat="1" applyFont="1" applyFill="1" applyBorder="1" applyAlignment="1" applyProtection="1">
      <alignment vertical="center"/>
    </xf>
    <xf numFmtId="166" fontId="46" fillId="2" borderId="8" xfId="5" applyNumberFormat="1" applyFont="1" applyFill="1" applyBorder="1" applyAlignment="1" applyProtection="1">
      <alignment vertical="center"/>
    </xf>
    <xf numFmtId="10" fontId="46" fillId="2" borderId="8" xfId="3" applyNumberFormat="1" applyFont="1" applyFill="1" applyBorder="1" applyAlignment="1" applyProtection="1">
      <alignment vertical="center"/>
    </xf>
    <xf numFmtId="10" fontId="46" fillId="0" borderId="0" xfId="3" applyNumberFormat="1" applyFont="1" applyBorder="1" applyAlignment="1" applyProtection="1">
      <alignment vertical="center"/>
    </xf>
    <xf numFmtId="10" fontId="46" fillId="4" borderId="0" xfId="3" applyNumberFormat="1" applyFont="1" applyFill="1" applyBorder="1" applyAlignment="1" applyProtection="1">
      <alignment vertical="center"/>
    </xf>
    <xf numFmtId="4" fontId="46" fillId="15" borderId="0" xfId="3" applyNumberFormat="1" applyFont="1" applyFill="1" applyBorder="1" applyAlignment="1" applyProtection="1">
      <alignment vertical="center"/>
    </xf>
    <xf numFmtId="4" fontId="1" fillId="4" borderId="0" xfId="5" applyNumberFormat="1" applyFont="1" applyFill="1" applyBorder="1" applyProtection="1"/>
    <xf numFmtId="0" fontId="22" fillId="4" borderId="15" xfId="5" applyFont="1" applyFill="1" applyBorder="1" applyAlignment="1" applyProtection="1">
      <alignment horizontal="center" vertical="center"/>
    </xf>
    <xf numFmtId="0" fontId="55" fillId="3" borderId="65" xfId="5" applyFont="1" applyFill="1" applyBorder="1" applyAlignment="1" applyProtection="1">
      <alignment horizontal="center" vertical="center"/>
    </xf>
    <xf numFmtId="166" fontId="55" fillId="3" borderId="62" xfId="5" applyNumberFormat="1" applyFont="1" applyFill="1" applyBorder="1" applyAlignment="1" applyProtection="1">
      <alignment vertical="center"/>
    </xf>
    <xf numFmtId="166" fontId="55" fillId="4" borderId="0" xfId="5" applyNumberFormat="1" applyFont="1" applyFill="1" applyBorder="1" applyAlignment="1" applyProtection="1">
      <alignment vertical="center"/>
    </xf>
    <xf numFmtId="0" fontId="1" fillId="0" borderId="7" xfId="5" applyFont="1" applyBorder="1" applyAlignment="1" applyProtection="1">
      <alignment horizontal="center" vertical="center"/>
    </xf>
    <xf numFmtId="10" fontId="1" fillId="0" borderId="8" xfId="5" applyNumberFormat="1" applyFont="1" applyBorder="1" applyAlignment="1" applyProtection="1">
      <alignment horizontal="center" vertical="center"/>
    </xf>
    <xf numFmtId="166" fontId="1" fillId="4" borderId="9" xfId="5" applyNumberFormat="1" applyFont="1" applyFill="1" applyBorder="1" applyAlignment="1" applyProtection="1">
      <alignment vertical="center"/>
    </xf>
    <xf numFmtId="166" fontId="1" fillId="4" borderId="0" xfId="5" applyNumberFormat="1" applyFont="1" applyFill="1" applyBorder="1" applyAlignment="1" applyProtection="1">
      <alignment vertical="center"/>
    </xf>
    <xf numFmtId="10" fontId="22" fillId="0" borderId="8" xfId="5" applyNumberFormat="1" applyFont="1" applyBorder="1" applyAlignment="1" applyProtection="1">
      <alignment horizontal="center" vertical="center"/>
    </xf>
    <xf numFmtId="10" fontId="56" fillId="0" borderId="8" xfId="5" applyNumberFormat="1" applyFont="1" applyBorder="1" applyAlignment="1" applyProtection="1">
      <alignment horizontal="center" vertical="center"/>
    </xf>
    <xf numFmtId="166" fontId="19" fillId="4" borderId="9" xfId="5" applyNumberFormat="1" applyFont="1" applyFill="1" applyBorder="1" applyAlignment="1" applyProtection="1">
      <alignment horizontal="right" vertical="center"/>
    </xf>
    <xf numFmtId="166" fontId="19" fillId="4" borderId="0" xfId="5" applyNumberFormat="1" applyFont="1" applyFill="1" applyBorder="1" applyAlignment="1" applyProtection="1">
      <alignment horizontal="right" vertical="center"/>
    </xf>
    <xf numFmtId="166" fontId="19" fillId="4" borderId="22" xfId="5" applyNumberFormat="1" applyFont="1" applyFill="1" applyBorder="1" applyAlignment="1" applyProtection="1">
      <alignment horizontal="right" vertical="center"/>
    </xf>
    <xf numFmtId="0" fontId="56" fillId="4" borderId="1" xfId="5" applyFont="1" applyFill="1" applyBorder="1" applyAlignment="1" applyProtection="1">
      <alignment horizontal="center" vertical="center"/>
      <protection locked="0"/>
    </xf>
    <xf numFmtId="0" fontId="56" fillId="4" borderId="66" xfId="5" applyFont="1" applyFill="1" applyBorder="1" applyAlignment="1" applyProtection="1">
      <alignment vertical="center"/>
      <protection locked="0"/>
    </xf>
    <xf numFmtId="0" fontId="56" fillId="4" borderId="18" xfId="5" applyFont="1" applyFill="1" applyBorder="1" applyAlignment="1" applyProtection="1">
      <alignment vertical="center"/>
      <protection locked="0"/>
    </xf>
    <xf numFmtId="0" fontId="56" fillId="4" borderId="14" xfId="5" applyFont="1" applyFill="1" applyBorder="1" applyAlignment="1" applyProtection="1">
      <alignment horizontal="center" vertical="center"/>
      <protection locked="0"/>
    </xf>
    <xf numFmtId="0" fontId="56" fillId="4" borderId="0" xfId="5" applyFont="1" applyFill="1" applyBorder="1" applyAlignment="1" applyProtection="1">
      <alignment horizontal="center" vertical="center"/>
      <protection locked="0"/>
    </xf>
    <xf numFmtId="0" fontId="1" fillId="0" borderId="7" xfId="5" applyFont="1" applyBorder="1" applyAlignment="1" applyProtection="1">
      <alignment horizontal="center" vertical="center"/>
      <protection locked="0"/>
    </xf>
    <xf numFmtId="0" fontId="1" fillId="0" borderId="10" xfId="5" applyFont="1" applyBorder="1" applyAlignment="1" applyProtection="1">
      <alignment vertical="center"/>
      <protection locked="0"/>
    </xf>
    <xf numFmtId="0" fontId="1" fillId="0" borderId="59" xfId="5" applyFont="1" applyBorder="1" applyAlignment="1" applyProtection="1">
      <alignment vertical="center"/>
      <protection locked="0"/>
    </xf>
    <xf numFmtId="0" fontId="1" fillId="0" borderId="72" xfId="5" applyFont="1" applyBorder="1" applyAlignment="1" applyProtection="1">
      <alignment vertical="center"/>
      <protection locked="0"/>
    </xf>
    <xf numFmtId="166" fontId="1" fillId="0" borderId="60" xfId="5" applyNumberFormat="1" applyFont="1" applyBorder="1" applyAlignment="1" applyProtection="1">
      <alignment vertical="center"/>
      <protection locked="0"/>
    </xf>
    <xf numFmtId="166" fontId="1" fillId="4" borderId="0" xfId="5" applyNumberFormat="1" applyFont="1" applyFill="1" applyBorder="1" applyAlignment="1" applyProtection="1">
      <alignment vertical="center"/>
      <protection locked="0"/>
    </xf>
    <xf numFmtId="0" fontId="1" fillId="0" borderId="60" xfId="5" applyFont="1" applyBorder="1" applyAlignment="1" applyProtection="1">
      <alignment vertical="center"/>
      <protection locked="0"/>
    </xf>
    <xf numFmtId="0" fontId="1" fillId="4" borderId="0" xfId="5" applyFont="1" applyFill="1" applyBorder="1" applyAlignment="1" applyProtection="1">
      <alignment vertical="center"/>
      <protection locked="0"/>
    </xf>
    <xf numFmtId="166" fontId="56" fillId="0" borderId="9" xfId="5" applyNumberFormat="1" applyFont="1" applyBorder="1" applyAlignment="1" applyProtection="1">
      <alignment vertical="center"/>
      <protection locked="0"/>
    </xf>
    <xf numFmtId="166" fontId="56" fillId="4" borderId="0" xfId="5" applyNumberFormat="1" applyFont="1" applyFill="1" applyBorder="1" applyAlignment="1" applyProtection="1">
      <alignment vertical="center"/>
      <protection locked="0"/>
    </xf>
    <xf numFmtId="0" fontId="56" fillId="4" borderId="23" xfId="5" applyFont="1" applyFill="1" applyBorder="1" applyAlignment="1" applyProtection="1">
      <alignment horizontal="center" vertical="center"/>
      <protection locked="0"/>
    </xf>
    <xf numFmtId="10" fontId="54" fillId="4" borderId="66" xfId="5" applyNumberFormat="1" applyFont="1" applyFill="1" applyBorder="1" applyAlignment="1" applyProtection="1">
      <alignment horizontal="center" vertical="center"/>
    </xf>
    <xf numFmtId="0" fontId="56" fillId="4" borderId="19" xfId="5" applyFont="1" applyFill="1" applyBorder="1" applyAlignment="1" applyProtection="1">
      <alignment horizontal="center" vertical="center"/>
      <protection locked="0"/>
    </xf>
    <xf numFmtId="10" fontId="1" fillId="0" borderId="72" xfId="5" applyNumberFormat="1" applyFont="1" applyBorder="1" applyAlignment="1" applyProtection="1">
      <alignment vertical="center" wrapText="1"/>
      <protection locked="0"/>
    </xf>
    <xf numFmtId="168" fontId="57" fillId="4" borderId="9" xfId="5" applyNumberFormat="1" applyFont="1" applyFill="1" applyBorder="1" applyAlignment="1" applyProtection="1">
      <alignment vertical="center"/>
    </xf>
    <xf numFmtId="168" fontId="57" fillId="4" borderId="0" xfId="5" applyNumberFormat="1" applyFont="1" applyFill="1" applyBorder="1" applyAlignment="1" applyProtection="1">
      <alignment vertical="center"/>
    </xf>
    <xf numFmtId="0" fontId="1" fillId="0" borderId="10" xfId="5" applyFont="1" applyBorder="1" applyAlignment="1" applyProtection="1">
      <alignment vertical="center" wrapText="1"/>
      <protection locked="0"/>
    </xf>
    <xf numFmtId="0" fontId="1" fillId="0" borderId="59" xfId="5" applyFont="1" applyBorder="1" applyAlignment="1" applyProtection="1">
      <alignment vertical="center" wrapText="1"/>
      <protection locked="0"/>
    </xf>
    <xf numFmtId="0" fontId="1" fillId="0" borderId="72" xfId="5" applyFont="1" applyBorder="1" applyAlignment="1" applyProtection="1">
      <alignment vertical="center" wrapText="1"/>
      <protection locked="0"/>
    </xf>
    <xf numFmtId="0" fontId="56" fillId="0" borderId="7" xfId="5" applyFont="1" applyBorder="1" applyAlignment="1" applyProtection="1">
      <alignment horizontal="center" vertical="center"/>
      <protection locked="0"/>
    </xf>
    <xf numFmtId="10" fontId="19" fillId="0" borderId="72" xfId="5" applyNumberFormat="1" applyFont="1" applyBorder="1" applyAlignment="1" applyProtection="1">
      <alignment vertical="center" wrapText="1"/>
      <protection locked="0"/>
    </xf>
    <xf numFmtId="168" fontId="32" fillId="4" borderId="9" xfId="5" applyNumberFormat="1" applyFont="1" applyFill="1" applyBorder="1" applyAlignment="1" applyProtection="1">
      <alignment horizontal="right" vertical="center"/>
      <protection locked="0"/>
    </xf>
    <xf numFmtId="168" fontId="32" fillId="4" borderId="0" xfId="5" applyNumberFormat="1" applyFont="1" applyFill="1" applyBorder="1" applyAlignment="1" applyProtection="1">
      <alignment horizontal="right" vertical="center"/>
      <protection locked="0"/>
    </xf>
    <xf numFmtId="0" fontId="1" fillId="4" borderId="7" xfId="5" applyFont="1" applyFill="1" applyBorder="1" applyAlignment="1" applyProtection="1">
      <alignment horizontal="center" vertical="center"/>
      <protection locked="0"/>
    </xf>
    <xf numFmtId="0" fontId="1" fillId="0" borderId="10" xfId="5" applyFont="1" applyBorder="1" applyAlignment="1" applyProtection="1">
      <alignment horizontal="left" vertical="center"/>
      <protection locked="0"/>
    </xf>
    <xf numFmtId="0" fontId="56" fillId="0" borderId="63" xfId="5" applyFont="1" applyBorder="1" applyAlignment="1" applyProtection="1">
      <alignment vertical="center"/>
      <protection locked="0"/>
    </xf>
    <xf numFmtId="0" fontId="1" fillId="0" borderId="26" xfId="5" applyFont="1" applyBorder="1" applyAlignment="1" applyProtection="1">
      <alignment vertical="center" wrapText="1"/>
      <protection locked="0"/>
    </xf>
    <xf numFmtId="0" fontId="1" fillId="0" borderId="34" xfId="5" applyFont="1" applyBorder="1" applyAlignment="1" applyProtection="1">
      <alignment vertical="center" wrapText="1"/>
      <protection locked="0"/>
    </xf>
    <xf numFmtId="0" fontId="1" fillId="0" borderId="77" xfId="5" applyFont="1" applyBorder="1" applyAlignment="1" applyProtection="1">
      <alignment vertical="center" wrapText="1"/>
      <protection locked="0"/>
    </xf>
    <xf numFmtId="168" fontId="56" fillId="0" borderId="64" xfId="5" applyNumberFormat="1" applyFont="1" applyBorder="1" applyAlignment="1" applyProtection="1">
      <alignment horizontal="left" vertical="center"/>
      <protection locked="0"/>
    </xf>
    <xf numFmtId="168" fontId="56" fillId="4" borderId="0" xfId="5" applyNumberFormat="1" applyFont="1" applyFill="1" applyBorder="1" applyAlignment="1" applyProtection="1">
      <alignment horizontal="left" vertical="center"/>
      <protection locked="0"/>
    </xf>
    <xf numFmtId="0" fontId="56" fillId="4" borderId="17" xfId="5" applyFont="1" applyFill="1" applyBorder="1" applyAlignment="1" applyProtection="1">
      <alignment vertical="center"/>
    </xf>
    <xf numFmtId="0" fontId="56" fillId="4" borderId="18" xfId="5" applyFont="1" applyFill="1" applyBorder="1" applyAlignment="1" applyProtection="1">
      <alignment vertical="center"/>
    </xf>
    <xf numFmtId="0" fontId="1" fillId="0" borderId="10" xfId="5" applyFont="1" applyBorder="1" applyAlignment="1" applyProtection="1">
      <alignment vertical="center"/>
    </xf>
    <xf numFmtId="0" fontId="1" fillId="0" borderId="59" xfId="5" applyFont="1" applyBorder="1" applyAlignment="1" applyProtection="1">
      <alignment vertical="center"/>
    </xf>
    <xf numFmtId="168" fontId="54" fillId="4" borderId="9" xfId="5" applyNumberFormat="1" applyFont="1" applyFill="1" applyBorder="1" applyAlignment="1" applyProtection="1">
      <alignment vertical="center"/>
    </xf>
    <xf numFmtId="168" fontId="54" fillId="4" borderId="0" xfId="5" applyNumberFormat="1" applyFont="1" applyFill="1" applyBorder="1" applyAlignment="1" applyProtection="1">
      <alignment vertical="center"/>
    </xf>
    <xf numFmtId="0" fontId="56" fillId="0" borderId="58" xfId="5" applyFont="1" applyBorder="1" applyAlignment="1" applyProtection="1">
      <alignment vertical="center"/>
    </xf>
    <xf numFmtId="0" fontId="56" fillId="0" borderId="59" xfId="5" applyFont="1" applyBorder="1" applyAlignment="1" applyProtection="1">
      <alignment vertical="center"/>
    </xf>
    <xf numFmtId="168" fontId="58" fillId="4" borderId="9" xfId="5" applyNumberFormat="1" applyFont="1" applyFill="1" applyBorder="1" applyAlignment="1" applyProtection="1">
      <alignment vertical="center"/>
    </xf>
    <xf numFmtId="168" fontId="58" fillId="4" borderId="0" xfId="5" applyNumberFormat="1" applyFont="1" applyFill="1" applyBorder="1" applyAlignment="1" applyProtection="1">
      <alignment vertical="center"/>
    </xf>
    <xf numFmtId="0" fontId="1" fillId="0" borderId="20" xfId="5" applyFont="1" applyBorder="1" applyAlignment="1" applyProtection="1">
      <alignment horizontal="center" vertical="center"/>
    </xf>
    <xf numFmtId="0" fontId="1" fillId="0" borderId="26" xfId="5" applyFont="1" applyBorder="1" applyAlignment="1" applyProtection="1">
      <alignment vertical="center"/>
    </xf>
    <xf numFmtId="0" fontId="1" fillId="0" borderId="34" xfId="5" applyFont="1" applyBorder="1" applyAlignment="1" applyProtection="1">
      <alignment vertical="center"/>
    </xf>
    <xf numFmtId="168" fontId="54" fillId="4" borderId="22" xfId="5" applyNumberFormat="1" applyFont="1" applyFill="1" applyBorder="1" applyAlignment="1" applyProtection="1">
      <alignment vertical="center"/>
    </xf>
    <xf numFmtId="0" fontId="56" fillId="4" borderId="29" xfId="5" applyFont="1" applyFill="1" applyBorder="1" applyAlignment="1" applyProtection="1">
      <alignment vertical="center"/>
    </xf>
    <xf numFmtId="0" fontId="56" fillId="4" borderId="76" xfId="5" applyFont="1" applyFill="1" applyBorder="1" applyAlignment="1" applyProtection="1">
      <alignment vertical="center"/>
    </xf>
    <xf numFmtId="168" fontId="58" fillId="4" borderId="41" xfId="5" applyNumberFormat="1" applyFont="1" applyFill="1" applyBorder="1" applyAlignment="1" applyProtection="1">
      <alignment vertical="center"/>
    </xf>
    <xf numFmtId="168" fontId="0" fillId="0" borderId="0" xfId="0" applyNumberFormat="1"/>
    <xf numFmtId="166" fontId="46" fillId="2" borderId="40" xfId="5" applyNumberFormat="1" applyFont="1" applyFill="1" applyBorder="1" applyAlignment="1" applyProtection="1">
      <alignment vertical="center"/>
    </xf>
    <xf numFmtId="166" fontId="46" fillId="2" borderId="41" xfId="5" applyNumberFormat="1" applyFont="1" applyFill="1" applyBorder="1" applyAlignment="1" applyProtection="1">
      <alignment vertical="center"/>
    </xf>
    <xf numFmtId="10" fontId="46" fillId="2" borderId="41" xfId="3" applyNumberFormat="1" applyFont="1" applyFill="1" applyBorder="1" applyAlignment="1" applyProtection="1">
      <alignment vertical="center"/>
    </xf>
    <xf numFmtId="10" fontId="46" fillId="0" borderId="43" xfId="3" applyNumberFormat="1" applyFont="1" applyBorder="1" applyAlignment="1" applyProtection="1">
      <alignment vertical="center"/>
    </xf>
    <xf numFmtId="0" fontId="13" fillId="0" borderId="10" xfId="5" applyFont="1" applyBorder="1" applyAlignment="1" applyProtection="1">
      <alignment vertical="center" wrapText="1"/>
      <protection locked="0"/>
    </xf>
    <xf numFmtId="9" fontId="13" fillId="0" borderId="10" xfId="5" applyNumberFormat="1" applyFont="1" applyBorder="1" applyAlignment="1" applyProtection="1">
      <alignment vertical="center" wrapText="1"/>
      <protection locked="0"/>
    </xf>
    <xf numFmtId="9" fontId="13" fillId="0" borderId="10" xfId="5" applyNumberFormat="1" applyFont="1" applyBorder="1" applyAlignment="1" applyProtection="1">
      <alignment vertical="center"/>
      <protection locked="0"/>
    </xf>
    <xf numFmtId="0" fontId="29" fillId="0" borderId="1" xfId="5" applyFont="1" applyBorder="1" applyProtection="1"/>
    <xf numFmtId="0" fontId="2" fillId="0" borderId="2" xfId="0" applyFont="1" applyBorder="1"/>
    <xf numFmtId="0" fontId="1" fillId="0" borderId="2" xfId="0" applyFont="1" applyBorder="1"/>
    <xf numFmtId="0" fontId="29" fillId="0" borderId="4" xfId="5" applyFont="1" applyBorder="1" applyProtection="1"/>
    <xf numFmtId="0" fontId="1" fillId="0" borderId="0" xfId="0" applyFont="1"/>
    <xf numFmtId="0" fontId="44" fillId="2" borderId="4" xfId="5" applyFont="1" applyFill="1" applyBorder="1" applyAlignment="1" applyProtection="1">
      <alignment vertical="center"/>
    </xf>
    <xf numFmtId="0" fontId="61" fillId="2" borderId="0" xfId="5" applyFont="1" applyFill="1" applyBorder="1" applyAlignment="1" applyProtection="1">
      <alignment vertical="center" wrapText="1"/>
    </xf>
    <xf numFmtId="0" fontId="38" fillId="2" borderId="0" xfId="5" applyFont="1" applyFill="1" applyBorder="1" applyAlignment="1" applyProtection="1">
      <alignment vertical="center"/>
    </xf>
    <xf numFmtId="0" fontId="44" fillId="2" borderId="0" xfId="5" applyFont="1" applyFill="1" applyBorder="1" applyAlignment="1" applyProtection="1">
      <alignment vertical="center"/>
    </xf>
    <xf numFmtId="0" fontId="44" fillId="2" borderId="15" xfId="5" applyFont="1" applyFill="1" applyBorder="1" applyAlignment="1" applyProtection="1">
      <alignment horizontal="center" vertical="center" wrapText="1"/>
    </xf>
    <xf numFmtId="0" fontId="4" fillId="2" borderId="12" xfId="5" applyFont="1" applyFill="1" applyBorder="1" applyAlignment="1" applyProtection="1">
      <alignment horizontal="center" vertical="center" wrapText="1"/>
    </xf>
    <xf numFmtId="0" fontId="3" fillId="2" borderId="24" xfId="5" applyFont="1" applyFill="1" applyBorder="1" applyAlignment="1" applyProtection="1">
      <alignment horizontal="center" vertical="center"/>
    </xf>
    <xf numFmtId="0" fontId="3" fillId="2" borderId="49" xfId="5" applyFont="1" applyFill="1" applyBorder="1" applyAlignment="1" applyProtection="1">
      <alignment horizontal="center" vertical="center" wrapText="1"/>
    </xf>
    <xf numFmtId="0" fontId="3" fillId="2" borderId="56" xfId="5" applyFont="1" applyFill="1" applyBorder="1" applyAlignment="1" applyProtection="1">
      <alignment horizontal="center" vertical="center" wrapText="1"/>
    </xf>
    <xf numFmtId="0" fontId="3" fillId="2" borderId="36" xfId="5" applyFont="1" applyFill="1" applyBorder="1" applyAlignment="1" applyProtection="1">
      <alignment horizontal="center" vertical="center" wrapText="1"/>
    </xf>
    <xf numFmtId="0" fontId="3" fillId="2" borderId="12" xfId="5" applyFont="1" applyFill="1" applyBorder="1" applyAlignment="1" applyProtection="1">
      <alignment horizontal="center" vertical="center" wrapText="1"/>
    </xf>
    <xf numFmtId="0" fontId="3" fillId="2" borderId="37" xfId="5" applyFont="1" applyFill="1" applyBorder="1" applyAlignment="1" applyProtection="1">
      <alignment horizontal="center" vertical="center" wrapText="1"/>
    </xf>
    <xf numFmtId="0" fontId="3" fillId="2" borderId="70" xfId="5" applyFont="1" applyFill="1" applyBorder="1" applyAlignment="1" applyProtection="1">
      <alignment horizontal="center" vertical="center" wrapText="1"/>
    </xf>
    <xf numFmtId="0" fontId="3" fillId="2" borderId="23" xfId="5" applyFont="1" applyFill="1" applyBorder="1" applyAlignment="1" applyProtection="1">
      <alignment horizontal="center" vertical="center" wrapText="1"/>
    </xf>
    <xf numFmtId="0" fontId="3" fillId="2" borderId="52" xfId="5" applyFont="1" applyFill="1" applyBorder="1" applyAlignment="1" applyProtection="1">
      <alignment horizontal="center" vertical="center" wrapText="1"/>
    </xf>
    <xf numFmtId="0" fontId="4" fillId="2" borderId="55" xfId="5" applyFont="1" applyFill="1" applyBorder="1" applyAlignment="1" applyProtection="1">
      <alignment horizontal="center" vertical="center" wrapText="1"/>
    </xf>
    <xf numFmtId="0" fontId="29" fillId="4" borderId="32" xfId="5" applyFont="1" applyFill="1" applyBorder="1" applyAlignment="1" applyProtection="1">
      <alignment vertical="center" wrapText="1"/>
    </xf>
    <xf numFmtId="1" fontId="29" fillId="4" borderId="32" xfId="5" applyNumberFormat="1" applyFont="1" applyFill="1" applyBorder="1" applyAlignment="1" applyProtection="1">
      <alignment vertical="center"/>
    </xf>
    <xf numFmtId="0" fontId="62" fillId="4" borderId="69" xfId="5" applyFont="1" applyFill="1" applyBorder="1" applyAlignment="1" applyProtection="1">
      <alignment horizontal="right" vertical="center"/>
    </xf>
    <xf numFmtId="4" fontId="62" fillId="4" borderId="32" xfId="5" applyNumberFormat="1" applyFont="1" applyFill="1" applyBorder="1" applyAlignment="1" applyProtection="1">
      <alignment horizontal="right" vertical="center"/>
    </xf>
    <xf numFmtId="4" fontId="62" fillId="4" borderId="79" xfId="5" applyNumberFormat="1" applyFont="1" applyFill="1" applyBorder="1" applyAlignment="1" applyProtection="1">
      <alignment horizontal="right" vertical="center"/>
    </xf>
    <xf numFmtId="4" fontId="62" fillId="4" borderId="69" xfId="5" applyNumberFormat="1" applyFont="1" applyFill="1" applyBorder="1" applyAlignment="1" applyProtection="1">
      <alignment horizontal="right" vertical="center"/>
    </xf>
    <xf numFmtId="167" fontId="62" fillId="4" borderId="32" xfId="1" applyNumberFormat="1" applyFont="1" applyFill="1" applyBorder="1" applyAlignment="1" applyProtection="1">
      <alignment horizontal="right" vertical="center"/>
    </xf>
    <xf numFmtId="166" fontId="63" fillId="4" borderId="13" xfId="1" applyFont="1" applyFill="1" applyBorder="1" applyAlignment="1" applyProtection="1">
      <alignment horizontal="right" vertical="center"/>
    </xf>
    <xf numFmtId="166" fontId="62" fillId="4" borderId="80" xfId="1" applyFont="1" applyFill="1" applyBorder="1" applyAlignment="1" applyProtection="1">
      <alignment horizontal="right" vertical="center"/>
    </xf>
    <xf numFmtId="166" fontId="62" fillId="4" borderId="79" xfId="1" applyFont="1" applyFill="1" applyBorder="1" applyAlignment="1" applyProtection="1">
      <alignment horizontal="right" vertical="center"/>
    </xf>
    <xf numFmtId="4" fontId="63" fillId="4" borderId="79" xfId="5" applyNumberFormat="1" applyFont="1" applyFill="1" applyBorder="1" applyAlignment="1" applyProtection="1">
      <alignment horizontal="right" vertical="center"/>
    </xf>
    <xf numFmtId="3" fontId="62" fillId="0" borderId="32" xfId="5" applyNumberFormat="1" applyFont="1" applyBorder="1" applyAlignment="1" applyProtection="1">
      <alignment horizontal="right" vertical="center"/>
    </xf>
    <xf numFmtId="166" fontId="63" fillId="4" borderId="79" xfId="1" applyFont="1" applyFill="1" applyBorder="1" applyAlignment="1" applyProtection="1">
      <alignment horizontal="right" vertical="center"/>
    </xf>
    <xf numFmtId="166" fontId="63" fillId="3" borderId="8" xfId="1" applyFont="1" applyFill="1" applyBorder="1" applyAlignment="1" applyProtection="1">
      <alignment horizontal="right" vertical="center"/>
    </xf>
    <xf numFmtId="166" fontId="63" fillId="4" borderId="8" xfId="1" applyFont="1" applyFill="1" applyBorder="1" applyAlignment="1" applyProtection="1">
      <alignment horizontal="right" vertical="center"/>
    </xf>
    <xf numFmtId="166" fontId="62" fillId="4" borderId="62" xfId="1" applyFont="1" applyFill="1" applyBorder="1" applyAlignment="1" applyProtection="1">
      <alignment horizontal="right" vertical="center"/>
    </xf>
    <xf numFmtId="0" fontId="44" fillId="0" borderId="8" xfId="5" applyFont="1" applyBorder="1" applyAlignment="1" applyProtection="1">
      <alignment vertical="center"/>
    </xf>
    <xf numFmtId="166" fontId="44" fillId="0" borderId="8" xfId="5" applyNumberFormat="1" applyFont="1" applyBorder="1" applyAlignment="1" applyProtection="1">
      <alignment vertical="center"/>
    </xf>
    <xf numFmtId="0" fontId="43" fillId="12" borderId="8" xfId="5" applyFont="1" applyFill="1" applyBorder="1" applyAlignment="1" applyProtection="1">
      <alignment vertical="center"/>
    </xf>
    <xf numFmtId="166" fontId="43" fillId="12" borderId="8" xfId="5" applyNumberFormat="1" applyFont="1" applyFill="1" applyBorder="1" applyAlignment="1" applyProtection="1">
      <alignment vertical="center"/>
    </xf>
    <xf numFmtId="4" fontId="62" fillId="4" borderId="7" xfId="5" applyNumberFormat="1" applyFont="1" applyFill="1" applyBorder="1" applyAlignment="1" applyProtection="1">
      <alignment horizontal="right" vertical="center"/>
    </xf>
    <xf numFmtId="167" fontId="62" fillId="4" borderId="8" xfId="1" applyNumberFormat="1" applyFont="1" applyFill="1" applyBorder="1" applyAlignment="1" applyProtection="1">
      <alignment horizontal="right" vertical="center"/>
    </xf>
    <xf numFmtId="166" fontId="63" fillId="4" borderId="9" xfId="1" applyFont="1" applyFill="1" applyBorder="1" applyAlignment="1" applyProtection="1">
      <alignment horizontal="right" vertical="center"/>
    </xf>
    <xf numFmtId="0" fontId="50" fillId="4" borderId="69" xfId="5" applyFont="1" applyFill="1" applyBorder="1" applyAlignment="1" applyProtection="1">
      <alignment horizontal="center" vertical="center" textRotation="90"/>
    </xf>
    <xf numFmtId="0" fontId="63" fillId="2" borderId="33" xfId="5" applyFont="1" applyFill="1" applyBorder="1" applyAlignment="1" applyProtection="1">
      <alignment vertical="center"/>
    </xf>
    <xf numFmtId="0" fontId="43" fillId="2" borderId="25" xfId="5" applyFont="1" applyFill="1" applyBorder="1" applyAlignment="1" applyProtection="1">
      <alignment horizontal="center" vertical="center"/>
    </xf>
    <xf numFmtId="4" fontId="43" fillId="2" borderId="42" xfId="5" applyNumberFormat="1" applyFont="1" applyFill="1" applyBorder="1" applyAlignment="1" applyProtection="1">
      <alignment horizontal="right" vertical="center"/>
    </xf>
    <xf numFmtId="4" fontId="43" fillId="2" borderId="57" xfId="5" applyNumberFormat="1" applyFont="1" applyFill="1" applyBorder="1" applyAlignment="1" applyProtection="1">
      <alignment horizontal="right" vertical="center"/>
    </xf>
    <xf numFmtId="4" fontId="43" fillId="2" borderId="33" xfId="5" applyNumberFormat="1" applyFont="1" applyFill="1" applyBorder="1" applyAlignment="1" applyProtection="1">
      <alignment horizontal="right" vertical="center"/>
    </xf>
    <xf numFmtId="3" fontId="43" fillId="2" borderId="42" xfId="5" applyNumberFormat="1" applyFont="1" applyFill="1" applyBorder="1" applyAlignment="1" applyProtection="1">
      <alignment horizontal="right" vertical="center"/>
    </xf>
    <xf numFmtId="4" fontId="43" fillId="2" borderId="28" xfId="5" applyNumberFormat="1" applyFont="1" applyFill="1" applyBorder="1" applyAlignment="1" applyProtection="1">
      <alignment horizontal="right" vertical="center"/>
    </xf>
    <xf numFmtId="166" fontId="43" fillId="2" borderId="50" xfId="1" applyFont="1" applyFill="1" applyBorder="1" applyAlignment="1" applyProtection="1">
      <alignment horizontal="right" vertical="center"/>
    </xf>
    <xf numFmtId="166" fontId="43" fillId="2" borderId="42" xfId="1" applyFont="1" applyFill="1" applyBorder="1" applyAlignment="1" applyProtection="1">
      <alignment horizontal="right" vertical="center"/>
    </xf>
    <xf numFmtId="166" fontId="43" fillId="2" borderId="57" xfId="1" applyFont="1" applyFill="1" applyBorder="1" applyAlignment="1" applyProtection="1">
      <alignment horizontal="right" vertical="center"/>
    </xf>
    <xf numFmtId="4" fontId="43" fillId="2" borderId="20" xfId="5" applyNumberFormat="1" applyFont="1" applyFill="1" applyBorder="1" applyAlignment="1" applyProtection="1">
      <alignment horizontal="right" vertical="center"/>
    </xf>
    <xf numFmtId="167" fontId="43" fillId="2" borderId="21" xfId="1" applyNumberFormat="1" applyFont="1" applyFill="1" applyBorder="1" applyAlignment="1" applyProtection="1">
      <alignment horizontal="right" vertical="center"/>
    </xf>
    <xf numFmtId="166" fontId="43" fillId="2" borderId="21" xfId="1" applyFont="1" applyFill="1" applyBorder="1" applyAlignment="1" applyProtection="1">
      <alignment horizontal="right" vertical="center"/>
    </xf>
    <xf numFmtId="166" fontId="43" fillId="2" borderId="26" xfId="1" applyFont="1" applyFill="1" applyBorder="1" applyAlignment="1" applyProtection="1">
      <alignment horizontal="right" vertical="center"/>
    </xf>
    <xf numFmtId="166" fontId="43" fillId="2" borderId="22" xfId="1" applyFont="1" applyFill="1" applyBorder="1" applyAlignment="1" applyProtection="1">
      <alignment horizontal="right" vertical="center"/>
    </xf>
    <xf numFmtId="166" fontId="43" fillId="2" borderId="28" xfId="1" applyFont="1" applyFill="1" applyBorder="1" applyAlignment="1" applyProtection="1">
      <alignment horizontal="right" vertical="center"/>
    </xf>
    <xf numFmtId="0" fontId="0" fillId="16" borderId="8" xfId="0" applyFont="1" applyFill="1" applyBorder="1" applyAlignment="1">
      <alignment horizontal="center" vertical="center" wrapText="1"/>
    </xf>
    <xf numFmtId="0" fontId="29" fillId="4" borderId="76" xfId="5" applyFont="1" applyFill="1" applyBorder="1" applyAlignment="1" applyProtection="1">
      <alignment vertical="center"/>
    </xf>
    <xf numFmtId="4" fontId="29" fillId="4" borderId="76" xfId="5" applyNumberFormat="1" applyFont="1" applyFill="1" applyBorder="1" applyAlignment="1" applyProtection="1">
      <alignment vertical="center"/>
    </xf>
    <xf numFmtId="4" fontId="29" fillId="4" borderId="27" xfId="5" applyNumberFormat="1" applyFont="1" applyFill="1" applyBorder="1" applyAlignment="1" applyProtection="1">
      <alignment vertical="center"/>
    </xf>
    <xf numFmtId="168" fontId="29" fillId="4" borderId="76" xfId="5" applyNumberFormat="1" applyFont="1" applyFill="1" applyBorder="1" applyAlignment="1" applyProtection="1">
      <alignment vertical="center"/>
    </xf>
    <xf numFmtId="0" fontId="29" fillId="4" borderId="27" xfId="5" applyFont="1" applyFill="1" applyBorder="1" applyAlignment="1" applyProtection="1">
      <alignment vertical="center"/>
    </xf>
    <xf numFmtId="166" fontId="44" fillId="4" borderId="43" xfId="1" applyFont="1" applyFill="1" applyBorder="1" applyAlignment="1" applyProtection="1">
      <alignment vertical="center"/>
    </xf>
    <xf numFmtId="0" fontId="3" fillId="0" borderId="8" xfId="5" applyFont="1" applyBorder="1" applyAlignment="1" applyProtection="1">
      <alignment vertical="center" wrapText="1"/>
    </xf>
    <xf numFmtId="1" fontId="3" fillId="0" borderId="8" xfId="5" applyNumberFormat="1" applyFont="1" applyBorder="1" applyAlignment="1" applyProtection="1">
      <alignment vertical="center"/>
    </xf>
    <xf numFmtId="167" fontId="3" fillId="0" borderId="8" xfId="5" applyNumberFormat="1" applyFont="1" applyBorder="1" applyAlignment="1" applyProtection="1">
      <alignment vertical="center"/>
    </xf>
    <xf numFmtId="166" fontId="3" fillId="0" borderId="8" xfId="5" applyNumberFormat="1" applyFont="1" applyBorder="1" applyAlignment="1" applyProtection="1">
      <alignment vertical="center"/>
    </xf>
    <xf numFmtId="3" fontId="3" fillId="0" borderId="8" xfId="5" applyNumberFormat="1" applyFont="1" applyBorder="1" applyAlignment="1" applyProtection="1">
      <alignment vertical="center"/>
    </xf>
    <xf numFmtId="0" fontId="3" fillId="17" borderId="8" xfId="5" applyFont="1" applyFill="1" applyBorder="1" applyAlignment="1" applyProtection="1">
      <alignment vertical="center"/>
    </xf>
    <xf numFmtId="166" fontId="43" fillId="4" borderId="43" xfId="1" applyFont="1" applyFill="1" applyBorder="1" applyAlignment="1" applyProtection="1">
      <alignment vertical="center"/>
    </xf>
    <xf numFmtId="3" fontId="29" fillId="0" borderId="8" xfId="5" applyNumberFormat="1" applyFont="1" applyBorder="1" applyAlignment="1" applyProtection="1">
      <alignment vertical="center"/>
    </xf>
    <xf numFmtId="166" fontId="29" fillId="0" borderId="8" xfId="5" applyNumberFormat="1" applyFont="1" applyBorder="1" applyAlignment="1" applyProtection="1">
      <alignment vertical="center"/>
    </xf>
    <xf numFmtId="167" fontId="29" fillId="0" borderId="8" xfId="5" applyNumberFormat="1" applyFont="1" applyBorder="1" applyAlignment="1" applyProtection="1">
      <alignment vertical="center"/>
    </xf>
    <xf numFmtId="4" fontId="29" fillId="0" borderId="8" xfId="5" applyNumberFormat="1" applyFont="1" applyBorder="1" applyAlignment="1" applyProtection="1">
      <alignment vertical="center"/>
    </xf>
    <xf numFmtId="10" fontId="50" fillId="0" borderId="8" xfId="5" applyNumberFormat="1" applyFont="1" applyBorder="1" applyProtection="1"/>
    <xf numFmtId="9" fontId="50" fillId="0" borderId="8" xfId="5" applyNumberFormat="1" applyFont="1" applyBorder="1" applyProtection="1"/>
    <xf numFmtId="0" fontId="19" fillId="0" borderId="8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50" fillId="0" borderId="8" xfId="5" applyFont="1" applyBorder="1" applyAlignment="1" applyProtection="1">
      <alignment wrapText="1"/>
    </xf>
    <xf numFmtId="4" fontId="29" fillId="0" borderId="8" xfId="5" applyNumberFormat="1" applyFont="1" applyBorder="1" applyProtection="1"/>
    <xf numFmtId="0" fontId="50" fillId="0" borderId="8" xfId="5" applyFont="1" applyBorder="1" applyProtection="1"/>
    <xf numFmtId="0" fontId="29" fillId="0" borderId="8" xfId="5" applyFont="1" applyBorder="1" applyProtection="1"/>
    <xf numFmtId="4" fontId="50" fillId="0" borderId="8" xfId="5" applyNumberFormat="1" applyFont="1" applyBorder="1" applyProtection="1"/>
    <xf numFmtId="0" fontId="65" fillId="4" borderId="14" xfId="5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16" fillId="5" borderId="16" xfId="0" applyFont="1" applyFill="1" applyBorder="1" applyAlignment="1">
      <alignment horizontal="left" vertical="center" wrapText="1"/>
    </xf>
    <xf numFmtId="0" fontId="18" fillId="4" borderId="6" xfId="5" applyFont="1" applyFill="1" applyBorder="1" applyAlignment="1" applyProtection="1">
      <alignment horizontal="center" vertical="center"/>
    </xf>
    <xf numFmtId="4" fontId="19" fillId="4" borderId="26" xfId="5" applyNumberFormat="1" applyFont="1" applyFill="1" applyBorder="1" applyAlignment="1" applyProtection="1">
      <alignment horizontal="center" vertical="center"/>
    </xf>
    <xf numFmtId="0" fontId="24" fillId="3" borderId="29" xfId="5" applyFont="1" applyFill="1" applyBorder="1" applyAlignment="1" applyProtection="1">
      <alignment horizontal="left" vertical="center"/>
    </xf>
    <xf numFmtId="0" fontId="25" fillId="0" borderId="31" xfId="0" applyFont="1" applyBorder="1" applyAlignment="1">
      <alignment horizontal="center" vertical="center"/>
    </xf>
    <xf numFmtId="0" fontId="24" fillId="3" borderId="33" xfId="5" applyFont="1" applyFill="1" applyBorder="1" applyAlignment="1" applyProtection="1">
      <alignment horizontal="left" vertical="center"/>
    </xf>
    <xf numFmtId="0" fontId="17" fillId="0" borderId="2" xfId="5" applyFont="1" applyBorder="1" applyAlignment="1" applyProtection="1">
      <alignment horizontal="center"/>
    </xf>
    <xf numFmtId="4" fontId="19" fillId="4" borderId="26" xfId="0" applyNumberFormat="1" applyFont="1" applyFill="1" applyBorder="1" applyAlignment="1">
      <alignment horizontal="center" vertical="center"/>
    </xf>
    <xf numFmtId="0" fontId="24" fillId="3" borderId="33" xfId="4" applyFont="1" applyFill="1" applyBorder="1" applyAlignment="1">
      <alignment horizontal="left" vertical="center"/>
    </xf>
    <xf numFmtId="0" fontId="18" fillId="4" borderId="35" xfId="5" applyFont="1" applyFill="1" applyBorder="1" applyAlignment="1" applyProtection="1">
      <alignment horizontal="center" vertical="center"/>
    </xf>
    <xf numFmtId="0" fontId="13" fillId="0" borderId="38" xfId="5" applyFont="1" applyBorder="1" applyAlignment="1" applyProtection="1">
      <alignment horizontal="left" vertical="center" wrapText="1"/>
    </xf>
    <xf numFmtId="0" fontId="13" fillId="0" borderId="39" xfId="5" applyFont="1" applyBorder="1" applyAlignment="1" applyProtection="1">
      <alignment vertical="center" wrapText="1"/>
    </xf>
    <xf numFmtId="0" fontId="13" fillId="0" borderId="14" xfId="5" applyFont="1" applyBorder="1" applyAlignment="1" applyProtection="1">
      <alignment vertical="center" wrapText="1"/>
    </xf>
    <xf numFmtId="0" fontId="13" fillId="0" borderId="21" xfId="5" applyFont="1" applyBorder="1" applyAlignment="1" applyProtection="1">
      <alignment vertical="center" wrapText="1"/>
    </xf>
    <xf numFmtId="0" fontId="13" fillId="0" borderId="22" xfId="5" applyFont="1" applyBorder="1" applyAlignment="1" applyProtection="1">
      <alignment vertical="center" wrapText="1"/>
    </xf>
    <xf numFmtId="0" fontId="13" fillId="0" borderId="40" xfId="5" applyFont="1" applyBorder="1" applyAlignment="1" applyProtection="1">
      <alignment vertical="center" wrapText="1"/>
    </xf>
    <xf numFmtId="0" fontId="13" fillId="0" borderId="41" xfId="5" applyFont="1" applyBorder="1" applyAlignment="1" applyProtection="1">
      <alignment vertical="center" wrapText="1"/>
    </xf>
    <xf numFmtId="0" fontId="13" fillId="0" borderId="40" xfId="5" applyFont="1" applyBorder="1" applyAlignment="1" applyProtection="1">
      <alignment horizontal="left" vertical="center" wrapText="1"/>
    </xf>
    <xf numFmtId="0" fontId="13" fillId="0" borderId="41" xfId="5" applyFont="1" applyBorder="1" applyAlignment="1" applyProtection="1">
      <alignment horizontal="left" vertical="center" wrapText="1"/>
    </xf>
    <xf numFmtId="0" fontId="13" fillId="0" borderId="8" xfId="5" applyFont="1" applyBorder="1" applyAlignment="1" applyProtection="1">
      <alignment vertical="center" wrapText="1"/>
    </xf>
    <xf numFmtId="0" fontId="13" fillId="0" borderId="9" xfId="5" applyFont="1" applyBorder="1" applyAlignment="1" applyProtection="1">
      <alignment vertical="center" wrapText="1"/>
    </xf>
    <xf numFmtId="0" fontId="13" fillId="0" borderId="38" xfId="5" applyFont="1" applyBorder="1" applyAlignment="1" applyProtection="1">
      <alignment horizontal="left" vertical="center"/>
    </xf>
    <xf numFmtId="0" fontId="13" fillId="0" borderId="14" xfId="5" applyFont="1" applyBorder="1" applyAlignment="1" applyProtection="1">
      <alignment horizontal="left" vertical="center" wrapText="1"/>
    </xf>
    <xf numFmtId="0" fontId="13" fillId="0" borderId="42" xfId="5" applyFont="1" applyBorder="1" applyAlignment="1" applyProtection="1">
      <alignment vertical="center" wrapText="1"/>
    </xf>
    <xf numFmtId="0" fontId="13" fillId="0" borderId="30" xfId="5" applyFont="1" applyBorder="1" applyAlignment="1" applyProtection="1">
      <alignment vertical="center" wrapText="1"/>
    </xf>
    <xf numFmtId="0" fontId="13" fillId="0" borderId="22" xfId="5" applyFont="1" applyBorder="1" applyAlignment="1" applyProtection="1">
      <alignment horizontal="left" vertical="center" wrapText="1"/>
    </xf>
    <xf numFmtId="0" fontId="13" fillId="0" borderId="37" xfId="5" applyFont="1" applyBorder="1" applyAlignment="1" applyProtection="1">
      <alignment horizontal="left" vertical="center" wrapText="1"/>
    </xf>
    <xf numFmtId="0" fontId="13" fillId="0" borderId="21" xfId="5" applyFont="1" applyBorder="1" applyAlignment="1" applyProtection="1">
      <alignment horizontal="left" vertical="center" wrapText="1"/>
    </xf>
    <xf numFmtId="0" fontId="13" fillId="0" borderId="8" xfId="5" applyFont="1" applyBorder="1" applyAlignment="1" applyProtection="1">
      <alignment horizontal="left" vertical="center" wrapText="1"/>
    </xf>
    <xf numFmtId="0" fontId="28" fillId="8" borderId="43" xfId="5" applyFont="1" applyFill="1" applyBorder="1" applyAlignment="1" applyProtection="1">
      <alignment horizontal="center" vertical="center"/>
    </xf>
    <xf numFmtId="0" fontId="26" fillId="0" borderId="6" xfId="0" applyFont="1" applyBorder="1" applyAlignment="1">
      <alignment horizontal="left" vertical="center" wrapText="1"/>
    </xf>
    <xf numFmtId="0" fontId="18" fillId="4" borderId="44" xfId="5" applyFont="1" applyFill="1" applyBorder="1" applyAlignment="1" applyProtection="1">
      <alignment horizontal="center" vertical="center"/>
    </xf>
    <xf numFmtId="0" fontId="18" fillId="4" borderId="45" xfId="5" applyFont="1" applyFill="1" applyBorder="1" applyAlignment="1" applyProtection="1">
      <alignment horizontal="center" vertical="center"/>
    </xf>
    <xf numFmtId="0" fontId="19" fillId="7" borderId="40" xfId="5" applyFont="1" applyFill="1" applyBorder="1" applyAlignment="1" applyProtection="1">
      <alignment horizontal="center" vertical="center"/>
    </xf>
    <xf numFmtId="0" fontId="13" fillId="0" borderId="25" xfId="5" applyFont="1" applyBorder="1" applyAlignment="1" applyProtection="1">
      <alignment vertical="center" wrapText="1"/>
    </xf>
    <xf numFmtId="0" fontId="13" fillId="0" borderId="42" xfId="5" applyFont="1" applyBorder="1" applyAlignment="1" applyProtection="1">
      <alignment horizontal="center" vertical="center" wrapText="1"/>
    </xf>
    <xf numFmtId="0" fontId="13" fillId="0" borderId="38" xfId="5" applyFont="1" applyBorder="1" applyAlignment="1" applyProtection="1">
      <alignment vertical="center" wrapText="1"/>
    </xf>
    <xf numFmtId="0" fontId="13" fillId="0" borderId="40" xfId="5" applyFont="1" applyBorder="1" applyAlignment="1" applyProtection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13" fillId="0" borderId="24" xfId="5" applyFont="1" applyBorder="1" applyAlignment="1" applyProtection="1">
      <alignment vertical="center" wrapText="1"/>
    </xf>
    <xf numFmtId="0" fontId="13" fillId="0" borderId="49" xfId="5" applyFont="1" applyBorder="1" applyAlignment="1" applyProtection="1">
      <alignment horizontal="center" vertical="center" wrapText="1"/>
    </xf>
    <xf numFmtId="0" fontId="13" fillId="0" borderId="53" xfId="5" applyFont="1" applyBorder="1" applyAlignment="1" applyProtection="1">
      <alignment vertical="center" wrapText="1"/>
    </xf>
    <xf numFmtId="0" fontId="13" fillId="0" borderId="23" xfId="5" applyFont="1" applyBorder="1" applyAlignment="1" applyProtection="1">
      <alignment horizontal="left" vertical="center" wrapText="1"/>
    </xf>
    <xf numFmtId="0" fontId="13" fillId="0" borderId="52" xfId="5" applyFont="1" applyBorder="1" applyAlignment="1" applyProtection="1">
      <alignment horizontal="center" vertical="center" wrapText="1"/>
    </xf>
    <xf numFmtId="0" fontId="13" fillId="0" borderId="52" xfId="5" applyFont="1" applyBorder="1" applyAlignment="1" applyProtection="1">
      <alignment horizontal="left" vertical="center" wrapText="1"/>
    </xf>
    <xf numFmtId="0" fontId="13" fillId="0" borderId="54" xfId="5" applyFont="1" applyBorder="1" applyAlignment="1" applyProtection="1">
      <alignment horizontal="left" vertical="center" wrapText="1"/>
    </xf>
    <xf numFmtId="0" fontId="13" fillId="0" borderId="24" xfId="5" applyFont="1" applyBorder="1" applyAlignment="1" applyProtection="1">
      <alignment horizontal="left" vertical="center" wrapText="1"/>
    </xf>
    <xf numFmtId="0" fontId="13" fillId="0" borderId="49" xfId="5" applyFont="1" applyBorder="1" applyAlignment="1" applyProtection="1">
      <alignment horizontal="left" vertical="center" wrapText="1"/>
    </xf>
    <xf numFmtId="0" fontId="13" fillId="0" borderId="53" xfId="5" applyFont="1" applyBorder="1" applyAlignment="1" applyProtection="1">
      <alignment horizontal="left" vertical="center" wrapText="1"/>
    </xf>
    <xf numFmtId="0" fontId="25" fillId="8" borderId="45" xfId="5" applyFont="1" applyFill="1" applyBorder="1" applyAlignment="1" applyProtection="1">
      <alignment horizontal="center" vertical="center"/>
    </xf>
    <xf numFmtId="0" fontId="25" fillId="3" borderId="11" xfId="5" applyFont="1" applyFill="1" applyBorder="1" applyAlignment="1" applyProtection="1">
      <alignment horizontal="left" vertical="center" wrapText="1"/>
    </xf>
    <xf numFmtId="167" fontId="29" fillId="0" borderId="49" xfId="5" applyNumberFormat="1" applyFont="1" applyBorder="1" applyAlignment="1" applyProtection="1">
      <alignment vertical="center"/>
    </xf>
    <xf numFmtId="0" fontId="13" fillId="4" borderId="40" xfId="5" applyFont="1" applyFill="1" applyBorder="1" applyAlignment="1" applyProtection="1">
      <alignment horizontal="center" vertical="center" wrapText="1"/>
    </xf>
    <xf numFmtId="0" fontId="18" fillId="4" borderId="44" xfId="0" applyFont="1" applyFill="1" applyBorder="1" applyAlignment="1">
      <alignment horizontal="center" vertical="center"/>
    </xf>
    <xf numFmtId="0" fontId="18" fillId="4" borderId="45" xfId="0" applyFont="1" applyFill="1" applyBorder="1" applyAlignment="1">
      <alignment horizontal="center" vertical="center"/>
    </xf>
    <xf numFmtId="0" fontId="19" fillId="9" borderId="40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65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10" borderId="6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26" fillId="0" borderId="56" xfId="0" applyFont="1" applyBorder="1" applyAlignment="1">
      <alignment horizontal="center" vertical="center" wrapText="1"/>
    </xf>
    <xf numFmtId="0" fontId="31" fillId="2" borderId="6" xfId="5" applyFont="1" applyFill="1" applyBorder="1" applyAlignment="1" applyProtection="1">
      <alignment horizontal="center" vertical="center"/>
    </xf>
    <xf numFmtId="0" fontId="20" fillId="2" borderId="23" xfId="5" applyFont="1" applyFill="1" applyBorder="1" applyAlignment="1" applyProtection="1">
      <alignment horizontal="center" vertical="center" wrapText="1"/>
    </xf>
    <xf numFmtId="0" fontId="19" fillId="2" borderId="39" xfId="5" applyFont="1" applyFill="1" applyBorder="1" applyAlignment="1" applyProtection="1">
      <alignment horizontal="center" vertical="center" wrapText="1"/>
    </xf>
    <xf numFmtId="0" fontId="19" fillId="2" borderId="45" xfId="5" applyFont="1" applyFill="1" applyBorder="1" applyAlignment="1" applyProtection="1">
      <alignment horizontal="center" vertical="center"/>
    </xf>
    <xf numFmtId="0" fontId="19" fillId="2" borderId="67" xfId="5" applyFont="1" applyFill="1" applyBorder="1" applyAlignment="1" applyProtection="1">
      <alignment horizontal="center" vertical="center" wrapText="1"/>
    </xf>
    <xf numFmtId="0" fontId="32" fillId="2" borderId="51" xfId="5" applyFont="1" applyFill="1" applyBorder="1" applyAlignment="1" applyProtection="1">
      <alignment horizontal="center" vertical="center" wrapText="1"/>
    </xf>
    <xf numFmtId="0" fontId="32" fillId="2" borderId="52" xfId="5" applyFont="1" applyFill="1" applyBorder="1" applyAlignment="1" applyProtection="1">
      <alignment horizontal="center" vertical="center" wrapText="1"/>
    </xf>
    <xf numFmtId="0" fontId="32" fillId="2" borderId="55" xfId="5" applyFont="1" applyFill="1" applyBorder="1" applyAlignment="1" applyProtection="1">
      <alignment horizontal="center" vertical="center" wrapText="1"/>
    </xf>
    <xf numFmtId="0" fontId="32" fillId="2" borderId="65" xfId="5" applyFont="1" applyFill="1" applyBorder="1" applyAlignment="1" applyProtection="1">
      <alignment horizontal="center" vertical="center" wrapText="1"/>
    </xf>
    <xf numFmtId="0" fontId="32" fillId="2" borderId="54" xfId="5" applyFont="1" applyFill="1" applyBorder="1" applyAlignment="1" applyProtection="1">
      <alignment horizontal="center" vertical="center" wrapText="1"/>
    </xf>
    <xf numFmtId="0" fontId="36" fillId="2" borderId="29" xfId="0" applyFont="1" applyFill="1" applyBorder="1" applyAlignment="1">
      <alignment horizontal="center" vertical="center"/>
    </xf>
    <xf numFmtId="0" fontId="33" fillId="12" borderId="8" xfId="5" applyFont="1" applyFill="1" applyBorder="1" applyAlignment="1" applyProtection="1">
      <alignment horizontal="center"/>
    </xf>
    <xf numFmtId="0" fontId="19" fillId="11" borderId="23" xfId="0" applyFont="1" applyFill="1" applyBorder="1" applyAlignment="1">
      <alignment horizontal="center" vertical="center" wrapText="1"/>
    </xf>
    <xf numFmtId="0" fontId="19" fillId="11" borderId="14" xfId="0" applyFont="1" applyFill="1" applyBorder="1" applyAlignment="1">
      <alignment horizontal="center" vertical="center" wrapText="1"/>
    </xf>
    <xf numFmtId="0" fontId="19" fillId="11" borderId="43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/>
    </xf>
    <xf numFmtId="0" fontId="19" fillId="11" borderId="3" xfId="0" applyFont="1" applyFill="1" applyBorder="1" applyAlignment="1">
      <alignment horizontal="center" vertical="center"/>
    </xf>
    <xf numFmtId="0" fontId="19" fillId="11" borderId="52" xfId="0" applyFont="1" applyFill="1" applyBorder="1" applyAlignment="1">
      <alignment horizontal="center" vertical="center" wrapText="1"/>
    </xf>
    <xf numFmtId="0" fontId="19" fillId="11" borderId="54" xfId="0" applyFont="1" applyFill="1" applyBorder="1" applyAlignment="1">
      <alignment horizontal="center" vertical="center" wrapText="1"/>
    </xf>
    <xf numFmtId="0" fontId="19" fillId="11" borderId="19" xfId="0" applyFont="1" applyFill="1" applyBorder="1" applyAlignment="1">
      <alignment horizontal="center" vertical="center" wrapText="1"/>
    </xf>
    <xf numFmtId="2" fontId="1" fillId="4" borderId="8" xfId="5" applyNumberFormat="1" applyFont="1" applyFill="1" applyBorder="1" applyAlignment="1" applyProtection="1">
      <alignment horizontal="center" vertical="center" wrapText="1"/>
    </xf>
    <xf numFmtId="0" fontId="37" fillId="4" borderId="0" xfId="5" applyFont="1" applyFill="1" applyBorder="1" applyAlignment="1" applyProtection="1">
      <alignment horizontal="center" vertical="center"/>
    </xf>
    <xf numFmtId="0" fontId="38" fillId="0" borderId="0" xfId="5" applyFont="1" applyBorder="1" applyAlignment="1" applyProtection="1">
      <alignment horizontal="center" vertical="center"/>
    </xf>
    <xf numFmtId="0" fontId="19" fillId="4" borderId="23" xfId="5" applyFont="1" applyFill="1" applyBorder="1" applyAlignment="1" applyProtection="1">
      <alignment horizontal="center" vertical="center"/>
    </xf>
    <xf numFmtId="0" fontId="19" fillId="4" borderId="8" xfId="5" applyFont="1" applyFill="1" applyBorder="1" applyAlignment="1" applyProtection="1">
      <alignment horizontal="center" vertical="center"/>
    </xf>
    <xf numFmtId="0" fontId="20" fillId="4" borderId="8" xfId="5" applyFont="1" applyFill="1" applyBorder="1" applyAlignment="1" applyProtection="1">
      <alignment horizontal="center" vertical="center" wrapText="1"/>
    </xf>
    <xf numFmtId="0" fontId="21" fillId="4" borderId="8" xfId="5" applyFont="1" applyFill="1" applyBorder="1" applyAlignment="1" applyProtection="1">
      <alignment horizontal="center" vertical="center" wrapText="1"/>
    </xf>
    <xf numFmtId="0" fontId="39" fillId="4" borderId="8" xfId="5" applyFont="1" applyFill="1" applyBorder="1" applyAlignment="1" applyProtection="1">
      <alignment horizontal="center" vertical="center" wrapText="1"/>
    </xf>
    <xf numFmtId="0" fontId="42" fillId="0" borderId="4" xfId="5" applyFont="1" applyBorder="1" applyAlignment="1" applyProtection="1">
      <alignment horizontal="center" vertical="center" wrapText="1"/>
    </xf>
    <xf numFmtId="0" fontId="47" fillId="0" borderId="55" xfId="5" applyFont="1" applyBorder="1" applyAlignment="1" applyProtection="1">
      <alignment horizontal="center" vertical="center" wrapText="1"/>
    </xf>
    <xf numFmtId="0" fontId="11" fillId="4" borderId="7" xfId="5" applyFont="1" applyFill="1" applyBorder="1" applyAlignment="1" applyProtection="1">
      <alignment horizontal="center" vertical="center" textRotation="90"/>
    </xf>
    <xf numFmtId="0" fontId="46" fillId="4" borderId="25" xfId="5" applyFont="1" applyFill="1" applyBorder="1" applyAlignment="1" applyProtection="1">
      <alignment horizontal="center" vertical="center"/>
    </xf>
    <xf numFmtId="0" fontId="46" fillId="4" borderId="7" xfId="5" applyFont="1" applyFill="1" applyBorder="1" applyAlignment="1" applyProtection="1">
      <alignment horizontal="center" vertical="center"/>
    </xf>
    <xf numFmtId="0" fontId="29" fillId="0" borderId="8" xfId="5" applyFont="1" applyBorder="1" applyAlignment="1" applyProtection="1">
      <alignment horizontal="left" vertical="center" wrapText="1"/>
    </xf>
    <xf numFmtId="0" fontId="29" fillId="0" borderId="8" xfId="5" applyFont="1" applyBorder="1" applyAlignment="1" applyProtection="1">
      <alignment horizontal="left" vertical="center"/>
    </xf>
    <xf numFmtId="0" fontId="29" fillId="0" borderId="21" xfId="5" applyFont="1" applyBorder="1" applyAlignment="1" applyProtection="1">
      <alignment horizontal="left"/>
    </xf>
    <xf numFmtId="0" fontId="5" fillId="4" borderId="6" xfId="5" applyFont="1" applyFill="1" applyBorder="1" applyAlignment="1" applyProtection="1">
      <alignment horizontal="center" vertical="center" wrapText="1"/>
    </xf>
    <xf numFmtId="0" fontId="5" fillId="4" borderId="6" xfId="5" applyFont="1" applyFill="1" applyBorder="1" applyAlignment="1" applyProtection="1">
      <alignment horizontal="center" vertical="center"/>
    </xf>
    <xf numFmtId="0" fontId="28" fillId="0" borderId="17" xfId="5" applyFont="1" applyBorder="1" applyAlignment="1" applyProtection="1">
      <alignment horizontal="left" vertical="center" wrapText="1"/>
    </xf>
    <xf numFmtId="0" fontId="32" fillId="4" borderId="43" xfId="5" applyFont="1" applyFill="1" applyBorder="1" applyAlignment="1" applyProtection="1">
      <alignment horizontal="center" vertical="center" wrapText="1"/>
    </xf>
    <xf numFmtId="0" fontId="52" fillId="14" borderId="43" xfId="5" applyFont="1" applyFill="1" applyBorder="1" applyAlignment="1" applyProtection="1">
      <alignment horizontal="center" vertical="center" wrapText="1"/>
    </xf>
    <xf numFmtId="0" fontId="52" fillId="3" borderId="43" xfId="5" applyFont="1" applyFill="1" applyBorder="1" applyAlignment="1" applyProtection="1">
      <alignment horizontal="center" vertical="center" wrapText="1"/>
    </xf>
    <xf numFmtId="0" fontId="28" fillId="4" borderId="63" xfId="5" applyFont="1" applyFill="1" applyBorder="1" applyAlignment="1" applyProtection="1">
      <alignment horizontal="left" vertical="center" wrapText="1"/>
    </xf>
    <xf numFmtId="0" fontId="28" fillId="4" borderId="67" xfId="5" applyFont="1" applyFill="1" applyBorder="1" applyAlignment="1" applyProtection="1">
      <alignment horizontal="center" vertical="center"/>
    </xf>
    <xf numFmtId="0" fontId="9" fillId="0" borderId="8" xfId="5" applyFont="1" applyBorder="1" applyAlignment="1" applyProtection="1">
      <alignment horizontal="center" vertical="center"/>
    </xf>
    <xf numFmtId="4" fontId="9" fillId="0" borderId="9" xfId="5" applyNumberFormat="1" applyFont="1" applyBorder="1" applyAlignment="1" applyProtection="1">
      <alignment horizontal="center" vertical="center" wrapText="1"/>
    </xf>
    <xf numFmtId="0" fontId="13" fillId="0" borderId="15" xfId="5" applyFont="1" applyBorder="1" applyAlignment="1" applyProtection="1">
      <alignment horizontal="center" vertical="center"/>
    </xf>
    <xf numFmtId="0" fontId="13" fillId="0" borderId="8" xfId="5" applyFont="1" applyBorder="1" applyAlignment="1" applyProtection="1">
      <alignment horizontal="left" vertical="center" wrapText="1"/>
      <protection locked="0"/>
    </xf>
    <xf numFmtId="0" fontId="28" fillId="2" borderId="10" xfId="5" applyFont="1" applyFill="1" applyBorder="1" applyAlignment="1" applyProtection="1">
      <alignment horizontal="left" vertical="center"/>
    </xf>
    <xf numFmtId="0" fontId="13" fillId="0" borderId="37" xfId="5" applyFont="1" applyBorder="1" applyAlignment="1" applyProtection="1">
      <alignment horizontal="left" vertical="center"/>
    </xf>
    <xf numFmtId="9" fontId="28" fillId="2" borderId="29" xfId="3" applyFont="1" applyFill="1" applyBorder="1" applyAlignment="1" applyProtection="1">
      <alignment horizontal="left" vertical="center"/>
    </xf>
    <xf numFmtId="0" fontId="28" fillId="4" borderId="35" xfId="5" applyFont="1" applyFill="1" applyBorder="1" applyAlignment="1" applyProtection="1">
      <alignment horizontal="center" vertical="center"/>
    </xf>
    <xf numFmtId="0" fontId="13" fillId="0" borderId="7" xfId="5" applyFont="1" applyBorder="1" applyAlignment="1" applyProtection="1">
      <alignment horizontal="center" vertical="center"/>
    </xf>
    <xf numFmtId="0" fontId="13" fillId="0" borderId="8" xfId="5" applyFont="1" applyBorder="1" applyAlignment="1" applyProtection="1">
      <alignment horizontal="center" vertical="center"/>
    </xf>
    <xf numFmtId="4" fontId="13" fillId="0" borderId="9" xfId="5" applyNumberFormat="1" applyFont="1" applyBorder="1" applyAlignment="1" applyProtection="1">
      <alignment horizontal="center" vertical="center"/>
    </xf>
    <xf numFmtId="0" fontId="13" fillId="0" borderId="7" xfId="5" applyFont="1" applyBorder="1" applyAlignment="1" applyProtection="1">
      <alignment horizontal="left" vertical="center"/>
    </xf>
    <xf numFmtId="0" fontId="13" fillId="0" borderId="7" xfId="5" applyFont="1" applyBorder="1" applyAlignment="1" applyProtection="1">
      <alignment horizontal="left" vertical="center" wrapText="1"/>
    </xf>
    <xf numFmtId="0" fontId="13" fillId="0" borderId="15" xfId="5" applyFont="1" applyBorder="1" applyAlignment="1" applyProtection="1">
      <alignment horizontal="left" vertical="center"/>
    </xf>
    <xf numFmtId="0" fontId="28" fillId="2" borderId="38" xfId="5" applyFont="1" applyFill="1" applyBorder="1" applyAlignment="1" applyProtection="1">
      <alignment horizontal="left" vertical="center"/>
    </xf>
    <xf numFmtId="4" fontId="13" fillId="0" borderId="60" xfId="5" applyNumberFormat="1" applyFont="1" applyBorder="1" applyAlignment="1" applyProtection="1">
      <alignment horizontal="center" vertical="center" wrapText="1"/>
    </xf>
    <xf numFmtId="0" fontId="13" fillId="0" borderId="7" xfId="5" applyFont="1" applyBorder="1" applyAlignment="1" applyProtection="1">
      <alignment vertical="center"/>
    </xf>
    <xf numFmtId="0" fontId="28" fillId="2" borderId="33" xfId="5" applyFont="1" applyFill="1" applyBorder="1" applyAlignment="1" applyProtection="1">
      <alignment horizontal="left" vertical="center"/>
    </xf>
    <xf numFmtId="0" fontId="28" fillId="4" borderId="45" xfId="5" applyFont="1" applyFill="1" applyBorder="1" applyAlignment="1" applyProtection="1">
      <alignment horizontal="center" vertical="center"/>
    </xf>
    <xf numFmtId="0" fontId="53" fillId="2" borderId="15" xfId="5" applyFont="1" applyFill="1" applyBorder="1" applyAlignment="1" applyProtection="1">
      <alignment vertical="center"/>
    </xf>
    <xf numFmtId="0" fontId="28" fillId="2" borderId="8" xfId="5" applyFont="1" applyFill="1" applyBorder="1" applyAlignment="1" applyProtection="1">
      <alignment vertical="center" wrapText="1"/>
    </xf>
    <xf numFmtId="0" fontId="36" fillId="4" borderId="43" xfId="5" applyFont="1" applyFill="1" applyBorder="1" applyAlignment="1" applyProtection="1">
      <alignment horizontal="center" vertical="center" wrapText="1"/>
    </xf>
    <xf numFmtId="0" fontId="1" fillId="4" borderId="58" xfId="5" applyFont="1" applyFill="1" applyBorder="1" applyAlignment="1" applyProtection="1">
      <alignment horizontal="center" vertical="center"/>
    </xf>
    <xf numFmtId="10" fontId="54" fillId="4" borderId="8" xfId="5" applyNumberFormat="1" applyFont="1" applyFill="1" applyBorder="1" applyAlignment="1" applyProtection="1">
      <alignment horizontal="center" vertical="center"/>
    </xf>
    <xf numFmtId="0" fontId="22" fillId="4" borderId="9" xfId="5" applyFont="1" applyFill="1" applyBorder="1" applyAlignment="1" applyProtection="1">
      <alignment horizontal="center" vertical="center" wrapText="1"/>
      <protection locked="0"/>
    </xf>
    <xf numFmtId="0" fontId="22" fillId="4" borderId="0" xfId="5" applyFont="1" applyFill="1" applyBorder="1" applyAlignment="1" applyProtection="1">
      <alignment horizontal="center" vertical="center"/>
      <protection locked="0"/>
    </xf>
    <xf numFmtId="0" fontId="22" fillId="4" borderId="26" xfId="5" applyFont="1" applyFill="1" applyBorder="1" applyAlignment="1" applyProtection="1">
      <alignment horizontal="left" vertical="center" wrapText="1"/>
    </xf>
    <xf numFmtId="0" fontId="55" fillId="3" borderId="66" xfId="5" applyFont="1" applyFill="1" applyBorder="1" applyAlignment="1" applyProtection="1">
      <alignment horizontal="left" vertical="center"/>
    </xf>
    <xf numFmtId="0" fontId="1" fillId="0" borderId="8" xfId="5" applyFont="1" applyBorder="1" applyAlignment="1" applyProtection="1">
      <alignment horizontal="left" vertical="center"/>
    </xf>
    <xf numFmtId="0" fontId="56" fillId="4" borderId="35" xfId="5" applyFont="1" applyFill="1" applyBorder="1" applyAlignment="1" applyProtection="1">
      <alignment horizontal="center" vertical="center"/>
    </xf>
    <xf numFmtId="0" fontId="56" fillId="4" borderId="78" xfId="5" applyFont="1" applyFill="1" applyBorder="1" applyAlignment="1" applyProtection="1">
      <alignment horizontal="center" vertical="center"/>
    </xf>
    <xf numFmtId="0" fontId="56" fillId="0" borderId="58" xfId="5" applyFont="1" applyBorder="1" applyAlignment="1" applyProtection="1">
      <alignment horizontal="left" vertical="center" wrapText="1"/>
    </xf>
    <xf numFmtId="0" fontId="56" fillId="0" borderId="63" xfId="5" applyFont="1" applyBorder="1" applyAlignment="1" applyProtection="1">
      <alignment horizontal="left" vertical="center" wrapText="1"/>
    </xf>
    <xf numFmtId="0" fontId="56" fillId="0" borderId="63" xfId="5" applyFont="1" applyBorder="1" applyAlignment="1" applyProtection="1">
      <alignment horizontal="left" vertical="center"/>
      <protection locked="0"/>
    </xf>
    <xf numFmtId="0" fontId="56" fillId="4" borderId="39" xfId="5" applyFont="1" applyFill="1" applyBorder="1" applyAlignment="1" applyProtection="1">
      <alignment horizontal="left" vertical="center" wrapText="1"/>
      <protection locked="0"/>
    </xf>
    <xf numFmtId="0" fontId="1" fillId="0" borderId="8" xfId="5" applyFont="1" applyBorder="1" applyAlignment="1" applyProtection="1">
      <alignment horizontal="left" vertical="center" wrapText="1"/>
      <protection locked="0"/>
    </xf>
    <xf numFmtId="0" fontId="28" fillId="2" borderId="38" xfId="5" applyFont="1" applyFill="1" applyBorder="1" applyAlignment="1" applyProtection="1">
      <alignment vertical="center" wrapText="1"/>
    </xf>
    <xf numFmtId="0" fontId="28" fillId="2" borderId="15" xfId="5" applyFont="1" applyFill="1" applyBorder="1" applyAlignment="1" applyProtection="1">
      <alignment vertical="center"/>
    </xf>
    <xf numFmtId="0" fontId="59" fillId="0" borderId="6" xfId="5" applyFont="1" applyBorder="1" applyAlignment="1" applyProtection="1">
      <alignment horizontal="center" vertical="center" wrapText="1"/>
    </xf>
    <xf numFmtId="0" fontId="60" fillId="0" borderId="6" xfId="5" applyFont="1" applyBorder="1" applyAlignment="1" applyProtection="1">
      <alignment horizontal="center" vertical="center" wrapText="1"/>
    </xf>
    <xf numFmtId="0" fontId="61" fillId="2" borderId="37" xfId="5" applyFont="1" applyFill="1" applyBorder="1" applyAlignment="1" applyProtection="1">
      <alignment horizontal="center" vertical="center" wrapText="1"/>
    </xf>
    <xf numFmtId="0" fontId="3" fillId="2" borderId="43" xfId="5" applyFont="1" applyFill="1" applyBorder="1" applyAlignment="1" applyProtection="1">
      <alignment horizontal="center" vertical="center" textRotation="90"/>
    </xf>
    <xf numFmtId="0" fontId="44" fillId="2" borderId="1" xfId="5" applyFont="1" applyFill="1" applyBorder="1" applyAlignment="1" applyProtection="1">
      <alignment horizontal="center" vertical="center" wrapText="1"/>
    </xf>
    <xf numFmtId="0" fontId="44" fillId="2" borderId="8" xfId="5" applyFont="1" applyFill="1" applyBorder="1" applyAlignment="1" applyProtection="1">
      <alignment horizontal="center" vertical="center"/>
    </xf>
    <xf numFmtId="0" fontId="44" fillId="2" borderId="36" xfId="5" applyFont="1" applyFill="1" applyBorder="1" applyAlignment="1" applyProtection="1">
      <alignment horizontal="center" vertical="center" wrapText="1"/>
    </xf>
    <xf numFmtId="0" fontId="43" fillId="12" borderId="8" xfId="5" applyFont="1" applyFill="1" applyBorder="1" applyAlignment="1" applyProtection="1">
      <alignment horizontal="center" vertical="center" wrapText="1"/>
    </xf>
    <xf numFmtId="0" fontId="44" fillId="2" borderId="4" xfId="5" applyFont="1" applyFill="1" applyBorder="1" applyAlignment="1" applyProtection="1">
      <alignment horizontal="center" vertical="center" wrapText="1"/>
    </xf>
    <xf numFmtId="0" fontId="3" fillId="2" borderId="4" xfId="5" applyFont="1" applyFill="1" applyBorder="1" applyAlignment="1" applyProtection="1">
      <alignment horizontal="center" vertical="center" wrapText="1"/>
    </xf>
    <xf numFmtId="0" fontId="3" fillId="2" borderId="8" xfId="5" applyFont="1" applyFill="1" applyBorder="1" applyAlignment="1" applyProtection="1">
      <alignment horizontal="center" vertical="center" wrapText="1"/>
    </xf>
    <xf numFmtId="0" fontId="44" fillId="2" borderId="10" xfId="5" applyFont="1" applyFill="1" applyBorder="1" applyAlignment="1" applyProtection="1">
      <alignment horizontal="center" vertical="center" wrapText="1"/>
    </xf>
    <xf numFmtId="0" fontId="49" fillId="2" borderId="15" xfId="5" applyFont="1" applyFill="1" applyBorder="1" applyAlignment="1" applyProtection="1">
      <alignment horizontal="center" vertical="center" wrapText="1"/>
    </xf>
    <xf numFmtId="0" fontId="62" fillId="2" borderId="19" xfId="5" applyFont="1" applyFill="1" applyBorder="1" applyAlignment="1" applyProtection="1">
      <alignment horizontal="center" vertical="center" wrapText="1"/>
    </xf>
    <xf numFmtId="0" fontId="62" fillId="2" borderId="61" xfId="5" applyFont="1" applyFill="1" applyBorder="1" applyAlignment="1" applyProtection="1">
      <alignment horizontal="center" vertical="center" wrapText="1"/>
    </xf>
    <xf numFmtId="0" fontId="50" fillId="4" borderId="65" xfId="5" applyFont="1" applyFill="1" applyBorder="1" applyAlignment="1" applyProtection="1">
      <alignment horizontal="center" vertical="center" textRotation="90"/>
    </xf>
    <xf numFmtId="0" fontId="43" fillId="0" borderId="8" xfId="5" applyFont="1" applyBorder="1" applyAlignment="1" applyProtection="1">
      <alignment horizontal="center" vertical="center"/>
    </xf>
    <xf numFmtId="0" fontId="43" fillId="2" borderId="16" xfId="5" applyFont="1" applyFill="1" applyBorder="1" applyAlignment="1" applyProtection="1">
      <alignment horizontal="left" vertical="center" wrapText="1"/>
    </xf>
    <xf numFmtId="0" fontId="43" fillId="4" borderId="16" xfId="5" applyFont="1" applyFill="1" applyBorder="1" applyAlignment="1" applyProtection="1">
      <alignment horizontal="left" vertical="center"/>
    </xf>
    <xf numFmtId="0" fontId="43" fillId="2" borderId="43" xfId="5" applyFont="1" applyFill="1" applyBorder="1" applyAlignment="1" applyProtection="1">
      <alignment horizontal="left" vertical="center"/>
    </xf>
    <xf numFmtId="0" fontId="29" fillId="0" borderId="4" xfId="5" applyFont="1" applyBorder="1" applyAlignment="1" applyProtection="1">
      <alignment horizontal="left" vertical="center" wrapText="1"/>
    </xf>
    <xf numFmtId="0" fontId="50" fillId="0" borderId="8" xfId="5" applyFont="1" applyBorder="1" applyAlignment="1" applyProtection="1">
      <alignment horizontal="center" vertical="center"/>
    </xf>
    <xf numFmtId="0" fontId="50" fillId="0" borderId="8" xfId="5" applyFont="1" applyBorder="1" applyAlignment="1" applyProtection="1">
      <alignment horizontal="center"/>
    </xf>
    <xf numFmtId="0" fontId="64" fillId="0" borderId="4" xfId="5" applyFont="1" applyBorder="1" applyAlignment="1" applyProtection="1">
      <alignment horizontal="left" vertical="center"/>
    </xf>
    <xf numFmtId="0" fontId="29" fillId="0" borderId="33" xfId="5" applyFont="1" applyBorder="1" applyAlignment="1" applyProtection="1">
      <alignment horizontal="left" vertical="center" wrapText="1"/>
    </xf>
  </cellXfs>
  <cellStyles count="7">
    <cellStyle name="Excel Built-in Explanatory Text" xfId="5"/>
    <cellStyle name="Excel Built-in Explanatory Text 1" xfId="6"/>
    <cellStyle name="Moeda" xfId="2" builtinId="4"/>
    <cellStyle name="Normal" xfId="0" builtinId="0"/>
    <cellStyle name="Normal 3" xfId="4"/>
    <cellStyle name="Porcentagem" xfId="3" builtinId="5"/>
    <cellStyle name="Separador de milhares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999933"/>
      <rgbColor rgb="FF800080"/>
      <rgbColor rgb="FF008080"/>
      <rgbColor rgb="FFBFBFBF"/>
      <rgbColor rgb="FF808080"/>
      <rgbColor rgb="FF8EB4E3"/>
      <rgbColor rgb="FF996633"/>
      <rgbColor rgb="FFD9D9D9"/>
      <rgbColor rgb="FFDBEEF4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DDDDD"/>
      <rgbColor rgb="FFE3E3E3"/>
      <rgbColor rgb="FFD3D3D3"/>
      <rgbColor rgb="FFA6CAF0"/>
      <rgbColor rgb="FFFF99CC"/>
      <rgbColor rgb="FFCCCCCC"/>
      <rgbColor rgb="FFFFCC99"/>
      <rgbColor rgb="FF3366FF"/>
      <rgbColor rgb="FFA0E0E0"/>
      <rgbColor rgb="FF99CC00"/>
      <rgbColor rgb="FFFFC000"/>
      <rgbColor rgb="FFFF9900"/>
      <rgbColor rgb="FFFF6600"/>
      <rgbColor rgb="FF666699"/>
      <rgbColor rgb="FF969696"/>
      <rgbColor rgb="FF002060"/>
      <rgbColor rgb="FF7F7F7F"/>
      <rgbColor rgb="FF003300"/>
      <rgbColor rgb="FF333300"/>
      <rgbColor rgb="FF993300"/>
      <rgbColor rgb="FF993366"/>
      <rgbColor rgb="FF333399"/>
      <rgbColor rgb="FF42424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jpeg"/><Relationship Id="rId18" Type="http://schemas.openxmlformats.org/officeDocument/2006/relationships/image" Target="../media/image19.jpeg"/><Relationship Id="rId3" Type="http://schemas.openxmlformats.org/officeDocument/2006/relationships/image" Target="../media/image4.jpeg"/><Relationship Id="rId21" Type="http://schemas.openxmlformats.org/officeDocument/2006/relationships/image" Target="../media/image21.jpe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3.jpeg"/><Relationship Id="rId16" Type="http://schemas.openxmlformats.org/officeDocument/2006/relationships/image" Target="../media/image17.jpeg"/><Relationship Id="rId20" Type="http://schemas.openxmlformats.org/officeDocument/2006/relationships/image" Target="../media/image1.png"/><Relationship Id="rId1" Type="http://schemas.openxmlformats.org/officeDocument/2006/relationships/image" Target="../media/image2.jpeg"/><Relationship Id="rId6" Type="http://schemas.openxmlformats.org/officeDocument/2006/relationships/image" Target="../media/image7.jpeg"/><Relationship Id="rId11" Type="http://schemas.openxmlformats.org/officeDocument/2006/relationships/image" Target="../media/image12.jpeg"/><Relationship Id="rId5" Type="http://schemas.openxmlformats.org/officeDocument/2006/relationships/image" Target="../media/image6.jpeg"/><Relationship Id="rId15" Type="http://schemas.openxmlformats.org/officeDocument/2006/relationships/image" Target="../media/image16.jpeg"/><Relationship Id="rId10" Type="http://schemas.openxmlformats.org/officeDocument/2006/relationships/image" Target="../media/image11.jpeg"/><Relationship Id="rId19" Type="http://schemas.openxmlformats.org/officeDocument/2006/relationships/image" Target="../media/image20.jpeg"/><Relationship Id="rId4" Type="http://schemas.openxmlformats.org/officeDocument/2006/relationships/image" Target="../media/image5.png"/><Relationship Id="rId9" Type="http://schemas.openxmlformats.org/officeDocument/2006/relationships/image" Target="../media/image10.jpeg"/><Relationship Id="rId14" Type="http://schemas.openxmlformats.org/officeDocument/2006/relationships/image" Target="../media/image15.jpe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7.jpeg"/><Relationship Id="rId3" Type="http://schemas.openxmlformats.org/officeDocument/2006/relationships/image" Target="../media/image7.jpeg"/><Relationship Id="rId7" Type="http://schemas.openxmlformats.org/officeDocument/2006/relationships/image" Target="../media/image26.jpeg"/><Relationship Id="rId2" Type="http://schemas.openxmlformats.org/officeDocument/2006/relationships/image" Target="../media/image23.jpeg"/><Relationship Id="rId1" Type="http://schemas.openxmlformats.org/officeDocument/2006/relationships/image" Target="../media/image22.jpeg"/><Relationship Id="rId6" Type="http://schemas.openxmlformats.org/officeDocument/2006/relationships/image" Target="../media/image1.png"/><Relationship Id="rId5" Type="http://schemas.openxmlformats.org/officeDocument/2006/relationships/image" Target="../media/image25.png"/><Relationship Id="rId4" Type="http://schemas.openxmlformats.org/officeDocument/2006/relationships/image" Target="../media/image2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114480</xdr:colOff>
      <xdr:row>0</xdr:row>
      <xdr:rowOff>66600</xdr:rowOff>
    </xdr:from>
    <xdr:to>
      <xdr:col>0</xdr:col>
      <xdr:colOff>596160</xdr:colOff>
      <xdr:row>2</xdr:row>
      <xdr:rowOff>158040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14480" y="66600"/>
          <a:ext cx="481680" cy="4417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133200</xdr:colOff>
      <xdr:row>0</xdr:row>
      <xdr:rowOff>76320</xdr:rowOff>
    </xdr:from>
    <xdr:to>
      <xdr:col>0</xdr:col>
      <xdr:colOff>633960</xdr:colOff>
      <xdr:row>2</xdr:row>
      <xdr:rowOff>100800</xdr:rowOff>
    </xdr:to>
    <xdr:pic>
      <xdr:nvPicPr>
        <xdr:cNvPr id="46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3200" y="76320"/>
          <a:ext cx="500760" cy="5349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133200</xdr:colOff>
      <xdr:row>0</xdr:row>
      <xdr:rowOff>76320</xdr:rowOff>
    </xdr:from>
    <xdr:to>
      <xdr:col>0</xdr:col>
      <xdr:colOff>633960</xdr:colOff>
      <xdr:row>2</xdr:row>
      <xdr:rowOff>100800</xdr:rowOff>
    </xdr:to>
    <xdr:pic>
      <xdr:nvPicPr>
        <xdr:cNvPr id="47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3200" y="76320"/>
          <a:ext cx="500760" cy="5349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133200</xdr:colOff>
      <xdr:row>0</xdr:row>
      <xdr:rowOff>76320</xdr:rowOff>
    </xdr:from>
    <xdr:to>
      <xdr:col>0</xdr:col>
      <xdr:colOff>605520</xdr:colOff>
      <xdr:row>2</xdr:row>
      <xdr:rowOff>100800</xdr:rowOff>
    </xdr:to>
    <xdr:pic>
      <xdr:nvPicPr>
        <xdr:cNvPr id="48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3200" y="76320"/>
          <a:ext cx="472320" cy="5349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133200</xdr:colOff>
      <xdr:row>0</xdr:row>
      <xdr:rowOff>76320</xdr:rowOff>
    </xdr:from>
    <xdr:to>
      <xdr:col>0</xdr:col>
      <xdr:colOff>633960</xdr:colOff>
      <xdr:row>2</xdr:row>
      <xdr:rowOff>100800</xdr:rowOff>
    </xdr:to>
    <xdr:pic>
      <xdr:nvPicPr>
        <xdr:cNvPr id="49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3200" y="76320"/>
          <a:ext cx="500760" cy="53496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47520</xdr:colOff>
      <xdr:row>0</xdr:row>
      <xdr:rowOff>28440</xdr:rowOff>
    </xdr:from>
    <xdr:to>
      <xdr:col>0</xdr:col>
      <xdr:colOff>596160</xdr:colOff>
      <xdr:row>2</xdr:row>
      <xdr:rowOff>33840</xdr:rowOff>
    </xdr:to>
    <xdr:pic>
      <xdr:nvPicPr>
        <xdr:cNvPr id="50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47520" y="28440"/>
          <a:ext cx="548640" cy="38628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152280</xdr:colOff>
      <xdr:row>0</xdr:row>
      <xdr:rowOff>47520</xdr:rowOff>
    </xdr:from>
    <xdr:to>
      <xdr:col>0</xdr:col>
      <xdr:colOff>605520</xdr:colOff>
      <xdr:row>3</xdr:row>
      <xdr:rowOff>5400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52280" y="47520"/>
          <a:ext cx="453240" cy="4435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152280</xdr:colOff>
      <xdr:row>0</xdr:row>
      <xdr:rowOff>47520</xdr:rowOff>
    </xdr:from>
    <xdr:to>
      <xdr:col>0</xdr:col>
      <xdr:colOff>614880</xdr:colOff>
      <xdr:row>2</xdr:row>
      <xdr:rowOff>110160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52280" y="47520"/>
          <a:ext cx="462600" cy="4129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133200</xdr:colOff>
      <xdr:row>99</xdr:row>
      <xdr:rowOff>76320</xdr:rowOff>
    </xdr:from>
    <xdr:to>
      <xdr:col>6</xdr:col>
      <xdr:colOff>977040</xdr:colOff>
      <xdr:row>100</xdr:row>
      <xdr:rowOff>339120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7564320" y="21560760"/>
          <a:ext cx="843840" cy="4532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38160</xdr:colOff>
      <xdr:row>86</xdr:row>
      <xdr:rowOff>95400</xdr:rowOff>
    </xdr:from>
    <xdr:to>
      <xdr:col>6</xdr:col>
      <xdr:colOff>1158120</xdr:colOff>
      <xdr:row>88</xdr:row>
      <xdr:rowOff>2160</xdr:rowOff>
    </xdr:to>
    <xdr:pic>
      <xdr:nvPicPr>
        <xdr:cNvPr id="4" name="Picture 8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7469280" y="19225080"/>
          <a:ext cx="1119960" cy="2725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409680</xdr:colOff>
      <xdr:row>94</xdr:row>
      <xdr:rowOff>66600</xdr:rowOff>
    </xdr:from>
    <xdr:to>
      <xdr:col>6</xdr:col>
      <xdr:colOff>843840</xdr:colOff>
      <xdr:row>96</xdr:row>
      <xdr:rowOff>91080</xdr:rowOff>
    </xdr:to>
    <xdr:pic>
      <xdr:nvPicPr>
        <xdr:cNvPr id="5" name="Picture 10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7840800" y="20644200"/>
          <a:ext cx="434160" cy="3902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324000</xdr:colOff>
      <xdr:row>91</xdr:row>
      <xdr:rowOff>85680</xdr:rowOff>
    </xdr:from>
    <xdr:to>
      <xdr:col>6</xdr:col>
      <xdr:colOff>767880</xdr:colOff>
      <xdr:row>93</xdr:row>
      <xdr:rowOff>100800</xdr:rowOff>
    </xdr:to>
    <xdr:pic>
      <xdr:nvPicPr>
        <xdr:cNvPr id="6" name="Picture 12"/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7755120" y="20122200"/>
          <a:ext cx="443880" cy="380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295200</xdr:colOff>
      <xdr:row>97</xdr:row>
      <xdr:rowOff>19080</xdr:rowOff>
    </xdr:from>
    <xdr:to>
      <xdr:col>6</xdr:col>
      <xdr:colOff>891360</xdr:colOff>
      <xdr:row>99</xdr:row>
      <xdr:rowOff>11160</xdr:rowOff>
    </xdr:to>
    <xdr:pic>
      <xdr:nvPicPr>
        <xdr:cNvPr id="7" name="Picture 14"/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7726320" y="21137760"/>
          <a:ext cx="596160" cy="3578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200160</xdr:colOff>
      <xdr:row>9</xdr:row>
      <xdr:rowOff>66600</xdr:rowOff>
    </xdr:from>
    <xdr:to>
      <xdr:col>6</xdr:col>
      <xdr:colOff>1034280</xdr:colOff>
      <xdr:row>12</xdr:row>
      <xdr:rowOff>1800</xdr:rowOff>
    </xdr:to>
    <xdr:pic>
      <xdr:nvPicPr>
        <xdr:cNvPr id="8" name="Picture 16"/>
        <xdr:cNvPicPr/>
      </xdr:nvPicPr>
      <xdr:blipFill>
        <a:blip xmlns:r="http://schemas.openxmlformats.org/officeDocument/2006/relationships" r:embed="rId6" cstate="print"/>
        <a:stretch/>
      </xdr:blipFill>
      <xdr:spPr>
        <a:xfrm>
          <a:off x="7631280" y="2047680"/>
          <a:ext cx="834120" cy="4762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304920</xdr:colOff>
      <xdr:row>12</xdr:row>
      <xdr:rowOff>66600</xdr:rowOff>
    </xdr:from>
    <xdr:to>
      <xdr:col>6</xdr:col>
      <xdr:colOff>910440</xdr:colOff>
      <xdr:row>15</xdr:row>
      <xdr:rowOff>11160</xdr:rowOff>
    </xdr:to>
    <xdr:pic>
      <xdr:nvPicPr>
        <xdr:cNvPr id="9" name="Picture 18"/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7736040" y="2588760"/>
          <a:ext cx="605520" cy="485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438120</xdr:colOff>
      <xdr:row>50</xdr:row>
      <xdr:rowOff>57240</xdr:rowOff>
    </xdr:from>
    <xdr:to>
      <xdr:col>6</xdr:col>
      <xdr:colOff>834120</xdr:colOff>
      <xdr:row>52</xdr:row>
      <xdr:rowOff>100800</xdr:rowOff>
    </xdr:to>
    <xdr:pic>
      <xdr:nvPicPr>
        <xdr:cNvPr id="10" name="Picture 20"/>
        <xdr:cNvPicPr/>
      </xdr:nvPicPr>
      <xdr:blipFill>
        <a:blip xmlns:r="http://schemas.openxmlformats.org/officeDocument/2006/relationships" r:embed="rId8" cstate="print"/>
        <a:stretch/>
      </xdr:blipFill>
      <xdr:spPr>
        <a:xfrm>
          <a:off x="7869240" y="11170800"/>
          <a:ext cx="396000" cy="7333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219240</xdr:colOff>
      <xdr:row>40</xdr:row>
      <xdr:rowOff>47520</xdr:rowOff>
    </xdr:from>
    <xdr:to>
      <xdr:col>6</xdr:col>
      <xdr:colOff>1015560</xdr:colOff>
      <xdr:row>42</xdr:row>
      <xdr:rowOff>100800</xdr:rowOff>
    </xdr:to>
    <xdr:pic>
      <xdr:nvPicPr>
        <xdr:cNvPr id="11" name="Picture 22"/>
        <xdr:cNvPicPr/>
      </xdr:nvPicPr>
      <xdr:blipFill>
        <a:blip xmlns:r="http://schemas.openxmlformats.org/officeDocument/2006/relationships" r:embed="rId9" cstate="print"/>
        <a:stretch/>
      </xdr:blipFill>
      <xdr:spPr>
        <a:xfrm>
          <a:off x="7650360" y="8863560"/>
          <a:ext cx="796320" cy="743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228600</xdr:colOff>
      <xdr:row>54</xdr:row>
      <xdr:rowOff>133200</xdr:rowOff>
    </xdr:from>
    <xdr:to>
      <xdr:col>6</xdr:col>
      <xdr:colOff>967680</xdr:colOff>
      <xdr:row>58</xdr:row>
      <xdr:rowOff>167400</xdr:rowOff>
    </xdr:to>
    <xdr:pic>
      <xdr:nvPicPr>
        <xdr:cNvPr id="12" name="Picture 24"/>
        <xdr:cNvPicPr/>
      </xdr:nvPicPr>
      <xdr:blipFill>
        <a:blip xmlns:r="http://schemas.openxmlformats.org/officeDocument/2006/relationships" r:embed="rId10" cstate="print"/>
        <a:stretch/>
      </xdr:blipFill>
      <xdr:spPr>
        <a:xfrm>
          <a:off x="7659720" y="12286800"/>
          <a:ext cx="739080" cy="941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133200</xdr:colOff>
      <xdr:row>45</xdr:row>
      <xdr:rowOff>38160</xdr:rowOff>
    </xdr:from>
    <xdr:to>
      <xdr:col>6</xdr:col>
      <xdr:colOff>1015200</xdr:colOff>
      <xdr:row>48</xdr:row>
      <xdr:rowOff>5760</xdr:rowOff>
    </xdr:to>
    <xdr:pic>
      <xdr:nvPicPr>
        <xdr:cNvPr id="13" name="Picture 26"/>
        <xdr:cNvPicPr/>
      </xdr:nvPicPr>
      <xdr:blipFill>
        <a:blip xmlns:r="http://schemas.openxmlformats.org/officeDocument/2006/relationships" r:embed="rId11" cstate="print"/>
        <a:stretch/>
      </xdr:blipFill>
      <xdr:spPr>
        <a:xfrm>
          <a:off x="7564320" y="10085040"/>
          <a:ext cx="882000" cy="683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257040</xdr:colOff>
      <xdr:row>66</xdr:row>
      <xdr:rowOff>66600</xdr:rowOff>
    </xdr:from>
    <xdr:to>
      <xdr:col>6</xdr:col>
      <xdr:colOff>957960</xdr:colOff>
      <xdr:row>68</xdr:row>
      <xdr:rowOff>148320</xdr:rowOff>
    </xdr:to>
    <xdr:pic>
      <xdr:nvPicPr>
        <xdr:cNvPr id="14" name="Picture 28"/>
        <xdr:cNvPicPr/>
      </xdr:nvPicPr>
      <xdr:blipFill>
        <a:blip xmlns:r="http://schemas.openxmlformats.org/officeDocument/2006/relationships" r:embed="rId12" cstate="print"/>
        <a:stretch/>
      </xdr:blipFill>
      <xdr:spPr>
        <a:xfrm>
          <a:off x="7688160" y="14734800"/>
          <a:ext cx="700920" cy="7714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314280</xdr:colOff>
      <xdr:row>71</xdr:row>
      <xdr:rowOff>114480</xdr:rowOff>
    </xdr:from>
    <xdr:to>
      <xdr:col>6</xdr:col>
      <xdr:colOff>1034280</xdr:colOff>
      <xdr:row>74</xdr:row>
      <xdr:rowOff>129600</xdr:rowOff>
    </xdr:to>
    <xdr:pic>
      <xdr:nvPicPr>
        <xdr:cNvPr id="15" name="Picture 30"/>
        <xdr:cNvPicPr/>
      </xdr:nvPicPr>
      <xdr:blipFill>
        <a:blip xmlns:r="http://schemas.openxmlformats.org/officeDocument/2006/relationships" r:embed="rId13" cstate="print"/>
        <a:stretch/>
      </xdr:blipFill>
      <xdr:spPr>
        <a:xfrm>
          <a:off x="7745400" y="15998040"/>
          <a:ext cx="720000" cy="746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219240</xdr:colOff>
      <xdr:row>76</xdr:row>
      <xdr:rowOff>66600</xdr:rowOff>
    </xdr:from>
    <xdr:to>
      <xdr:col>6</xdr:col>
      <xdr:colOff>1034280</xdr:colOff>
      <xdr:row>79</xdr:row>
      <xdr:rowOff>158040</xdr:rowOff>
    </xdr:to>
    <xdr:pic>
      <xdr:nvPicPr>
        <xdr:cNvPr id="16" name="Picture 32"/>
        <xdr:cNvPicPr/>
      </xdr:nvPicPr>
      <xdr:blipFill>
        <a:blip xmlns:r="http://schemas.openxmlformats.org/officeDocument/2006/relationships" r:embed="rId14" cstate="print"/>
        <a:stretch/>
      </xdr:blipFill>
      <xdr:spPr>
        <a:xfrm>
          <a:off x="7650360" y="17032320"/>
          <a:ext cx="815040" cy="8229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152280</xdr:colOff>
      <xdr:row>81</xdr:row>
      <xdr:rowOff>76320</xdr:rowOff>
    </xdr:from>
    <xdr:to>
      <xdr:col>6</xdr:col>
      <xdr:colOff>967320</xdr:colOff>
      <xdr:row>84</xdr:row>
      <xdr:rowOff>24840</xdr:rowOff>
    </xdr:to>
    <xdr:pic>
      <xdr:nvPicPr>
        <xdr:cNvPr id="17" name="Picture 32"/>
        <xdr:cNvPicPr/>
      </xdr:nvPicPr>
      <xdr:blipFill>
        <a:blip xmlns:r="http://schemas.openxmlformats.org/officeDocument/2006/relationships" r:embed="rId15" cstate="print"/>
        <a:stretch/>
      </xdr:blipFill>
      <xdr:spPr>
        <a:xfrm>
          <a:off x="7583400" y="18124200"/>
          <a:ext cx="815040" cy="680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237960</xdr:colOff>
      <xdr:row>6</xdr:row>
      <xdr:rowOff>142920</xdr:rowOff>
    </xdr:from>
    <xdr:to>
      <xdr:col>6</xdr:col>
      <xdr:colOff>1072080</xdr:colOff>
      <xdr:row>9</xdr:row>
      <xdr:rowOff>11160</xdr:rowOff>
    </xdr:to>
    <xdr:pic>
      <xdr:nvPicPr>
        <xdr:cNvPr id="18" name="Picture 16"/>
        <xdr:cNvPicPr/>
      </xdr:nvPicPr>
      <xdr:blipFill>
        <a:blip xmlns:r="http://schemas.openxmlformats.org/officeDocument/2006/relationships" r:embed="rId6" cstate="print"/>
        <a:stretch/>
      </xdr:blipFill>
      <xdr:spPr>
        <a:xfrm>
          <a:off x="7669080" y="1582920"/>
          <a:ext cx="834120" cy="4093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333360</xdr:colOff>
      <xdr:row>15</xdr:row>
      <xdr:rowOff>85680</xdr:rowOff>
    </xdr:from>
    <xdr:to>
      <xdr:col>6</xdr:col>
      <xdr:colOff>938880</xdr:colOff>
      <xdr:row>18</xdr:row>
      <xdr:rowOff>2160</xdr:rowOff>
    </xdr:to>
    <xdr:pic>
      <xdr:nvPicPr>
        <xdr:cNvPr id="19" name="Picture 18"/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7764480" y="3148920"/>
          <a:ext cx="605520" cy="4572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361800</xdr:colOff>
      <xdr:row>88</xdr:row>
      <xdr:rowOff>38160</xdr:rowOff>
    </xdr:from>
    <xdr:to>
      <xdr:col>6</xdr:col>
      <xdr:colOff>948240</xdr:colOff>
      <xdr:row>90</xdr:row>
      <xdr:rowOff>119880</xdr:rowOff>
    </xdr:to>
    <xdr:pic>
      <xdr:nvPicPr>
        <xdr:cNvPr id="20" name="Picture 34"/>
        <xdr:cNvPicPr/>
      </xdr:nvPicPr>
      <xdr:blipFill>
        <a:blip xmlns:r="http://schemas.openxmlformats.org/officeDocument/2006/relationships" r:embed="rId16" cstate="print"/>
        <a:stretch/>
      </xdr:blipFill>
      <xdr:spPr>
        <a:xfrm>
          <a:off x="7792920" y="19533600"/>
          <a:ext cx="586440" cy="4474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304920</xdr:colOff>
      <xdr:row>102</xdr:row>
      <xdr:rowOff>114480</xdr:rowOff>
    </xdr:from>
    <xdr:to>
      <xdr:col>6</xdr:col>
      <xdr:colOff>939240</xdr:colOff>
      <xdr:row>104</xdr:row>
      <xdr:rowOff>186840</xdr:rowOff>
    </xdr:to>
    <xdr:pic>
      <xdr:nvPicPr>
        <xdr:cNvPr id="21" name="Picture 36"/>
        <xdr:cNvPicPr/>
      </xdr:nvPicPr>
      <xdr:blipFill>
        <a:blip xmlns:r="http://schemas.openxmlformats.org/officeDocument/2006/relationships" r:embed="rId17" cstate="print"/>
        <a:stretch/>
      </xdr:blipFill>
      <xdr:spPr>
        <a:xfrm>
          <a:off x="7736040" y="22467600"/>
          <a:ext cx="634320" cy="396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438120</xdr:colOff>
      <xdr:row>105</xdr:row>
      <xdr:rowOff>114480</xdr:rowOff>
    </xdr:from>
    <xdr:to>
      <xdr:col>6</xdr:col>
      <xdr:colOff>834120</xdr:colOff>
      <xdr:row>108</xdr:row>
      <xdr:rowOff>34200</xdr:rowOff>
    </xdr:to>
    <xdr:pic>
      <xdr:nvPicPr>
        <xdr:cNvPr id="22" name="Picture 20"/>
        <xdr:cNvPicPr/>
      </xdr:nvPicPr>
      <xdr:blipFill>
        <a:blip xmlns:r="http://schemas.openxmlformats.org/officeDocument/2006/relationships" r:embed="rId8" cstate="print"/>
        <a:stretch/>
      </xdr:blipFill>
      <xdr:spPr>
        <a:xfrm>
          <a:off x="7869240" y="23294520"/>
          <a:ext cx="396000" cy="6512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380880</xdr:colOff>
      <xdr:row>109</xdr:row>
      <xdr:rowOff>76320</xdr:rowOff>
    </xdr:from>
    <xdr:to>
      <xdr:col>6</xdr:col>
      <xdr:colOff>1015200</xdr:colOff>
      <xdr:row>109</xdr:row>
      <xdr:rowOff>196200</xdr:rowOff>
    </xdr:to>
    <xdr:pic>
      <xdr:nvPicPr>
        <xdr:cNvPr id="23" name="Picture 36"/>
        <xdr:cNvPicPr/>
      </xdr:nvPicPr>
      <xdr:blipFill>
        <a:blip xmlns:r="http://schemas.openxmlformats.org/officeDocument/2006/relationships" r:embed="rId17" cstate="print"/>
        <a:stretch/>
      </xdr:blipFill>
      <xdr:spPr>
        <a:xfrm>
          <a:off x="7812000" y="24162840"/>
          <a:ext cx="634320" cy="119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304920</xdr:colOff>
      <xdr:row>60</xdr:row>
      <xdr:rowOff>85680</xdr:rowOff>
    </xdr:from>
    <xdr:to>
      <xdr:col>6</xdr:col>
      <xdr:colOff>1044000</xdr:colOff>
      <xdr:row>63</xdr:row>
      <xdr:rowOff>148320</xdr:rowOff>
    </xdr:to>
    <xdr:pic>
      <xdr:nvPicPr>
        <xdr:cNvPr id="24" name="Picture 24"/>
        <xdr:cNvPicPr/>
      </xdr:nvPicPr>
      <xdr:blipFill>
        <a:blip xmlns:r="http://schemas.openxmlformats.org/officeDocument/2006/relationships" r:embed="rId10" cstate="print"/>
        <a:stretch/>
      </xdr:blipFill>
      <xdr:spPr>
        <a:xfrm>
          <a:off x="7736040" y="13496760"/>
          <a:ext cx="739080" cy="7941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314280</xdr:colOff>
      <xdr:row>20</xdr:row>
      <xdr:rowOff>190440</xdr:rowOff>
    </xdr:from>
    <xdr:to>
      <xdr:col>6</xdr:col>
      <xdr:colOff>1119960</xdr:colOff>
      <xdr:row>23</xdr:row>
      <xdr:rowOff>24480</xdr:rowOff>
    </xdr:to>
    <xdr:pic>
      <xdr:nvPicPr>
        <xdr:cNvPr id="25" name="Picture 38"/>
        <xdr:cNvPicPr/>
      </xdr:nvPicPr>
      <xdr:blipFill>
        <a:blip xmlns:r="http://schemas.openxmlformats.org/officeDocument/2006/relationships" r:embed="rId18" cstate="print"/>
        <a:stretch/>
      </xdr:blipFill>
      <xdr:spPr>
        <a:xfrm>
          <a:off x="7745400" y="4145040"/>
          <a:ext cx="805680" cy="698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438120</xdr:colOff>
      <xdr:row>18</xdr:row>
      <xdr:rowOff>95400</xdr:rowOff>
    </xdr:from>
    <xdr:to>
      <xdr:col>6</xdr:col>
      <xdr:colOff>805680</xdr:colOff>
      <xdr:row>20</xdr:row>
      <xdr:rowOff>11520</xdr:rowOff>
    </xdr:to>
    <xdr:pic>
      <xdr:nvPicPr>
        <xdr:cNvPr id="26" name="Picture 42"/>
        <xdr:cNvPicPr/>
      </xdr:nvPicPr>
      <xdr:blipFill>
        <a:blip xmlns:r="http://schemas.openxmlformats.org/officeDocument/2006/relationships" r:embed="rId19" cstate="print"/>
        <a:stretch/>
      </xdr:blipFill>
      <xdr:spPr>
        <a:xfrm>
          <a:off x="7869240" y="3699360"/>
          <a:ext cx="367560" cy="266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152280</xdr:colOff>
      <xdr:row>0</xdr:row>
      <xdr:rowOff>95400</xdr:rowOff>
    </xdr:from>
    <xdr:to>
      <xdr:col>0</xdr:col>
      <xdr:colOff>577080</xdr:colOff>
      <xdr:row>2</xdr:row>
      <xdr:rowOff>110520</xdr:rowOff>
    </xdr:to>
    <xdr:pic>
      <xdr:nvPicPr>
        <xdr:cNvPr id="27" name="Imagem 25"/>
        <xdr:cNvPicPr/>
      </xdr:nvPicPr>
      <xdr:blipFill>
        <a:blip xmlns:r="http://schemas.openxmlformats.org/officeDocument/2006/relationships" r:embed="rId20" cstate="print"/>
        <a:stretch/>
      </xdr:blipFill>
      <xdr:spPr>
        <a:xfrm>
          <a:off x="152280" y="95400"/>
          <a:ext cx="424800" cy="36540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95400</xdr:colOff>
      <xdr:row>25</xdr:row>
      <xdr:rowOff>209520</xdr:rowOff>
    </xdr:from>
    <xdr:to>
      <xdr:col>6</xdr:col>
      <xdr:colOff>1234440</xdr:colOff>
      <xdr:row>28</xdr:row>
      <xdr:rowOff>43560</xdr:rowOff>
    </xdr:to>
    <xdr:pic>
      <xdr:nvPicPr>
        <xdr:cNvPr id="28" name="Picture 2"/>
        <xdr:cNvPicPr/>
      </xdr:nvPicPr>
      <xdr:blipFill>
        <a:blip xmlns:r="http://schemas.openxmlformats.org/officeDocument/2006/relationships" r:embed="rId21" cstate="print"/>
        <a:stretch/>
      </xdr:blipFill>
      <xdr:spPr>
        <a:xfrm>
          <a:off x="7526520" y="5379480"/>
          <a:ext cx="1139040" cy="6991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76320</xdr:colOff>
      <xdr:row>30</xdr:row>
      <xdr:rowOff>152280</xdr:rowOff>
    </xdr:from>
    <xdr:to>
      <xdr:col>6</xdr:col>
      <xdr:colOff>1215360</xdr:colOff>
      <xdr:row>33</xdr:row>
      <xdr:rowOff>15120</xdr:rowOff>
    </xdr:to>
    <xdr:pic>
      <xdr:nvPicPr>
        <xdr:cNvPr id="29" name="Picture 2"/>
        <xdr:cNvPicPr/>
      </xdr:nvPicPr>
      <xdr:blipFill>
        <a:blip xmlns:r="http://schemas.openxmlformats.org/officeDocument/2006/relationships" r:embed="rId21" cstate="print"/>
        <a:stretch/>
      </xdr:blipFill>
      <xdr:spPr>
        <a:xfrm>
          <a:off x="7507440" y="6537600"/>
          <a:ext cx="1139040" cy="7279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6</xdr:col>
      <xdr:colOff>47520</xdr:colOff>
      <xdr:row>35</xdr:row>
      <xdr:rowOff>95400</xdr:rowOff>
    </xdr:from>
    <xdr:to>
      <xdr:col>6</xdr:col>
      <xdr:colOff>1186560</xdr:colOff>
      <xdr:row>38</xdr:row>
      <xdr:rowOff>24840</xdr:rowOff>
    </xdr:to>
    <xdr:pic>
      <xdr:nvPicPr>
        <xdr:cNvPr id="30" name="Picture 2"/>
        <xdr:cNvPicPr/>
      </xdr:nvPicPr>
      <xdr:blipFill>
        <a:blip xmlns:r="http://schemas.openxmlformats.org/officeDocument/2006/relationships" r:embed="rId21" cstate="print"/>
        <a:stretch/>
      </xdr:blipFill>
      <xdr:spPr>
        <a:xfrm>
          <a:off x="7478640" y="7696080"/>
          <a:ext cx="1139040" cy="7945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35640</xdr:colOff>
      <xdr:row>18</xdr:row>
      <xdr:rowOff>59400</xdr:rowOff>
    </xdr:from>
    <xdr:to>
      <xdr:col>4</xdr:col>
      <xdr:colOff>1079280</xdr:colOff>
      <xdr:row>19</xdr:row>
      <xdr:rowOff>1032120</xdr:rowOff>
    </xdr:to>
    <xdr:pic>
      <xdr:nvPicPr>
        <xdr:cNvPr id="31" name="Picture 2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688360" y="8677440"/>
          <a:ext cx="1043640" cy="15328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11880</xdr:colOff>
      <xdr:row>14</xdr:row>
      <xdr:rowOff>0</xdr:rowOff>
    </xdr:from>
    <xdr:to>
      <xdr:col>4</xdr:col>
      <xdr:colOff>1055880</xdr:colOff>
      <xdr:row>16</xdr:row>
      <xdr:rowOff>20160</xdr:rowOff>
    </xdr:to>
    <xdr:pic>
      <xdr:nvPicPr>
        <xdr:cNvPr id="32" name="Picture 14"/>
        <xdr:cNvPicPr/>
      </xdr:nvPicPr>
      <xdr:blipFill>
        <a:blip xmlns:r="http://schemas.openxmlformats.org/officeDocument/2006/relationships" r:embed="rId2" cstate="print"/>
        <a:stretch/>
      </xdr:blipFill>
      <xdr:spPr>
        <a:xfrm>
          <a:off x="5664600" y="6377760"/>
          <a:ext cx="1044000" cy="11404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47520</xdr:colOff>
      <xdr:row>6</xdr:row>
      <xdr:rowOff>83520</xdr:rowOff>
    </xdr:from>
    <xdr:to>
      <xdr:col>4</xdr:col>
      <xdr:colOff>1032120</xdr:colOff>
      <xdr:row>8</xdr:row>
      <xdr:rowOff>448920</xdr:rowOff>
    </xdr:to>
    <xdr:pic>
      <xdr:nvPicPr>
        <xdr:cNvPr id="33" name="Picture 16"/>
        <xdr:cNvPicPr/>
      </xdr:nvPicPr>
      <xdr:blipFill>
        <a:blip xmlns:r="http://schemas.openxmlformats.org/officeDocument/2006/relationships" r:embed="rId3" cstate="print"/>
        <a:stretch/>
      </xdr:blipFill>
      <xdr:spPr>
        <a:xfrm>
          <a:off x="5700240" y="1605600"/>
          <a:ext cx="984600" cy="14853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59400</xdr:colOff>
      <xdr:row>20</xdr:row>
      <xdr:rowOff>35640</xdr:rowOff>
    </xdr:from>
    <xdr:to>
      <xdr:col>4</xdr:col>
      <xdr:colOff>1079640</xdr:colOff>
      <xdr:row>20</xdr:row>
      <xdr:rowOff>1032120</xdr:rowOff>
    </xdr:to>
    <xdr:pic>
      <xdr:nvPicPr>
        <xdr:cNvPr id="34" name="Picture 36"/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5712120" y="10290240"/>
          <a:ext cx="1020240" cy="99648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71280</xdr:colOff>
      <xdr:row>12</xdr:row>
      <xdr:rowOff>71280</xdr:rowOff>
    </xdr:from>
    <xdr:to>
      <xdr:col>4</xdr:col>
      <xdr:colOff>1055880</xdr:colOff>
      <xdr:row>13</xdr:row>
      <xdr:rowOff>651240</xdr:rowOff>
    </xdr:to>
    <xdr:pic>
      <xdr:nvPicPr>
        <xdr:cNvPr id="35" name="Picture 42"/>
        <xdr:cNvPicPr/>
      </xdr:nvPicPr>
      <xdr:blipFill>
        <a:blip xmlns:r="http://schemas.openxmlformats.org/officeDocument/2006/relationships" r:embed="rId5" cstate="print"/>
        <a:stretch/>
      </xdr:blipFill>
      <xdr:spPr>
        <a:xfrm>
          <a:off x="5724000" y="4953600"/>
          <a:ext cx="984600" cy="13039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0</xdr:colOff>
      <xdr:row>0</xdr:row>
      <xdr:rowOff>123840</xdr:rowOff>
    </xdr:from>
    <xdr:to>
      <xdr:col>0</xdr:col>
      <xdr:colOff>481680</xdr:colOff>
      <xdr:row>2</xdr:row>
      <xdr:rowOff>148320</xdr:rowOff>
    </xdr:to>
    <xdr:pic>
      <xdr:nvPicPr>
        <xdr:cNvPr id="36" name="Imagem 36"/>
        <xdr:cNvPicPr/>
      </xdr:nvPicPr>
      <xdr:blipFill>
        <a:blip xmlns:r="http://schemas.openxmlformats.org/officeDocument/2006/relationships" r:embed="rId6" cstate="print"/>
        <a:stretch/>
      </xdr:blipFill>
      <xdr:spPr>
        <a:xfrm>
          <a:off x="0" y="123840"/>
          <a:ext cx="481680" cy="37476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11880</xdr:colOff>
      <xdr:row>16</xdr:row>
      <xdr:rowOff>11880</xdr:rowOff>
    </xdr:from>
    <xdr:to>
      <xdr:col>5</xdr:col>
      <xdr:colOff>43920</xdr:colOff>
      <xdr:row>17</xdr:row>
      <xdr:rowOff>519120</xdr:rowOff>
    </xdr:to>
    <xdr:pic>
      <xdr:nvPicPr>
        <xdr:cNvPr id="37" name="Picture 2"/>
        <xdr:cNvPicPr/>
      </xdr:nvPicPr>
      <xdr:blipFill>
        <a:blip xmlns:r="http://schemas.openxmlformats.org/officeDocument/2006/relationships" r:embed="rId7" cstate="print"/>
        <a:stretch/>
      </xdr:blipFill>
      <xdr:spPr>
        <a:xfrm>
          <a:off x="5664600" y="7509960"/>
          <a:ext cx="1184400" cy="10670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71280</xdr:colOff>
      <xdr:row>19</xdr:row>
      <xdr:rowOff>1059480</xdr:rowOff>
    </xdr:from>
    <xdr:to>
      <xdr:col>4</xdr:col>
      <xdr:colOff>1020240</xdr:colOff>
      <xdr:row>20</xdr:row>
      <xdr:rowOff>1044000</xdr:rowOff>
    </xdr:to>
    <xdr:pic>
      <xdr:nvPicPr>
        <xdr:cNvPr id="38" name="Picture 36"/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5724000" y="10237680"/>
          <a:ext cx="948960" cy="10609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71280</xdr:colOff>
      <xdr:row>9</xdr:row>
      <xdr:rowOff>95400</xdr:rowOff>
    </xdr:from>
    <xdr:to>
      <xdr:col>4</xdr:col>
      <xdr:colOff>1020240</xdr:colOff>
      <xdr:row>11</xdr:row>
      <xdr:rowOff>365760</xdr:rowOff>
    </xdr:to>
    <xdr:pic>
      <xdr:nvPicPr>
        <xdr:cNvPr id="39" name="Picture 36"/>
        <xdr:cNvPicPr/>
      </xdr:nvPicPr>
      <xdr:blipFill>
        <a:blip xmlns:r="http://schemas.openxmlformats.org/officeDocument/2006/relationships" r:embed="rId4" cstate="print"/>
        <a:stretch/>
      </xdr:blipFill>
      <xdr:spPr>
        <a:xfrm>
          <a:off x="5724000" y="3297600"/>
          <a:ext cx="948960" cy="139032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4</xdr:col>
      <xdr:colOff>11880</xdr:colOff>
      <xdr:row>16</xdr:row>
      <xdr:rowOff>11880</xdr:rowOff>
    </xdr:from>
    <xdr:to>
      <xdr:col>5</xdr:col>
      <xdr:colOff>45000</xdr:colOff>
      <xdr:row>17</xdr:row>
      <xdr:rowOff>520200</xdr:rowOff>
    </xdr:to>
    <xdr:pic>
      <xdr:nvPicPr>
        <xdr:cNvPr id="40" name="Picture 2"/>
        <xdr:cNvPicPr/>
      </xdr:nvPicPr>
      <xdr:blipFill>
        <a:blip xmlns:r="http://schemas.openxmlformats.org/officeDocument/2006/relationships" r:embed="rId8" cstate="print"/>
        <a:stretch/>
      </xdr:blipFill>
      <xdr:spPr>
        <a:xfrm>
          <a:off x="5664600" y="7509960"/>
          <a:ext cx="1185480" cy="10681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56880</xdr:colOff>
      <xdr:row>0</xdr:row>
      <xdr:rowOff>57240</xdr:rowOff>
    </xdr:from>
    <xdr:to>
      <xdr:col>1</xdr:col>
      <xdr:colOff>122040</xdr:colOff>
      <xdr:row>2</xdr:row>
      <xdr:rowOff>186480</xdr:rowOff>
    </xdr:to>
    <xdr:pic>
      <xdr:nvPicPr>
        <xdr:cNvPr id="41" name="Imagem 25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6880" y="57240"/>
          <a:ext cx="566640" cy="47952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85680</xdr:colOff>
      <xdr:row>0</xdr:row>
      <xdr:rowOff>47520</xdr:rowOff>
    </xdr:from>
    <xdr:to>
      <xdr:col>1</xdr:col>
      <xdr:colOff>2160</xdr:colOff>
      <xdr:row>2</xdr:row>
      <xdr:rowOff>119880</xdr:rowOff>
    </xdr:to>
    <xdr:pic>
      <xdr:nvPicPr>
        <xdr:cNvPr id="42" name="Imagem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85680" y="47520"/>
          <a:ext cx="551160" cy="422640"/>
        </a:xfrm>
        <a:prstGeom prst="rect">
          <a:avLst/>
        </a:prstGeom>
        <a:ln w="9360">
          <a:noFill/>
        </a:ln>
      </xdr:spPr>
    </xdr:pic>
    <xdr:clientData/>
  </xdr:twoCellAnchor>
  <xdr:twoCellAnchor editAs="oneCell">
    <xdr:from>
      <xdr:col>0</xdr:col>
      <xdr:colOff>85680</xdr:colOff>
      <xdr:row>0</xdr:row>
      <xdr:rowOff>47520</xdr:rowOff>
    </xdr:from>
    <xdr:to>
      <xdr:col>1</xdr:col>
      <xdr:colOff>2160</xdr:colOff>
      <xdr:row>2</xdr:row>
      <xdr:rowOff>119880</xdr:rowOff>
    </xdr:to>
    <xdr:pic>
      <xdr:nvPicPr>
        <xdr:cNvPr id="43" name="Imagem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85680" y="47520"/>
          <a:ext cx="551160" cy="4226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104760</xdr:colOff>
      <xdr:row>0</xdr:row>
      <xdr:rowOff>142920</xdr:rowOff>
    </xdr:from>
    <xdr:to>
      <xdr:col>1</xdr:col>
      <xdr:colOff>44280</xdr:colOff>
      <xdr:row>1</xdr:row>
      <xdr:rowOff>244080</xdr:rowOff>
    </xdr:to>
    <xdr:pic>
      <xdr:nvPicPr>
        <xdr:cNvPr id="44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4760" y="142920"/>
          <a:ext cx="566640" cy="417240"/>
        </a:xfrm>
        <a:prstGeom prst="rect">
          <a:avLst/>
        </a:prstGeom>
        <a:ln w="9360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133200</xdr:colOff>
      <xdr:row>0</xdr:row>
      <xdr:rowOff>76320</xdr:rowOff>
    </xdr:from>
    <xdr:to>
      <xdr:col>0</xdr:col>
      <xdr:colOff>633960</xdr:colOff>
      <xdr:row>2</xdr:row>
      <xdr:rowOff>100800</xdr:rowOff>
    </xdr:to>
    <xdr:pic>
      <xdr:nvPicPr>
        <xdr:cNvPr id="45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33200" y="76320"/>
          <a:ext cx="500760" cy="53496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96633"/>
  </sheetPr>
  <dimension ref="A1:E59"/>
  <sheetViews>
    <sheetView zoomScaleNormal="100" workbookViewId="0">
      <selection activeCell="B12" sqref="B12"/>
    </sheetView>
  </sheetViews>
  <sheetFormatPr defaultColWidth="9" defaultRowHeight="12.75"/>
  <cols>
    <col min="2" max="2" width="55.7109375" customWidth="1"/>
    <col min="3" max="3" width="46.28515625" customWidth="1"/>
  </cols>
  <sheetData>
    <row r="1" spans="1:4">
      <c r="A1" s="1" t="s">
        <v>0</v>
      </c>
      <c r="B1" s="2"/>
      <c r="C1" s="3"/>
    </row>
    <row r="2" spans="1:4">
      <c r="A2" s="4" t="s">
        <v>1</v>
      </c>
      <c r="B2" s="5"/>
      <c r="C2" s="6"/>
    </row>
    <row r="3" spans="1:4">
      <c r="A3" s="7" t="s">
        <v>2</v>
      </c>
      <c r="B3" s="5" t="s">
        <v>3</v>
      </c>
      <c r="C3" s="6"/>
    </row>
    <row r="4" spans="1:4" ht="21.75" customHeight="1">
      <c r="A4" s="619" t="s">
        <v>4</v>
      </c>
      <c r="B4" s="619"/>
      <c r="C4" s="619"/>
    </row>
    <row r="5" spans="1:4" ht="21.75" customHeight="1">
      <c r="A5" s="619" t="s">
        <v>5</v>
      </c>
      <c r="B5" s="619"/>
      <c r="C5" s="619"/>
    </row>
    <row r="6" spans="1:4">
      <c r="A6" s="620" t="s">
        <v>6</v>
      </c>
      <c r="B6" s="620"/>
      <c r="C6" s="620"/>
    </row>
    <row r="7" spans="1:4" ht="15" customHeight="1">
      <c r="A7" s="8"/>
      <c r="C7" s="6"/>
    </row>
    <row r="8" spans="1:4" ht="15.95" customHeight="1">
      <c r="A8" s="9" t="s">
        <v>7</v>
      </c>
      <c r="B8" s="10" t="s">
        <v>8</v>
      </c>
      <c r="C8" s="11" t="s">
        <v>9</v>
      </c>
    </row>
    <row r="9" spans="1:4" ht="15.95" customHeight="1">
      <c r="A9" s="12" t="s">
        <v>10</v>
      </c>
      <c r="B9" s="621" t="s">
        <v>11</v>
      </c>
      <c r="C9" s="621"/>
    </row>
    <row r="10" spans="1:4" ht="15.95" customHeight="1">
      <c r="A10" s="13">
        <v>1</v>
      </c>
      <c r="B10" s="14" t="s">
        <v>12</v>
      </c>
      <c r="C10" s="15">
        <v>0.2</v>
      </c>
    </row>
    <row r="11" spans="1:4" ht="15.95" customHeight="1">
      <c r="A11" s="13">
        <v>2</v>
      </c>
      <c r="B11" s="14" t="s">
        <v>13</v>
      </c>
      <c r="C11" s="16">
        <v>1.4999999999999999E-2</v>
      </c>
    </row>
    <row r="12" spans="1:4" ht="15.95" customHeight="1">
      <c r="A12" s="13">
        <v>3</v>
      </c>
      <c r="B12" s="14" t="s">
        <v>14</v>
      </c>
      <c r="C12" s="16">
        <v>0.01</v>
      </c>
    </row>
    <row r="13" spans="1:4" ht="15.95" customHeight="1">
      <c r="A13" s="13">
        <v>4</v>
      </c>
      <c r="B13" s="14" t="s">
        <v>15</v>
      </c>
      <c r="C13" s="16">
        <v>2E-3</v>
      </c>
    </row>
    <row r="14" spans="1:4" ht="15.95" customHeight="1">
      <c r="A14" s="13">
        <v>5</v>
      </c>
      <c r="B14" s="14" t="s">
        <v>16</v>
      </c>
      <c r="C14" s="16">
        <v>2.5000000000000001E-2</v>
      </c>
    </row>
    <row r="15" spans="1:4" ht="15.95" customHeight="1">
      <c r="A15" s="13">
        <v>6</v>
      </c>
      <c r="B15" s="14" t="s">
        <v>17</v>
      </c>
      <c r="C15" s="16">
        <v>0.08</v>
      </c>
    </row>
    <row r="16" spans="1:4" ht="15.95" customHeight="1">
      <c r="A16" s="13">
        <v>7</v>
      </c>
      <c r="B16" s="14" t="s">
        <v>18</v>
      </c>
      <c r="C16" s="15">
        <v>0.06</v>
      </c>
      <c r="D16" s="17"/>
    </row>
    <row r="17" spans="1:3" ht="15.95" customHeight="1">
      <c r="A17" s="13">
        <v>8</v>
      </c>
      <c r="B17" s="14" t="s">
        <v>19</v>
      </c>
      <c r="C17" s="16">
        <v>6.0000000000000001E-3</v>
      </c>
    </row>
    <row r="18" spans="1:3" ht="15.95" customHeight="1">
      <c r="A18" s="622" t="s">
        <v>20</v>
      </c>
      <c r="B18" s="622"/>
      <c r="C18" s="18">
        <f>SUM(C10:C17)</f>
        <v>0.39800000000000008</v>
      </c>
    </row>
    <row r="19" spans="1:3" ht="15.95" customHeight="1">
      <c r="A19" s="623" t="s">
        <v>21</v>
      </c>
      <c r="B19" s="623"/>
      <c r="C19" s="623"/>
    </row>
    <row r="20" spans="1:3" ht="15.95" customHeight="1">
      <c r="A20" s="19" t="s">
        <v>22</v>
      </c>
      <c r="B20" s="20"/>
      <c r="C20" s="21"/>
    </row>
    <row r="21" spans="1:3" ht="15.95" customHeight="1">
      <c r="A21" s="13">
        <v>9</v>
      </c>
      <c r="B21" s="14" t="s">
        <v>23</v>
      </c>
      <c r="C21" s="16">
        <v>9.0899999999999995E-2</v>
      </c>
    </row>
    <row r="22" spans="1:3" ht="15.95" customHeight="1">
      <c r="A22" s="13">
        <v>10</v>
      </c>
      <c r="B22" s="14" t="s">
        <v>24</v>
      </c>
      <c r="C22" s="16">
        <v>3.0300000000000001E-2</v>
      </c>
    </row>
    <row r="23" spans="1:3" ht="15.95" customHeight="1">
      <c r="A23" s="624" t="s">
        <v>25</v>
      </c>
      <c r="B23" s="624"/>
      <c r="C23" s="22">
        <f>SUM(C21:C22)</f>
        <v>0.1212</v>
      </c>
    </row>
    <row r="24" spans="1:3" ht="15.95" customHeight="1">
      <c r="A24" s="625" t="s">
        <v>26</v>
      </c>
      <c r="B24" s="625"/>
      <c r="C24" s="23">
        <f>C18*C23</f>
        <v>4.8237600000000012E-2</v>
      </c>
    </row>
    <row r="25" spans="1:3" ht="15.95" customHeight="1">
      <c r="A25" s="624" t="s">
        <v>27</v>
      </c>
      <c r="B25" s="624"/>
      <c r="C25" s="24">
        <f>SUM(C23:C24)</f>
        <v>0.16943760000000002</v>
      </c>
    </row>
    <row r="26" spans="1:3" ht="15.95" customHeight="1">
      <c r="A26" s="19" t="s">
        <v>28</v>
      </c>
      <c r="B26" s="621" t="s">
        <v>29</v>
      </c>
      <c r="C26" s="621"/>
    </row>
    <row r="27" spans="1:3" ht="15.95" customHeight="1">
      <c r="A27" s="25">
        <v>11</v>
      </c>
      <c r="B27" s="26" t="s">
        <v>30</v>
      </c>
      <c r="C27" s="23">
        <v>2.9999999999999997E-4</v>
      </c>
    </row>
    <row r="28" spans="1:3" ht="15.95" customHeight="1">
      <c r="A28" s="625" t="s">
        <v>31</v>
      </c>
      <c r="B28" s="625"/>
      <c r="C28" s="27">
        <f>C18*C27</f>
        <v>1.1940000000000002E-4</v>
      </c>
    </row>
    <row r="29" spans="1:3" ht="15.95" customHeight="1">
      <c r="A29" s="624" t="s">
        <v>32</v>
      </c>
      <c r="B29" s="624"/>
      <c r="C29" s="28">
        <f>SUM(C27:C28)</f>
        <v>4.194E-4</v>
      </c>
    </row>
    <row r="30" spans="1:3" ht="15.95" customHeight="1">
      <c r="A30" s="19" t="s">
        <v>33</v>
      </c>
      <c r="B30" s="621" t="s">
        <v>34</v>
      </c>
      <c r="C30" s="621"/>
    </row>
    <row r="31" spans="1:3" ht="15.95" customHeight="1">
      <c r="A31" s="25">
        <v>12</v>
      </c>
      <c r="B31" s="26" t="s">
        <v>35</v>
      </c>
      <c r="C31" s="29">
        <v>4.1999999999999997E-3</v>
      </c>
    </row>
    <row r="32" spans="1:3" ht="15.95" customHeight="1">
      <c r="A32" s="626" t="s">
        <v>36</v>
      </c>
      <c r="B32" s="626"/>
      <c r="C32" s="23">
        <f>ROUND((C15*C31),6)</f>
        <v>3.3599999999999998E-4</v>
      </c>
    </row>
    <row r="33" spans="1:5" ht="15.95" customHeight="1">
      <c r="A33" s="13">
        <v>13</v>
      </c>
      <c r="B33" s="14" t="s">
        <v>37</v>
      </c>
      <c r="C33" s="30">
        <f>ROUND(((0.08*0.4*0.9*(1+1/11+1/11+(1/3*1/11)))),5)</f>
        <v>3.4909999999999997E-2</v>
      </c>
    </row>
    <row r="34" spans="1:5" ht="15.95" customHeight="1">
      <c r="A34" s="25">
        <v>14</v>
      </c>
      <c r="B34" s="26" t="s">
        <v>38</v>
      </c>
      <c r="C34" s="31">
        <v>4.0000000000000002E-4</v>
      </c>
      <c r="E34" s="32"/>
    </row>
    <row r="35" spans="1:5" ht="15.95" customHeight="1">
      <c r="A35" s="626" t="s">
        <v>39</v>
      </c>
      <c r="B35" s="626"/>
      <c r="C35" s="16">
        <f>ROUND((C34*C18),4)</f>
        <v>2.0000000000000001E-4</v>
      </c>
    </row>
    <row r="36" spans="1:5" ht="15.95" customHeight="1">
      <c r="A36" s="25">
        <v>15</v>
      </c>
      <c r="B36" s="26" t="s">
        <v>40</v>
      </c>
      <c r="C36" s="30">
        <f>(0.4*0.08/100)</f>
        <v>3.2000000000000003E-4</v>
      </c>
    </row>
    <row r="37" spans="1:5" ht="15.95" customHeight="1">
      <c r="A37" s="627" t="s">
        <v>41</v>
      </c>
      <c r="B37" s="627"/>
      <c r="C37" s="22">
        <f>SUM(C31:C36)</f>
        <v>4.0365999999999992E-2</v>
      </c>
    </row>
    <row r="38" spans="1:5" ht="15.95" customHeight="1">
      <c r="A38" s="19" t="s">
        <v>42</v>
      </c>
      <c r="B38" s="621" t="s">
        <v>43</v>
      </c>
      <c r="C38" s="621"/>
    </row>
    <row r="39" spans="1:5" ht="15.95" customHeight="1">
      <c r="A39" s="25">
        <v>16</v>
      </c>
      <c r="B39" s="26" t="s">
        <v>44</v>
      </c>
      <c r="C39" s="23">
        <v>9.0899999999999995E-2</v>
      </c>
    </row>
    <row r="40" spans="1:5" ht="15.95" customHeight="1">
      <c r="A40" s="25">
        <v>17</v>
      </c>
      <c r="B40" s="26" t="s">
        <v>45</v>
      </c>
      <c r="C40" s="23">
        <v>1.66E-2</v>
      </c>
    </row>
    <row r="41" spans="1:5" ht="15.95" customHeight="1">
      <c r="A41" s="25">
        <v>18</v>
      </c>
      <c r="B41" s="26" t="s">
        <v>46</v>
      </c>
      <c r="C41" s="23">
        <v>2.9999999999999997E-4</v>
      </c>
    </row>
    <row r="42" spans="1:5" ht="15.95" customHeight="1">
      <c r="A42" s="25">
        <v>19</v>
      </c>
      <c r="B42" s="26" t="s">
        <v>47</v>
      </c>
      <c r="C42" s="23">
        <v>8.2000000000000007E-3</v>
      </c>
    </row>
    <row r="43" spans="1:5" ht="15.95" customHeight="1">
      <c r="A43" s="25">
        <v>20</v>
      </c>
      <c r="B43" s="26" t="s">
        <v>48</v>
      </c>
      <c r="C43" s="23">
        <v>2.9999999999999997E-4</v>
      </c>
    </row>
    <row r="44" spans="1:5" ht="15.95" customHeight="1">
      <c r="A44" s="627" t="s">
        <v>25</v>
      </c>
      <c r="B44" s="627"/>
      <c r="C44" s="24">
        <f>SUM(C39:C43)</f>
        <v>0.11629999999999999</v>
      </c>
    </row>
    <row r="45" spans="1:5" ht="15.95" customHeight="1">
      <c r="A45" s="626" t="s">
        <v>49</v>
      </c>
      <c r="B45" s="626"/>
      <c r="C45" s="23">
        <f>C18*C44</f>
        <v>4.6287400000000006E-2</v>
      </c>
    </row>
    <row r="46" spans="1:5" ht="15.95" customHeight="1">
      <c r="A46" s="627" t="s">
        <v>50</v>
      </c>
      <c r="B46" s="627"/>
      <c r="C46" s="24">
        <f>SUM(C44:C45)</f>
        <v>0.16258739999999999</v>
      </c>
    </row>
    <row r="47" spans="1:5" ht="15.95" customHeight="1">
      <c r="A47" s="33" t="s">
        <v>51</v>
      </c>
      <c r="B47" s="34" t="s">
        <v>52</v>
      </c>
      <c r="C47" s="24"/>
    </row>
    <row r="48" spans="1:5" ht="15.95" customHeight="1">
      <c r="A48" s="25">
        <v>21</v>
      </c>
      <c r="B48" s="26" t="s">
        <v>53</v>
      </c>
      <c r="C48" s="23">
        <v>8.0000000000000004E-4</v>
      </c>
    </row>
    <row r="49" spans="1:3" ht="15.95" customHeight="1">
      <c r="A49" s="627" t="s">
        <v>54</v>
      </c>
      <c r="B49" s="627"/>
      <c r="C49" s="24">
        <f>SUM(C48)</f>
        <v>8.0000000000000004E-4</v>
      </c>
    </row>
    <row r="50" spans="1:3" ht="15.95" customHeight="1">
      <c r="A50" s="628" t="s">
        <v>55</v>
      </c>
      <c r="B50" s="628"/>
      <c r="C50" s="628"/>
    </row>
    <row r="51" spans="1:3" ht="15.95" customHeight="1">
      <c r="A51" s="626" t="s">
        <v>11</v>
      </c>
      <c r="B51" s="626"/>
      <c r="C51" s="35">
        <f>ROUND(C18,4)</f>
        <v>0.39800000000000002</v>
      </c>
    </row>
    <row r="52" spans="1:3" ht="15.95" customHeight="1">
      <c r="A52" s="626" t="s">
        <v>56</v>
      </c>
      <c r="B52" s="626"/>
      <c r="C52" s="35">
        <f>ROUND(C25,4)</f>
        <v>0.1694</v>
      </c>
    </row>
    <row r="53" spans="1:3" ht="15.95" customHeight="1">
      <c r="A53" s="626" t="s">
        <v>29</v>
      </c>
      <c r="B53" s="626"/>
      <c r="C53" s="35">
        <f>ROUND(C29,4)</f>
        <v>4.0000000000000002E-4</v>
      </c>
    </row>
    <row r="54" spans="1:3" ht="15.95" customHeight="1">
      <c r="A54" s="626" t="s">
        <v>57</v>
      </c>
      <c r="B54" s="626"/>
      <c r="C54" s="35">
        <f>ROUND(C37,4)</f>
        <v>4.0399999999999998E-2</v>
      </c>
    </row>
    <row r="55" spans="1:3" ht="15.95" customHeight="1">
      <c r="A55" s="626" t="s">
        <v>58</v>
      </c>
      <c r="B55" s="626"/>
      <c r="C55" s="35">
        <f>ROUND(C46,4)</f>
        <v>0.16259999999999999</v>
      </c>
    </row>
    <row r="56" spans="1:3" ht="15.95" customHeight="1">
      <c r="A56" s="626" t="s">
        <v>53</v>
      </c>
      <c r="B56" s="626"/>
      <c r="C56" s="35">
        <f>ROUND(C49,4)</f>
        <v>8.0000000000000004E-4</v>
      </c>
    </row>
    <row r="57" spans="1:3" ht="15.95" customHeight="1">
      <c r="A57" s="629" t="s">
        <v>59</v>
      </c>
      <c r="B57" s="629"/>
      <c r="C57" s="36">
        <f>SUM(C51:C56)</f>
        <v>0.77159999999999995</v>
      </c>
    </row>
    <row r="58" spans="1:3" ht="13.5">
      <c r="A58" s="37" t="s">
        <v>60</v>
      </c>
      <c r="B58" s="38"/>
      <c r="C58" s="39"/>
    </row>
    <row r="59" spans="1:3" ht="47.25" customHeight="1">
      <c r="A59" s="630" t="s">
        <v>61</v>
      </c>
      <c r="B59" s="630"/>
      <c r="C59" s="630"/>
    </row>
  </sheetData>
  <mergeCells count="30">
    <mergeCell ref="A54:B54"/>
    <mergeCell ref="A55:B55"/>
    <mergeCell ref="A56:B56"/>
    <mergeCell ref="A57:B57"/>
    <mergeCell ref="A59:C59"/>
    <mergeCell ref="A49:B49"/>
    <mergeCell ref="A50:C50"/>
    <mergeCell ref="A51:B51"/>
    <mergeCell ref="A52:B52"/>
    <mergeCell ref="A53:B53"/>
    <mergeCell ref="A37:B37"/>
    <mergeCell ref="B38:C38"/>
    <mergeCell ref="A44:B44"/>
    <mergeCell ref="A45:B45"/>
    <mergeCell ref="A46:B46"/>
    <mergeCell ref="A28:B28"/>
    <mergeCell ref="A29:B29"/>
    <mergeCell ref="B30:C30"/>
    <mergeCell ref="A32:B32"/>
    <mergeCell ref="A35:B35"/>
    <mergeCell ref="A19:C19"/>
    <mergeCell ref="A23:B23"/>
    <mergeCell ref="A24:B24"/>
    <mergeCell ref="A25:B25"/>
    <mergeCell ref="B26:C26"/>
    <mergeCell ref="A4:C4"/>
    <mergeCell ref="A5:C5"/>
    <mergeCell ref="A6:C6"/>
    <mergeCell ref="B9:C9"/>
    <mergeCell ref="A18:B18"/>
  </mergeCells>
  <pageMargins left="0.7" right="0.7" top="0.75" bottom="0.75" header="0.51180555555555496" footer="0.51180555555555496"/>
  <pageSetup paperSize="9" scale="75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K87"/>
  <sheetViews>
    <sheetView topLeftCell="A34" zoomScaleNormal="100" workbookViewId="0">
      <selection activeCell="A46" sqref="A46:F46"/>
    </sheetView>
  </sheetViews>
  <sheetFormatPr defaultColWidth="8.7109375" defaultRowHeight="12.75"/>
  <cols>
    <col min="1" max="1" width="10.5703125" customWidth="1"/>
    <col min="2" max="2" width="18.5703125" customWidth="1"/>
    <col min="3" max="3" width="14.42578125" customWidth="1"/>
    <col min="4" max="5" width="15" customWidth="1"/>
    <col min="6" max="6" width="16.7109375" customWidth="1"/>
    <col min="7" max="7" width="13.140625" customWidth="1"/>
    <col min="8" max="9" width="12.5703125" customWidth="1"/>
  </cols>
  <sheetData>
    <row r="1" spans="1:11" ht="20.100000000000001" customHeight="1">
      <c r="A1" s="391"/>
      <c r="B1" s="391" t="s">
        <v>433</v>
      </c>
      <c r="C1" s="392"/>
      <c r="D1" s="392"/>
      <c r="E1" s="392"/>
      <c r="F1" s="393"/>
      <c r="G1" s="100"/>
      <c r="H1" s="393"/>
      <c r="I1" s="225"/>
    </row>
    <row r="2" spans="1:11" ht="20.100000000000001" customHeight="1">
      <c r="A2" s="391"/>
      <c r="B2" s="391" t="s">
        <v>434</v>
      </c>
      <c r="C2" s="394"/>
      <c r="D2" s="394"/>
      <c r="E2" s="394"/>
      <c r="F2" s="395"/>
      <c r="G2" s="102"/>
      <c r="H2" s="395"/>
      <c r="I2" s="226"/>
    </row>
    <row r="3" spans="1:11" ht="20.100000000000001" customHeight="1">
      <c r="A3" s="396"/>
      <c r="B3" s="396" t="s">
        <v>274</v>
      </c>
      <c r="C3" s="394"/>
      <c r="D3" s="394"/>
      <c r="E3" s="394"/>
      <c r="F3" s="395"/>
      <c r="G3" s="102"/>
      <c r="H3" s="395"/>
      <c r="I3" s="226"/>
    </row>
    <row r="4" spans="1:11" ht="20.100000000000001" customHeight="1">
      <c r="A4" s="739" t="s">
        <v>435</v>
      </c>
      <c r="B4" s="739"/>
      <c r="C4" s="739"/>
      <c r="D4" s="739"/>
      <c r="E4" s="739"/>
      <c r="F4" s="739"/>
      <c r="G4" s="739"/>
      <c r="H4" s="739"/>
      <c r="I4" s="739"/>
    </row>
    <row r="5" spans="1:11" ht="20.100000000000001" customHeight="1">
      <c r="A5" s="740" t="s">
        <v>436</v>
      </c>
      <c r="B5" s="740"/>
      <c r="C5" s="740"/>
      <c r="D5" s="740"/>
      <c r="E5" s="740"/>
      <c r="F5" s="740"/>
      <c r="G5" s="740"/>
      <c r="H5" s="740"/>
      <c r="I5" s="740"/>
    </row>
    <row r="6" spans="1:11" ht="20.100000000000001" customHeight="1">
      <c r="A6" s="741" t="s">
        <v>513</v>
      </c>
      <c r="B6" s="741"/>
      <c r="C6" s="741"/>
      <c r="D6" s="741"/>
      <c r="E6" s="397" t="str">
        <f>Dados!B5</f>
        <v>CCT 2022</v>
      </c>
      <c r="F6" s="742" t="s">
        <v>438</v>
      </c>
      <c r="G6" s="743" t="s">
        <v>439</v>
      </c>
      <c r="H6" s="742" t="s">
        <v>440</v>
      </c>
      <c r="I6" s="744" t="s">
        <v>441</v>
      </c>
    </row>
    <row r="7" spans="1:11" ht="20.100000000000001" customHeight="1">
      <c r="A7" s="745" t="s">
        <v>442</v>
      </c>
      <c r="B7" s="745"/>
      <c r="C7" s="745"/>
      <c r="D7" s="745"/>
      <c r="E7" s="398" t="s">
        <v>366</v>
      </c>
      <c r="F7" s="742"/>
      <c r="G7" s="743"/>
      <c r="H7" s="742"/>
      <c r="I7" s="744"/>
    </row>
    <row r="8" spans="1:11" ht="20.100000000000001" customHeight="1">
      <c r="A8" s="746" t="s">
        <v>443</v>
      </c>
      <c r="B8" s="746"/>
      <c r="C8" s="746"/>
      <c r="D8" s="746"/>
      <c r="E8" s="746"/>
      <c r="F8" s="746"/>
      <c r="G8" s="746"/>
      <c r="H8" s="746"/>
      <c r="I8" s="746"/>
    </row>
    <row r="9" spans="1:11" ht="24.75" customHeight="1">
      <c r="A9" s="399" t="s">
        <v>444</v>
      </c>
      <c r="B9" s="747" t="s">
        <v>445</v>
      </c>
      <c r="C9" s="747"/>
      <c r="D9" s="400" t="s">
        <v>446</v>
      </c>
      <c r="E9" s="401" t="s">
        <v>447</v>
      </c>
      <c r="F9" s="748" t="s">
        <v>448</v>
      </c>
      <c r="G9" s="748"/>
      <c r="H9" s="748"/>
      <c r="I9" s="748"/>
    </row>
    <row r="10" spans="1:11" ht="20.100000000000001" customHeight="1">
      <c r="A10" s="749">
        <v>1</v>
      </c>
      <c r="B10" s="750" t="s">
        <v>259</v>
      </c>
      <c r="C10" s="750"/>
      <c r="D10" s="402">
        <v>150</v>
      </c>
      <c r="E10" s="403">
        <f>Dados!D9</f>
        <v>1309.1500000000001</v>
      </c>
      <c r="F10" s="404">
        <f>ROUND(E10/220*D10,2)</f>
        <v>892.6</v>
      </c>
      <c r="G10" s="404"/>
      <c r="H10" s="404"/>
      <c r="I10" s="405"/>
      <c r="J10" s="522"/>
    </row>
    <row r="11" spans="1:11" ht="20.100000000000001" customHeight="1">
      <c r="A11" s="749"/>
      <c r="B11" s="750" t="s">
        <v>449</v>
      </c>
      <c r="C11" s="750"/>
      <c r="D11" s="406"/>
      <c r="E11" s="403">
        <f>Dados!G24</f>
        <v>1320</v>
      </c>
      <c r="F11" s="404">
        <f>E11*D11</f>
        <v>0</v>
      </c>
      <c r="G11" s="404"/>
      <c r="H11" s="404"/>
      <c r="I11" s="405"/>
    </row>
    <row r="12" spans="1:11" ht="20.100000000000001" customHeight="1">
      <c r="A12" s="749"/>
      <c r="B12" s="407" t="s">
        <v>450</v>
      </c>
      <c r="C12" s="408"/>
      <c r="D12" s="406"/>
      <c r="E12" s="403">
        <f>Dados!D9</f>
        <v>1309.1500000000001</v>
      </c>
      <c r="F12" s="404">
        <f>ROUND((((E10/220*D10)*D12)*C12),2)</f>
        <v>0</v>
      </c>
      <c r="G12" s="404"/>
      <c r="H12" s="404"/>
      <c r="I12" s="405"/>
      <c r="K12" s="522"/>
    </row>
    <row r="13" spans="1:11" ht="20.100000000000001" customHeight="1">
      <c r="A13" s="749"/>
      <c r="B13" s="751" t="s">
        <v>451</v>
      </c>
      <c r="C13" s="751"/>
      <c r="D13" s="751"/>
      <c r="E13" s="751"/>
      <c r="F13" s="409">
        <f>SUM(F10:F12)</f>
        <v>892.6</v>
      </c>
      <c r="G13" s="409">
        <f>SUM(G10:G12)</f>
        <v>0</v>
      </c>
      <c r="H13" s="409">
        <f>SUM(H10:H12)</f>
        <v>0</v>
      </c>
      <c r="I13" s="410">
        <f>SUM(I10:I12)</f>
        <v>0</v>
      </c>
    </row>
    <row r="14" spans="1:11" ht="20.100000000000001" customHeight="1">
      <c r="A14" s="749"/>
      <c r="B14" s="752" t="s">
        <v>452</v>
      </c>
      <c r="C14" s="752"/>
      <c r="D14" s="752"/>
      <c r="E14" s="412">
        <f>Dados!G13</f>
        <v>0.77159999999999995</v>
      </c>
      <c r="F14" s="413">
        <f>ROUND((E14*F13),2)</f>
        <v>688.73</v>
      </c>
      <c r="G14" s="413"/>
      <c r="H14" s="413"/>
      <c r="I14" s="414"/>
    </row>
    <row r="15" spans="1:11" ht="20.100000000000001" customHeight="1">
      <c r="A15" s="753" t="s">
        <v>453</v>
      </c>
      <c r="B15" s="753"/>
      <c r="C15" s="753"/>
      <c r="D15" s="753"/>
      <c r="E15" s="753"/>
      <c r="F15" s="415">
        <f>SUM(F13:F14)</f>
        <v>1581.33</v>
      </c>
      <c r="G15" s="415">
        <f>SUM(G13:G14)</f>
        <v>0</v>
      </c>
      <c r="H15" s="415">
        <f>SUM(H13:H14)</f>
        <v>0</v>
      </c>
      <c r="I15" s="416">
        <f>SUM(I13:I14)</f>
        <v>0</v>
      </c>
    </row>
    <row r="16" spans="1:11" ht="20.100000000000001" customHeight="1">
      <c r="A16" s="754" t="s">
        <v>454</v>
      </c>
      <c r="B16" s="754"/>
      <c r="C16" s="754"/>
      <c r="D16" s="754"/>
      <c r="E16" s="754"/>
      <c r="F16" s="754"/>
      <c r="G16" s="754"/>
      <c r="H16" s="754"/>
      <c r="I16" s="754"/>
    </row>
    <row r="17" spans="1:9" ht="20.100000000000001" customHeight="1">
      <c r="A17" s="755" t="s">
        <v>455</v>
      </c>
      <c r="B17" s="755"/>
      <c r="C17" s="417" t="s">
        <v>456</v>
      </c>
      <c r="D17" s="756" t="s">
        <v>457</v>
      </c>
      <c r="E17" s="756"/>
      <c r="F17" s="757" t="s">
        <v>448</v>
      </c>
      <c r="G17" s="757"/>
      <c r="H17" s="757"/>
      <c r="I17" s="757"/>
    </row>
    <row r="18" spans="1:9" ht="20.100000000000001" customHeight="1">
      <c r="A18" s="758" t="s">
        <v>400</v>
      </c>
      <c r="B18" s="758"/>
      <c r="C18" s="419"/>
      <c r="D18" s="420"/>
      <c r="E18" s="421"/>
      <c r="F18" s="404">
        <f>Dados!H9</f>
        <v>36.03</v>
      </c>
      <c r="G18" s="404"/>
      <c r="H18" s="404"/>
      <c r="I18" s="405"/>
    </row>
    <row r="19" spans="1:9" ht="20.100000000000001" customHeight="1">
      <c r="A19" s="758" t="s">
        <v>458</v>
      </c>
      <c r="B19" s="758"/>
      <c r="C19" s="419"/>
      <c r="D19" s="420"/>
      <c r="E19" s="420"/>
      <c r="F19" s="404">
        <f>Dados!G15</f>
        <v>4</v>
      </c>
      <c r="G19" s="404"/>
      <c r="H19" s="404"/>
      <c r="I19" s="405"/>
    </row>
    <row r="20" spans="1:9" ht="20.100000000000001" customHeight="1">
      <c r="A20" s="759" t="s">
        <v>419</v>
      </c>
      <c r="B20" s="759"/>
      <c r="C20" s="419"/>
      <c r="D20" s="420"/>
      <c r="E20" s="420"/>
      <c r="F20" s="404">
        <f>Dados!G16</f>
        <v>0</v>
      </c>
      <c r="G20" s="404"/>
      <c r="H20" s="404"/>
      <c r="I20" s="405"/>
    </row>
    <row r="21" spans="1:9" ht="20.100000000000001" customHeight="1">
      <c r="A21" s="758" t="s">
        <v>459</v>
      </c>
      <c r="B21" s="758"/>
      <c r="C21" s="422">
        <f>Dados!G19</f>
        <v>21</v>
      </c>
      <c r="D21" s="404">
        <f>Dados!C17</f>
        <v>0</v>
      </c>
      <c r="E21" s="404">
        <f>Dados!G17</f>
        <v>4.2</v>
      </c>
      <c r="F21" s="404">
        <f>ROUND(((D21+E21)*2*C21)-(F10*0.06),2)</f>
        <v>122.84</v>
      </c>
      <c r="G21" s="404"/>
      <c r="H21" s="404">
        <f>F21</f>
        <v>122.84</v>
      </c>
      <c r="I21" s="405"/>
    </row>
    <row r="22" spans="1:9" ht="20.100000000000001" customHeight="1">
      <c r="A22" s="758" t="s">
        <v>422</v>
      </c>
      <c r="B22" s="758"/>
      <c r="C22" s="423">
        <f>Dados!$H$18</f>
        <v>0.2</v>
      </c>
      <c r="D22" s="422">
        <f>Dados!$G$19</f>
        <v>21</v>
      </c>
      <c r="E22" s="404">
        <f>Dados!$G$18</f>
        <v>24.54</v>
      </c>
      <c r="F22" s="424">
        <f>ROUND((IF(D10&gt;150,((D22*E22)-(C22*(D22*E22))),0)),2)</f>
        <v>0</v>
      </c>
      <c r="G22" s="404"/>
      <c r="H22" s="424"/>
      <c r="I22" s="405"/>
    </row>
    <row r="23" spans="1:9" ht="20.100000000000001" customHeight="1">
      <c r="A23" s="758" t="s">
        <v>460</v>
      </c>
      <c r="B23" s="758"/>
      <c r="C23" s="422"/>
      <c r="D23" s="404"/>
      <c r="E23" s="404"/>
      <c r="F23" s="404">
        <f>Dados!I9</f>
        <v>469.95</v>
      </c>
      <c r="G23" s="404">
        <f>F23</f>
        <v>469.95</v>
      </c>
      <c r="H23" s="404"/>
      <c r="I23" s="405"/>
    </row>
    <row r="24" spans="1:9" ht="20.100000000000001" customHeight="1">
      <c r="A24" s="418" t="s">
        <v>461</v>
      </c>
      <c r="B24" s="427"/>
      <c r="C24" s="422"/>
      <c r="D24" s="404"/>
      <c r="E24" s="404"/>
      <c r="F24" s="404">
        <f>Dados!J9</f>
        <v>0</v>
      </c>
      <c r="G24" s="404">
        <f>F24</f>
        <v>0</v>
      </c>
      <c r="H24" s="404"/>
      <c r="I24" s="405"/>
    </row>
    <row r="25" spans="1:9" ht="20.100000000000001" customHeight="1">
      <c r="A25" s="418" t="s">
        <v>462</v>
      </c>
      <c r="B25" s="427"/>
      <c r="C25" s="428"/>
      <c r="D25" s="404"/>
      <c r="E25" s="404"/>
      <c r="F25" s="404">
        <f>Dados!P9</f>
        <v>4.88</v>
      </c>
      <c r="G25" s="404">
        <f>F25</f>
        <v>4.88</v>
      </c>
      <c r="H25" s="404"/>
      <c r="I25" s="405"/>
    </row>
    <row r="26" spans="1:9" ht="20.100000000000001" customHeight="1">
      <c r="A26" s="760" t="s">
        <v>463</v>
      </c>
      <c r="B26" s="760"/>
      <c r="C26" s="429"/>
      <c r="D26" s="413"/>
      <c r="E26" s="413"/>
      <c r="F26" s="413">
        <f>Dados!M9</f>
        <v>0</v>
      </c>
      <c r="G26" s="413"/>
      <c r="H26" s="413"/>
      <c r="I26" s="414"/>
    </row>
    <row r="27" spans="1:9" ht="20.100000000000001" customHeight="1">
      <c r="A27" s="761" t="s">
        <v>464</v>
      </c>
      <c r="B27" s="761"/>
      <c r="C27" s="761"/>
      <c r="D27" s="761"/>
      <c r="E27" s="761"/>
      <c r="F27" s="415">
        <f>SUM(F18:F26)</f>
        <v>637.69999999999993</v>
      </c>
      <c r="G27" s="415">
        <f>SUM(G18:G26)</f>
        <v>474.83</v>
      </c>
      <c r="H27" s="415">
        <f>SUM(H18:H26)</f>
        <v>122.84</v>
      </c>
      <c r="I27" s="416">
        <f>SUM(I18:I26)</f>
        <v>0</v>
      </c>
    </row>
    <row r="28" spans="1:9" ht="20.100000000000001" customHeight="1">
      <c r="A28" s="761" t="s">
        <v>465</v>
      </c>
      <c r="B28" s="761"/>
      <c r="C28" s="761"/>
      <c r="D28" s="761"/>
      <c r="E28" s="761"/>
      <c r="F28" s="415">
        <f>F15+F27</f>
        <v>2219.0299999999997</v>
      </c>
      <c r="G28" s="415">
        <f>G15+G27</f>
        <v>474.83</v>
      </c>
      <c r="H28" s="415">
        <f>(H27+H15)</f>
        <v>122.84</v>
      </c>
      <c r="I28" s="416">
        <f>(I27+I15)</f>
        <v>0</v>
      </c>
    </row>
    <row r="29" spans="1:9" ht="20.100000000000001" customHeight="1">
      <c r="A29" s="746" t="s">
        <v>466</v>
      </c>
      <c r="B29" s="746"/>
      <c r="C29" s="746"/>
      <c r="D29" s="746"/>
      <c r="E29" s="746"/>
      <c r="F29" s="746"/>
      <c r="G29" s="746"/>
      <c r="H29" s="746"/>
      <c r="I29" s="746"/>
    </row>
    <row r="30" spans="1:9" ht="20.100000000000001" customHeight="1">
      <c r="A30" s="755" t="s">
        <v>467</v>
      </c>
      <c r="B30" s="755"/>
      <c r="C30" s="755"/>
      <c r="D30" s="430" t="s">
        <v>468</v>
      </c>
      <c r="E30" s="762" t="s">
        <v>448</v>
      </c>
      <c r="F30" s="762"/>
      <c r="G30" s="762"/>
      <c r="H30" s="762"/>
      <c r="I30" s="762"/>
    </row>
    <row r="31" spans="1:9" ht="20.100000000000001" customHeight="1">
      <c r="A31" s="431" t="s">
        <v>469</v>
      </c>
      <c r="B31" s="432"/>
      <c r="C31" s="432"/>
      <c r="D31" s="420">
        <f>Dados!G21</f>
        <v>0.03</v>
      </c>
      <c r="E31" s="433"/>
      <c r="F31" s="404">
        <f>ROUND((F28*D31),2)</f>
        <v>66.569999999999993</v>
      </c>
      <c r="G31" s="404">
        <f>ROUND((G28*D31),2)</f>
        <v>14.24</v>
      </c>
      <c r="H31" s="404">
        <f>ROUND((H28*D31),2)</f>
        <v>3.69</v>
      </c>
      <c r="I31" s="405">
        <f>ROUND((I28*D31),2)</f>
        <v>0</v>
      </c>
    </row>
    <row r="32" spans="1:9" ht="20.100000000000001" customHeight="1">
      <c r="A32" s="763" t="s">
        <v>470</v>
      </c>
      <c r="B32" s="763"/>
      <c r="C32" s="763"/>
      <c r="D32" s="420"/>
      <c r="E32" s="433"/>
      <c r="F32" s="404">
        <f>F28+F31</f>
        <v>2285.6</v>
      </c>
      <c r="G32" s="404">
        <f>G28+G31</f>
        <v>489.07</v>
      </c>
      <c r="H32" s="404">
        <f>H28+H31</f>
        <v>126.53</v>
      </c>
      <c r="I32" s="405">
        <f>I28+I31</f>
        <v>0</v>
      </c>
    </row>
    <row r="33" spans="1:9" ht="20.100000000000001" customHeight="1">
      <c r="A33" s="434" t="s">
        <v>427</v>
      </c>
      <c r="B33" s="435"/>
      <c r="C33" s="435"/>
      <c r="D33" s="436">
        <f>Dados!G22</f>
        <v>6.7900000000000002E-2</v>
      </c>
      <c r="E33" s="437"/>
      <c r="F33" s="413">
        <f>ROUND((F32*D33),2)</f>
        <v>155.19</v>
      </c>
      <c r="G33" s="413">
        <f>ROUND((G32*D33),2)</f>
        <v>33.21</v>
      </c>
      <c r="H33" s="413">
        <f>ROUND((H32*D33),2)</f>
        <v>8.59</v>
      </c>
      <c r="I33" s="414">
        <f>ROUND((I32*D33),2)</f>
        <v>0</v>
      </c>
    </row>
    <row r="34" spans="1:9" ht="20.100000000000001" customHeight="1">
      <c r="A34" s="438" t="s">
        <v>471</v>
      </c>
      <c r="B34" s="439"/>
      <c r="C34" s="439"/>
      <c r="D34" s="440">
        <f>SUM(D31:D33)</f>
        <v>9.7900000000000001E-2</v>
      </c>
      <c r="E34" s="441"/>
      <c r="F34" s="415">
        <f>F31+F33</f>
        <v>221.76</v>
      </c>
      <c r="G34" s="415">
        <f>G31+G33</f>
        <v>47.45</v>
      </c>
      <c r="H34" s="415">
        <f>H31+H33</f>
        <v>12.28</v>
      </c>
      <c r="I34" s="416">
        <f>I31+I33</f>
        <v>0</v>
      </c>
    </row>
    <row r="35" spans="1:9" ht="20.100000000000001" customHeight="1">
      <c r="A35" s="764" t="s">
        <v>472</v>
      </c>
      <c r="B35" s="764"/>
      <c r="C35" s="764"/>
      <c r="D35" s="764"/>
      <c r="E35" s="764"/>
      <c r="F35" s="442">
        <f>F15+F27+F34</f>
        <v>2440.79</v>
      </c>
      <c r="G35" s="442">
        <f>G15+G27+G34</f>
        <v>522.28</v>
      </c>
      <c r="H35" s="442">
        <f>H15+H27+H34</f>
        <v>135.12</v>
      </c>
      <c r="I35" s="443">
        <f>I15+I27+I34</f>
        <v>0</v>
      </c>
    </row>
    <row r="36" spans="1:9" ht="20.100000000000001" customHeight="1">
      <c r="A36" s="765" t="s">
        <v>473</v>
      </c>
      <c r="B36" s="765"/>
      <c r="C36" s="765"/>
      <c r="D36" s="765"/>
      <c r="E36" s="765"/>
      <c r="F36" s="765"/>
      <c r="G36" s="765"/>
      <c r="H36" s="765"/>
      <c r="I36" s="765"/>
    </row>
    <row r="37" spans="1:9" ht="20.100000000000001" customHeight="1">
      <c r="A37" s="758" t="s">
        <v>430</v>
      </c>
      <c r="B37" s="758"/>
      <c r="C37" s="758"/>
      <c r="D37" s="420">
        <f>Dados!G25</f>
        <v>7.5999999999999998E-2</v>
      </c>
      <c r="E37" s="421"/>
      <c r="F37" s="404">
        <f>ROUND((F41*D37),2)</f>
        <v>216.33</v>
      </c>
      <c r="G37" s="404">
        <f>ROUND((G41*D37),2)</f>
        <v>46.29</v>
      </c>
      <c r="H37" s="404">
        <f>ROUND((H41*D37),2)</f>
        <v>11.98</v>
      </c>
      <c r="I37" s="405">
        <f>ROUND((I41*D37),2)</f>
        <v>0</v>
      </c>
    </row>
    <row r="38" spans="1:9" ht="20.100000000000001" customHeight="1">
      <c r="A38" s="758" t="s">
        <v>431</v>
      </c>
      <c r="B38" s="758"/>
      <c r="C38" s="758"/>
      <c r="D38" s="420">
        <f>Dados!G26</f>
        <v>1.6500000000000001E-2</v>
      </c>
      <c r="E38" s="421"/>
      <c r="F38" s="404">
        <f>ROUND((F41*D38),2)</f>
        <v>46.97</v>
      </c>
      <c r="G38" s="404">
        <f>ROUND((G41*D38),2)</f>
        <v>10.050000000000001</v>
      </c>
      <c r="H38" s="404">
        <f>ROUND((H41*D38),2)</f>
        <v>2.6</v>
      </c>
      <c r="I38" s="405">
        <f>ROUND((I41*D38),2)</f>
        <v>0</v>
      </c>
    </row>
    <row r="39" spans="1:9" ht="20.100000000000001" customHeight="1">
      <c r="A39" s="758" t="s">
        <v>432</v>
      </c>
      <c r="B39" s="758"/>
      <c r="C39" s="758"/>
      <c r="D39" s="420">
        <f>Dados!G27</f>
        <v>0.05</v>
      </c>
      <c r="E39" s="421"/>
      <c r="F39" s="404">
        <f>ROUND((F41*D39),2)</f>
        <v>142.32</v>
      </c>
      <c r="G39" s="404">
        <f>ROUND((G41*D39),2)</f>
        <v>30.45</v>
      </c>
      <c r="H39" s="404">
        <f>ROUND((H41*D39),2)</f>
        <v>7.88</v>
      </c>
      <c r="I39" s="405">
        <f>ROUND((I41*D39),2)</f>
        <v>0</v>
      </c>
    </row>
    <row r="40" spans="1:9" ht="20.100000000000001" customHeight="1">
      <c r="A40" s="444" t="s">
        <v>474</v>
      </c>
      <c r="B40" s="445"/>
      <c r="C40" s="445"/>
      <c r="D40" s="446">
        <f>SUM(D37:D39)</f>
        <v>0.14250000000000002</v>
      </c>
      <c r="E40" s="447"/>
      <c r="F40" s="409">
        <f>SUM(F37:F39)</f>
        <v>405.62</v>
      </c>
      <c r="G40" s="409">
        <f>SUM(G37:G39)</f>
        <v>86.79</v>
      </c>
      <c r="H40" s="409">
        <f>SUM(H37:H39)</f>
        <v>22.46</v>
      </c>
      <c r="I40" s="410">
        <f>SUM(I37:I39)</f>
        <v>0</v>
      </c>
    </row>
    <row r="41" spans="1:9" ht="20.100000000000001" customHeight="1">
      <c r="A41" s="766" t="s">
        <v>475</v>
      </c>
      <c r="B41" s="766"/>
      <c r="C41" s="766"/>
      <c r="D41" s="766"/>
      <c r="E41" s="766"/>
      <c r="F41" s="448">
        <f>ROUND(F35/(1-D40),2)</f>
        <v>2846.4</v>
      </c>
      <c r="G41" s="448">
        <f>ROUND(G35/(1-D40),2)</f>
        <v>609.07000000000005</v>
      </c>
      <c r="H41" s="448">
        <f>ROUND(H35/(1-D40),2)</f>
        <v>157.57</v>
      </c>
      <c r="I41" s="449">
        <f>ROUND(I35/(1-D40),2)</f>
        <v>0</v>
      </c>
    </row>
    <row r="42" spans="1:9" ht="20.100000000000001" customHeight="1">
      <c r="A42" s="783" t="str">
        <f>"Valor do Custo Mensal"&amp;" - "&amp;A6</f>
        <v>Valor do Custo Mensal - Servente de Limpeza - 150h</v>
      </c>
      <c r="B42" s="783"/>
      <c r="C42" s="783"/>
      <c r="D42" s="783"/>
      <c r="E42" s="783"/>
      <c r="F42" s="523">
        <f>F41</f>
        <v>2846.4</v>
      </c>
      <c r="G42" s="523">
        <f>G41</f>
        <v>609.07000000000005</v>
      </c>
      <c r="H42" s="523">
        <f>H41</f>
        <v>157.57</v>
      </c>
      <c r="I42" s="524">
        <f>I41</f>
        <v>0</v>
      </c>
    </row>
    <row r="43" spans="1:9" ht="20.100000000000001" customHeight="1">
      <c r="A43" s="783" t="str">
        <f>"Valor do Custo Mensal"&amp;" - "&amp;A6</f>
        <v>Valor do Custo Mensal - Servente de Limpeza - 150h</v>
      </c>
      <c r="B43" s="783"/>
      <c r="C43" s="783"/>
      <c r="D43" s="783"/>
      <c r="E43" s="783"/>
      <c r="F43" s="525">
        <f>(F42/F13)/100</f>
        <v>3.1888863992829933E-2</v>
      </c>
      <c r="G43" s="526"/>
      <c r="H43" s="453"/>
      <c r="I43" s="453"/>
    </row>
    <row r="44" spans="1:9" ht="20.100000000000001" customHeight="1">
      <c r="A44" s="102"/>
      <c r="B44" s="102"/>
      <c r="C44" s="102"/>
      <c r="D44" s="102"/>
      <c r="E44" s="102"/>
      <c r="F44" s="390"/>
      <c r="G44" s="223"/>
      <c r="H44" s="455"/>
      <c r="I44" s="223"/>
    </row>
    <row r="45" spans="1:9" ht="29.25" customHeight="1">
      <c r="A45" s="768" t="s">
        <v>476</v>
      </c>
      <c r="B45" s="768"/>
      <c r="C45" s="768"/>
      <c r="D45" s="768"/>
      <c r="E45" s="768"/>
      <c r="F45" s="768"/>
      <c r="G45" s="223"/>
      <c r="H45" s="223"/>
      <c r="I45" s="223"/>
    </row>
    <row r="46" spans="1:9" ht="20.100000000000001" customHeight="1">
      <c r="A46" s="740" t="s">
        <v>512</v>
      </c>
      <c r="B46" s="740"/>
      <c r="C46" s="740"/>
      <c r="D46" s="740"/>
      <c r="E46" s="740"/>
      <c r="F46" s="740"/>
      <c r="G46" s="223"/>
      <c r="H46" s="223"/>
      <c r="I46" s="223"/>
    </row>
    <row r="47" spans="1:9" ht="20.100000000000001" customHeight="1">
      <c r="A47" s="769" t="s">
        <v>477</v>
      </c>
      <c r="B47" s="769"/>
      <c r="C47" s="769"/>
      <c r="D47" s="769"/>
      <c r="E47" s="770" t="s">
        <v>468</v>
      </c>
      <c r="F47" s="771" t="s">
        <v>478</v>
      </c>
      <c r="G47" s="223"/>
      <c r="H47" s="772"/>
      <c r="I47" s="223"/>
    </row>
    <row r="48" spans="1:9" ht="20.100000000000001" customHeight="1">
      <c r="A48" s="456" t="s">
        <v>479</v>
      </c>
      <c r="B48" s="773" t="s">
        <v>43</v>
      </c>
      <c r="C48" s="773"/>
      <c r="D48" s="773"/>
      <c r="E48" s="770"/>
      <c r="F48" s="771"/>
      <c r="G48" s="223"/>
      <c r="H48" s="772"/>
      <c r="I48" s="223"/>
    </row>
    <row r="49" spans="1:9" ht="20.100000000000001" customHeight="1">
      <c r="A49" s="457">
        <v>1</v>
      </c>
      <c r="B49" s="774" t="s">
        <v>480</v>
      </c>
      <c r="C49" s="774"/>
      <c r="D49" s="774"/>
      <c r="E49" s="774"/>
      <c r="F49" s="458">
        <f>F13</f>
        <v>892.6</v>
      </c>
      <c r="G49" s="223"/>
      <c r="H49" s="459"/>
      <c r="I49" s="223"/>
    </row>
    <row r="50" spans="1:9" ht="20.100000000000001" customHeight="1">
      <c r="A50" s="460" t="s">
        <v>481</v>
      </c>
      <c r="B50" s="775" t="s">
        <v>44</v>
      </c>
      <c r="C50" s="775"/>
      <c r="D50" s="775"/>
      <c r="E50" s="461">
        <f>Encargos!C39</f>
        <v>9.0899999999999995E-2</v>
      </c>
      <c r="F50" s="462">
        <f>ROUND((E50*F49),2)</f>
        <v>81.14</v>
      </c>
      <c r="G50" s="223"/>
      <c r="H50" s="463"/>
      <c r="I50" s="223"/>
    </row>
    <row r="51" spans="1:9" ht="20.100000000000001" customHeight="1">
      <c r="A51" s="460" t="s">
        <v>482</v>
      </c>
      <c r="B51" s="775" t="s">
        <v>49</v>
      </c>
      <c r="C51" s="775"/>
      <c r="D51" s="775"/>
      <c r="E51" s="464">
        <f>E50*Encargos!C18</f>
        <v>3.6178200000000008E-2</v>
      </c>
      <c r="F51" s="462">
        <f>ROUND((E51*F49),2)</f>
        <v>32.29</v>
      </c>
      <c r="G51" s="223"/>
      <c r="H51" s="463"/>
      <c r="I51" s="223"/>
    </row>
    <row r="52" spans="1:9" ht="20.100000000000001" customHeight="1">
      <c r="A52" s="778" t="s">
        <v>483</v>
      </c>
      <c r="B52" s="778"/>
      <c r="C52" s="778"/>
      <c r="D52" s="778"/>
      <c r="E52" s="465">
        <f>SUM(E50:E51)</f>
        <v>0.1270782</v>
      </c>
      <c r="F52" s="466">
        <f>SUM(F50:F51)</f>
        <v>113.43</v>
      </c>
      <c r="G52" s="223"/>
      <c r="H52" s="467"/>
      <c r="I52" s="223"/>
    </row>
    <row r="53" spans="1:9" ht="20.100000000000001" customHeight="1">
      <c r="A53" s="779" t="s">
        <v>484</v>
      </c>
      <c r="B53" s="779"/>
      <c r="C53" s="779"/>
      <c r="D53" s="779"/>
      <c r="E53" s="779"/>
      <c r="F53" s="468">
        <f>ROUND((F52*12),2)</f>
        <v>1361.16</v>
      </c>
      <c r="G53" s="223"/>
      <c r="H53" s="467"/>
      <c r="I53" s="223"/>
    </row>
    <row r="54" spans="1:9" ht="20.100000000000001" customHeight="1">
      <c r="A54" s="469">
        <v>2</v>
      </c>
      <c r="B54" s="470" t="s">
        <v>485</v>
      </c>
      <c r="C54" s="471"/>
      <c r="D54" s="471"/>
      <c r="E54" s="471"/>
      <c r="F54" s="472" t="s">
        <v>478</v>
      </c>
      <c r="G54" s="223"/>
      <c r="H54" s="473"/>
      <c r="I54" s="223"/>
    </row>
    <row r="55" spans="1:9" ht="20.100000000000001" customHeight="1">
      <c r="A55" s="474" t="s">
        <v>481</v>
      </c>
      <c r="B55" s="475" t="s">
        <v>486</v>
      </c>
      <c r="C55" s="476"/>
      <c r="D55" s="476"/>
      <c r="E55" s="477"/>
      <c r="F55" s="478">
        <f>F22</f>
        <v>0</v>
      </c>
      <c r="G55" s="223"/>
      <c r="H55" s="479"/>
      <c r="I55" s="223"/>
    </row>
    <row r="56" spans="1:9" ht="20.100000000000001" customHeight="1">
      <c r="A56" s="474" t="s">
        <v>487</v>
      </c>
      <c r="B56" s="475" t="s">
        <v>488</v>
      </c>
      <c r="C56" s="476"/>
      <c r="D56" s="476"/>
      <c r="E56" s="477"/>
      <c r="F56" s="478">
        <f>F21</f>
        <v>122.84</v>
      </c>
      <c r="G56" s="223"/>
      <c r="H56" s="479"/>
      <c r="I56" s="223"/>
    </row>
    <row r="57" spans="1:9" ht="20.100000000000001" customHeight="1">
      <c r="A57" s="474" t="s">
        <v>489</v>
      </c>
      <c r="B57" s="475" t="s">
        <v>490</v>
      </c>
      <c r="C57" s="476"/>
      <c r="D57" s="476"/>
      <c r="E57" s="477"/>
      <c r="F57" s="480">
        <v>0</v>
      </c>
      <c r="G57" s="223"/>
      <c r="H57" s="481"/>
      <c r="I57" s="223"/>
    </row>
    <row r="58" spans="1:9" ht="20.100000000000001" customHeight="1">
      <c r="A58" s="780" t="s">
        <v>491</v>
      </c>
      <c r="B58" s="780"/>
      <c r="C58" s="780"/>
      <c r="D58" s="780"/>
      <c r="E58" s="780"/>
      <c r="F58" s="482">
        <f>SUM(F55:F57)</f>
        <v>122.84</v>
      </c>
      <c r="G58" s="223"/>
      <c r="H58" s="483"/>
      <c r="I58" s="223"/>
    </row>
    <row r="59" spans="1:9" ht="20.100000000000001" customHeight="1">
      <c r="A59" s="484">
        <v>5</v>
      </c>
      <c r="B59" s="781" t="s">
        <v>492</v>
      </c>
      <c r="C59" s="781"/>
      <c r="D59" s="781"/>
      <c r="E59" s="485" t="s">
        <v>468</v>
      </c>
      <c r="F59" s="486" t="s">
        <v>366</v>
      </c>
      <c r="G59" s="223"/>
      <c r="H59" s="473"/>
      <c r="I59" s="223"/>
    </row>
    <row r="60" spans="1:9" ht="20.100000000000001" customHeight="1">
      <c r="A60" s="474" t="s">
        <v>481</v>
      </c>
      <c r="B60" s="782" t="s">
        <v>493</v>
      </c>
      <c r="C60" s="782"/>
      <c r="D60" s="782"/>
      <c r="E60" s="487">
        <f>D31</f>
        <v>0.03</v>
      </c>
      <c r="F60" s="488">
        <f>ROUND((E60*F73),2)</f>
        <v>44.52</v>
      </c>
      <c r="G60" s="223"/>
      <c r="H60" s="489"/>
      <c r="I60" s="223"/>
    </row>
    <row r="61" spans="1:9" ht="20.100000000000001" customHeight="1">
      <c r="A61" s="474" t="s">
        <v>487</v>
      </c>
      <c r="B61" s="490" t="s">
        <v>427</v>
      </c>
      <c r="C61" s="491"/>
      <c r="D61" s="492"/>
      <c r="E61" s="487">
        <f>D33</f>
        <v>6.7900000000000002E-2</v>
      </c>
      <c r="F61" s="488">
        <f>ROUND((E61*F73),2)</f>
        <v>100.76</v>
      </c>
      <c r="G61" s="223"/>
      <c r="H61" s="489"/>
      <c r="I61" s="223"/>
    </row>
    <row r="62" spans="1:9" ht="20.100000000000001" customHeight="1">
      <c r="A62" s="493" t="s">
        <v>489</v>
      </c>
      <c r="B62" s="490" t="s">
        <v>494</v>
      </c>
      <c r="C62" s="491"/>
      <c r="D62" s="492"/>
      <c r="E62" s="494">
        <f>SUM(E63:E66)</f>
        <v>0.14250000000000002</v>
      </c>
      <c r="F62" s="495">
        <f>ROUND((((F73+F60+F61)/(1-$E$62))-(F73+F60+F61)),2)</f>
        <v>270.75</v>
      </c>
      <c r="G62" s="223"/>
      <c r="H62" s="496"/>
      <c r="I62" s="223"/>
    </row>
    <row r="63" spans="1:9" ht="20.100000000000001" customHeight="1">
      <c r="A63" s="497" t="s">
        <v>495</v>
      </c>
      <c r="B63" s="475" t="s">
        <v>496</v>
      </c>
      <c r="C63" s="491"/>
      <c r="D63" s="492"/>
      <c r="E63" s="487">
        <f>D37+D38</f>
        <v>9.2499999999999999E-2</v>
      </c>
      <c r="F63" s="488">
        <v>741.84</v>
      </c>
      <c r="G63" s="223"/>
      <c r="H63" s="489"/>
      <c r="I63" s="223"/>
    </row>
    <row r="64" spans="1:9" ht="20.100000000000001" customHeight="1">
      <c r="A64" s="474" t="s">
        <v>497</v>
      </c>
      <c r="B64" s="498" t="s">
        <v>498</v>
      </c>
      <c r="C64" s="491"/>
      <c r="D64" s="492"/>
      <c r="E64" s="492">
        <v>0</v>
      </c>
      <c r="F64" s="488">
        <v>0</v>
      </c>
      <c r="G64" s="223"/>
      <c r="H64" s="489"/>
      <c r="I64" s="223"/>
    </row>
    <row r="65" spans="1:9" ht="20.100000000000001" customHeight="1">
      <c r="A65" s="474" t="s">
        <v>499</v>
      </c>
      <c r="B65" s="475" t="s">
        <v>500</v>
      </c>
      <c r="C65" s="491"/>
      <c r="D65" s="492"/>
      <c r="E65" s="487">
        <f>D39</f>
        <v>0.05</v>
      </c>
      <c r="F65" s="488">
        <f>ROUND((E65*F75),2)</f>
        <v>95</v>
      </c>
      <c r="G65" s="223"/>
      <c r="H65" s="489"/>
      <c r="I65" s="223"/>
    </row>
    <row r="66" spans="1:9" ht="20.100000000000001" customHeight="1">
      <c r="A66" s="474" t="s">
        <v>501</v>
      </c>
      <c r="B66" s="475" t="s">
        <v>502</v>
      </c>
      <c r="C66" s="491"/>
      <c r="D66" s="492"/>
      <c r="E66" s="492">
        <v>0</v>
      </c>
      <c r="F66" s="488">
        <v>0</v>
      </c>
      <c r="G66" s="223"/>
      <c r="H66" s="489"/>
      <c r="I66" s="223"/>
    </row>
    <row r="67" spans="1:9" ht="20.100000000000001" customHeight="1">
      <c r="A67" s="499" t="s">
        <v>503</v>
      </c>
      <c r="B67" s="500"/>
      <c r="C67" s="501"/>
      <c r="D67" s="502"/>
      <c r="E67" s="502"/>
      <c r="F67" s="503">
        <f>SUM(F60:F62)</f>
        <v>416.03</v>
      </c>
      <c r="G67" s="223"/>
      <c r="H67" s="504"/>
      <c r="I67" s="223"/>
    </row>
    <row r="68" spans="1:9" ht="20.100000000000001" customHeight="1">
      <c r="A68" s="776" t="s">
        <v>504</v>
      </c>
      <c r="B68" s="776"/>
      <c r="C68" s="776"/>
      <c r="D68" s="776"/>
      <c r="E68" s="776"/>
      <c r="F68" s="776"/>
      <c r="G68" s="223"/>
      <c r="H68" s="223"/>
      <c r="I68" s="223"/>
    </row>
    <row r="69" spans="1:9" ht="20.100000000000001" customHeight="1">
      <c r="A69" s="777" t="s">
        <v>505</v>
      </c>
      <c r="B69" s="777"/>
      <c r="C69" s="777"/>
      <c r="D69" s="777"/>
      <c r="E69" s="777"/>
      <c r="F69" s="777"/>
      <c r="G69" s="223"/>
      <c r="H69" s="223"/>
      <c r="I69" s="223"/>
    </row>
    <row r="70" spans="1:9" ht="20.100000000000001" customHeight="1">
      <c r="A70" s="505" t="s">
        <v>506</v>
      </c>
      <c r="B70" s="506"/>
      <c r="C70" s="506"/>
      <c r="D70" s="506"/>
      <c r="E70" s="506"/>
      <c r="F70" s="486" t="s">
        <v>366</v>
      </c>
      <c r="G70" s="223"/>
      <c r="H70" s="473"/>
      <c r="I70" s="223"/>
    </row>
    <row r="71" spans="1:9" ht="20.100000000000001" customHeight="1">
      <c r="A71" s="460" t="s">
        <v>481</v>
      </c>
      <c r="B71" s="507" t="s">
        <v>507</v>
      </c>
      <c r="C71" s="508"/>
      <c r="D71" s="508"/>
      <c r="E71" s="508"/>
      <c r="F71" s="509">
        <f>F53</f>
        <v>1361.16</v>
      </c>
      <c r="G71" s="223"/>
      <c r="H71" s="510"/>
      <c r="I71" s="223"/>
    </row>
    <row r="72" spans="1:9" ht="20.100000000000001" customHeight="1">
      <c r="A72" s="460" t="s">
        <v>487</v>
      </c>
      <c r="B72" s="507" t="s">
        <v>485</v>
      </c>
      <c r="C72" s="508"/>
      <c r="D72" s="508"/>
      <c r="E72" s="508"/>
      <c r="F72" s="509">
        <f>F58</f>
        <v>122.84</v>
      </c>
      <c r="G72" s="223"/>
      <c r="H72" s="510"/>
      <c r="I72" s="223"/>
    </row>
    <row r="73" spans="1:9" ht="20.100000000000001" customHeight="1">
      <c r="A73" s="511" t="s">
        <v>508</v>
      </c>
      <c r="B73" s="512"/>
      <c r="C73" s="512"/>
      <c r="D73" s="512"/>
      <c r="E73" s="512"/>
      <c r="F73" s="513">
        <f>SUM(F71:F72)</f>
        <v>1484</v>
      </c>
      <c r="G73" s="223"/>
      <c r="H73" s="514"/>
      <c r="I73" s="223"/>
    </row>
    <row r="74" spans="1:9" ht="20.100000000000001" customHeight="1">
      <c r="A74" s="515" t="s">
        <v>509</v>
      </c>
      <c r="B74" s="516" t="s">
        <v>510</v>
      </c>
      <c r="C74" s="517"/>
      <c r="D74" s="517"/>
      <c r="E74" s="517"/>
      <c r="F74" s="518">
        <f>F67</f>
        <v>416.03</v>
      </c>
      <c r="G74" s="223"/>
      <c r="H74" s="510"/>
      <c r="I74" s="223"/>
    </row>
    <row r="75" spans="1:9" ht="20.100000000000001" customHeight="1">
      <c r="A75" s="519" t="s">
        <v>511</v>
      </c>
      <c r="B75" s="520"/>
      <c r="C75" s="520"/>
      <c r="D75" s="520"/>
      <c r="E75" s="520"/>
      <c r="F75" s="521">
        <f>SUM(F73:F74)</f>
        <v>1900.03</v>
      </c>
      <c r="G75" s="223"/>
      <c r="H75" s="514"/>
      <c r="I75" s="223"/>
    </row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</sheetData>
  <mergeCells count="59">
    <mergeCell ref="A68:F68"/>
    <mergeCell ref="A69:F69"/>
    <mergeCell ref="A52:D52"/>
    <mergeCell ref="A53:E53"/>
    <mergeCell ref="A58:E58"/>
    <mergeCell ref="B59:D59"/>
    <mergeCell ref="B60:D60"/>
    <mergeCell ref="H47:H48"/>
    <mergeCell ref="B48:D48"/>
    <mergeCell ref="B49:E49"/>
    <mergeCell ref="B50:D50"/>
    <mergeCell ref="B51:D51"/>
    <mergeCell ref="A43:E43"/>
    <mergeCell ref="A45:F45"/>
    <mergeCell ref="A46:F46"/>
    <mergeCell ref="A47:D47"/>
    <mergeCell ref="E47:E48"/>
    <mergeCell ref="F47:F48"/>
    <mergeCell ref="A37:C37"/>
    <mergeCell ref="A38:C38"/>
    <mergeCell ref="A39:C39"/>
    <mergeCell ref="A41:E41"/>
    <mergeCell ref="A42:E42"/>
    <mergeCell ref="A30:C30"/>
    <mergeCell ref="E30:I30"/>
    <mergeCell ref="A32:C32"/>
    <mergeCell ref="A35:E35"/>
    <mergeCell ref="A36:I36"/>
    <mergeCell ref="A23:B23"/>
    <mergeCell ref="A26:B26"/>
    <mergeCell ref="A27:E27"/>
    <mergeCell ref="A28:E28"/>
    <mergeCell ref="A29:I29"/>
    <mergeCell ref="A18:B18"/>
    <mergeCell ref="A19:B19"/>
    <mergeCell ref="A20:B20"/>
    <mergeCell ref="A21:B21"/>
    <mergeCell ref="A22:B22"/>
    <mergeCell ref="A15:E15"/>
    <mergeCell ref="A16:I16"/>
    <mergeCell ref="A17:B17"/>
    <mergeCell ref="D17:E17"/>
    <mergeCell ref="F17:I17"/>
    <mergeCell ref="A8:I8"/>
    <mergeCell ref="B9:C9"/>
    <mergeCell ref="F9:I9"/>
    <mergeCell ref="A10:A14"/>
    <mergeCell ref="B10:C10"/>
    <mergeCell ref="B11:C11"/>
    <mergeCell ref="B13:E13"/>
    <mergeCell ref="B14:D14"/>
    <mergeCell ref="A4:I4"/>
    <mergeCell ref="A5:I5"/>
    <mergeCell ref="A6:D6"/>
    <mergeCell ref="F6:F7"/>
    <mergeCell ref="G6:G7"/>
    <mergeCell ref="H6:H7"/>
    <mergeCell ref="I6:I7"/>
    <mergeCell ref="A7:D7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K87"/>
  <sheetViews>
    <sheetView topLeftCell="A58" zoomScaleNormal="100" workbookViewId="0">
      <selection activeCell="B50" sqref="B50:D50"/>
    </sheetView>
  </sheetViews>
  <sheetFormatPr defaultColWidth="8.7109375" defaultRowHeight="12.75"/>
  <cols>
    <col min="1" max="1" width="10.5703125" customWidth="1"/>
    <col min="2" max="2" width="18.5703125" customWidth="1"/>
    <col min="3" max="3" width="14.42578125" customWidth="1"/>
    <col min="4" max="5" width="15" customWidth="1"/>
    <col min="6" max="6" width="16.7109375" customWidth="1"/>
    <col min="7" max="7" width="13.140625" customWidth="1"/>
    <col min="8" max="9" width="12.5703125" customWidth="1"/>
  </cols>
  <sheetData>
    <row r="1" spans="1:11" ht="20.100000000000001" customHeight="1">
      <c r="A1" s="391"/>
      <c r="B1" s="391" t="s">
        <v>433</v>
      </c>
      <c r="C1" s="392"/>
      <c r="D1" s="392"/>
      <c r="E1" s="392"/>
      <c r="F1" s="393"/>
      <c r="G1" s="100"/>
      <c r="H1" s="393"/>
      <c r="I1" s="225"/>
    </row>
    <row r="2" spans="1:11" ht="20.100000000000001" customHeight="1">
      <c r="A2" s="391"/>
      <c r="B2" s="391" t="s">
        <v>434</v>
      </c>
      <c r="C2" s="394"/>
      <c r="D2" s="394"/>
      <c r="E2" s="394"/>
      <c r="F2" s="395"/>
      <c r="G2" s="102"/>
      <c r="H2" s="395"/>
      <c r="I2" s="226"/>
    </row>
    <row r="3" spans="1:11" ht="20.100000000000001" customHeight="1">
      <c r="A3" s="396"/>
      <c r="B3" s="396" t="s">
        <v>274</v>
      </c>
      <c r="C3" s="394"/>
      <c r="D3" s="394"/>
      <c r="E3" s="394"/>
      <c r="F3" s="395"/>
      <c r="G3" s="102"/>
      <c r="H3" s="395"/>
      <c r="I3" s="226"/>
    </row>
    <row r="4" spans="1:11" ht="20.100000000000001" customHeight="1">
      <c r="A4" s="739" t="s">
        <v>435</v>
      </c>
      <c r="B4" s="739"/>
      <c r="C4" s="739"/>
      <c r="D4" s="739"/>
      <c r="E4" s="739"/>
      <c r="F4" s="739"/>
      <c r="G4" s="739"/>
      <c r="H4" s="739"/>
      <c r="I4" s="739"/>
    </row>
    <row r="5" spans="1:11" ht="20.100000000000001" customHeight="1">
      <c r="A5" s="740" t="s">
        <v>515</v>
      </c>
      <c r="B5" s="740"/>
      <c r="C5" s="740"/>
      <c r="D5" s="740"/>
      <c r="E5" s="740"/>
      <c r="F5" s="740"/>
      <c r="G5" s="740"/>
      <c r="H5" s="740"/>
      <c r="I5" s="740"/>
    </row>
    <row r="6" spans="1:11" ht="20.100000000000001" customHeight="1">
      <c r="A6" s="741" t="s">
        <v>514</v>
      </c>
      <c r="B6" s="741"/>
      <c r="C6" s="741"/>
      <c r="D6" s="741"/>
      <c r="E6" s="397" t="str">
        <f>Dados!B5</f>
        <v>CCT 2022</v>
      </c>
      <c r="F6" s="742" t="s">
        <v>438</v>
      </c>
      <c r="G6" s="743" t="s">
        <v>439</v>
      </c>
      <c r="H6" s="742" t="s">
        <v>440</v>
      </c>
      <c r="I6" s="744" t="s">
        <v>441</v>
      </c>
    </row>
    <row r="7" spans="1:11" ht="20.100000000000001" customHeight="1">
      <c r="A7" s="745" t="s">
        <v>442</v>
      </c>
      <c r="B7" s="745"/>
      <c r="C7" s="745"/>
      <c r="D7" s="745"/>
      <c r="E7" s="398" t="s">
        <v>366</v>
      </c>
      <c r="F7" s="742"/>
      <c r="G7" s="743"/>
      <c r="H7" s="742"/>
      <c r="I7" s="744"/>
    </row>
    <row r="8" spans="1:11" ht="20.100000000000001" customHeight="1">
      <c r="A8" s="746" t="s">
        <v>443</v>
      </c>
      <c r="B8" s="746"/>
      <c r="C8" s="746"/>
      <c r="D8" s="746"/>
      <c r="E8" s="746"/>
      <c r="F8" s="746"/>
      <c r="G8" s="746"/>
      <c r="H8" s="746"/>
      <c r="I8" s="746"/>
    </row>
    <row r="9" spans="1:11" ht="20.100000000000001" customHeight="1">
      <c r="A9" s="399" t="s">
        <v>444</v>
      </c>
      <c r="B9" s="747" t="s">
        <v>445</v>
      </c>
      <c r="C9" s="747"/>
      <c r="D9" s="400" t="s">
        <v>446</v>
      </c>
      <c r="E9" s="401" t="s">
        <v>447</v>
      </c>
      <c r="F9" s="748" t="s">
        <v>448</v>
      </c>
      <c r="G9" s="748"/>
      <c r="H9" s="748"/>
      <c r="I9" s="748"/>
    </row>
    <row r="10" spans="1:11" ht="20.100000000000001" customHeight="1">
      <c r="A10" s="749">
        <v>1</v>
      </c>
      <c r="B10" s="750" t="s">
        <v>259</v>
      </c>
      <c r="C10" s="750"/>
      <c r="D10" s="402">
        <v>150</v>
      </c>
      <c r="E10" s="403">
        <f>Dados!D7</f>
        <v>1309.1500000000001</v>
      </c>
      <c r="F10" s="404">
        <f>ROUND(E10/220*D10,2)</f>
        <v>892.6</v>
      </c>
      <c r="G10" s="404"/>
      <c r="H10" s="404"/>
      <c r="I10" s="405"/>
      <c r="J10" s="522"/>
    </row>
    <row r="11" spans="1:11" ht="20.100000000000001" customHeight="1">
      <c r="A11" s="749"/>
      <c r="B11" s="750" t="s">
        <v>449</v>
      </c>
      <c r="C11" s="750"/>
      <c r="D11" s="406"/>
      <c r="E11" s="403">
        <f>Dados!G24</f>
        <v>1320</v>
      </c>
      <c r="F11" s="404">
        <f>E11*D11</f>
        <v>0</v>
      </c>
      <c r="G11" s="404"/>
      <c r="H11" s="404"/>
      <c r="I11" s="405"/>
    </row>
    <row r="12" spans="1:11" ht="20.100000000000001" customHeight="1">
      <c r="A12" s="749"/>
      <c r="B12" s="407" t="s">
        <v>450</v>
      </c>
      <c r="C12" s="408">
        <v>0.12</v>
      </c>
      <c r="D12" s="406">
        <v>0.25</v>
      </c>
      <c r="E12" s="403">
        <f>Dados!D9</f>
        <v>1309.1500000000001</v>
      </c>
      <c r="F12" s="404">
        <f>ROUND((((E10/220*D10)*D12)*C12),2)</f>
        <v>26.78</v>
      </c>
      <c r="G12" s="404"/>
      <c r="H12" s="404"/>
      <c r="I12" s="405"/>
      <c r="K12" s="522"/>
    </row>
    <row r="13" spans="1:11" ht="20.100000000000001" customHeight="1">
      <c r="A13" s="749"/>
      <c r="B13" s="751" t="s">
        <v>451</v>
      </c>
      <c r="C13" s="751"/>
      <c r="D13" s="751"/>
      <c r="E13" s="751"/>
      <c r="F13" s="409">
        <f>SUM(F10:F12)</f>
        <v>919.38</v>
      </c>
      <c r="G13" s="409">
        <f>SUM(G10:G12)</f>
        <v>0</v>
      </c>
      <c r="H13" s="409">
        <f>SUM(H10:H12)</f>
        <v>0</v>
      </c>
      <c r="I13" s="410">
        <f>SUM(I10:I12)</f>
        <v>0</v>
      </c>
    </row>
    <row r="14" spans="1:11" ht="20.100000000000001" customHeight="1">
      <c r="A14" s="749"/>
      <c r="B14" s="752" t="s">
        <v>452</v>
      </c>
      <c r="C14" s="752"/>
      <c r="D14" s="752"/>
      <c r="E14" s="412">
        <f>Dados!G13</f>
        <v>0.77159999999999995</v>
      </c>
      <c r="F14" s="413">
        <f>ROUND((E14*F13),2)</f>
        <v>709.39</v>
      </c>
      <c r="G14" s="413"/>
      <c r="H14" s="413"/>
      <c r="I14" s="414"/>
    </row>
    <row r="15" spans="1:11" ht="20.100000000000001" customHeight="1">
      <c r="A15" s="753" t="s">
        <v>453</v>
      </c>
      <c r="B15" s="753"/>
      <c r="C15" s="753"/>
      <c r="D15" s="753"/>
      <c r="E15" s="753"/>
      <c r="F15" s="415">
        <f>SUM(F13:F14)</f>
        <v>1628.77</v>
      </c>
      <c r="G15" s="415">
        <f>SUM(G13:G14)</f>
        <v>0</v>
      </c>
      <c r="H15" s="415">
        <f>SUM(H13:H14)</f>
        <v>0</v>
      </c>
      <c r="I15" s="416">
        <f>SUM(I13:I14)</f>
        <v>0</v>
      </c>
    </row>
    <row r="16" spans="1:11" ht="20.100000000000001" customHeight="1">
      <c r="A16" s="754" t="s">
        <v>454</v>
      </c>
      <c r="B16" s="754"/>
      <c r="C16" s="754"/>
      <c r="D16" s="754"/>
      <c r="E16" s="754"/>
      <c r="F16" s="754"/>
      <c r="G16" s="754"/>
      <c r="H16" s="754"/>
      <c r="I16" s="754"/>
    </row>
    <row r="17" spans="1:9" ht="20.100000000000001" customHeight="1">
      <c r="A17" s="755" t="s">
        <v>455</v>
      </c>
      <c r="B17" s="755"/>
      <c r="C17" s="417" t="s">
        <v>456</v>
      </c>
      <c r="D17" s="756" t="s">
        <v>457</v>
      </c>
      <c r="E17" s="756"/>
      <c r="F17" s="757" t="s">
        <v>448</v>
      </c>
      <c r="G17" s="757"/>
      <c r="H17" s="757"/>
      <c r="I17" s="757"/>
    </row>
    <row r="18" spans="1:9" ht="20.100000000000001" customHeight="1">
      <c r="A18" s="758" t="s">
        <v>400</v>
      </c>
      <c r="B18" s="758"/>
      <c r="C18" s="419"/>
      <c r="D18" s="420"/>
      <c r="E18" s="421"/>
      <c r="F18" s="404">
        <f>Dados!H7</f>
        <v>43.760000000000005</v>
      </c>
      <c r="G18" s="404"/>
      <c r="H18" s="404"/>
      <c r="I18" s="405"/>
    </row>
    <row r="19" spans="1:9" ht="20.100000000000001" customHeight="1">
      <c r="A19" s="758" t="s">
        <v>458</v>
      </c>
      <c r="B19" s="758"/>
      <c r="C19" s="419"/>
      <c r="D19" s="420"/>
      <c r="E19" s="420"/>
      <c r="F19" s="404">
        <f>Dados!G15</f>
        <v>4</v>
      </c>
      <c r="G19" s="404"/>
      <c r="H19" s="404"/>
      <c r="I19" s="405"/>
    </row>
    <row r="20" spans="1:9" ht="20.100000000000001" customHeight="1">
      <c r="A20" s="759" t="s">
        <v>419</v>
      </c>
      <c r="B20" s="759"/>
      <c r="C20" s="419"/>
      <c r="D20" s="420"/>
      <c r="E20" s="420"/>
      <c r="F20" s="404">
        <f>Dados!G16</f>
        <v>0</v>
      </c>
      <c r="G20" s="404"/>
      <c r="H20" s="404"/>
      <c r="I20" s="405"/>
    </row>
    <row r="21" spans="1:9" ht="20.100000000000001" customHeight="1">
      <c r="A21" s="758" t="s">
        <v>459</v>
      </c>
      <c r="B21" s="758"/>
      <c r="C21" s="422">
        <f>Dados!G19</f>
        <v>21</v>
      </c>
      <c r="D21" s="404">
        <f>Dados!C17</f>
        <v>0</v>
      </c>
      <c r="E21" s="404">
        <f>Dados!G17</f>
        <v>4.2</v>
      </c>
      <c r="F21" s="404">
        <f>ROUND(((D21+E21)*2*C21)-(F10*0.06),2)</f>
        <v>122.84</v>
      </c>
      <c r="G21" s="404"/>
      <c r="H21" s="404">
        <f>F21</f>
        <v>122.84</v>
      </c>
      <c r="I21" s="405"/>
    </row>
    <row r="22" spans="1:9" ht="20.100000000000001" customHeight="1">
      <c r="A22" s="758" t="s">
        <v>422</v>
      </c>
      <c r="B22" s="758"/>
      <c r="C22" s="423">
        <f>Dados!$H$18</f>
        <v>0.2</v>
      </c>
      <c r="D22" s="422">
        <f>Dados!$G$19</f>
        <v>21</v>
      </c>
      <c r="E22" s="404">
        <f>Dados!$G$18</f>
        <v>24.54</v>
      </c>
      <c r="F22" s="424">
        <f>ROUND((IF(D10&gt;150,((D22*E22)-(C22*(D22*E22))),0)),2)</f>
        <v>0</v>
      </c>
      <c r="G22" s="404"/>
      <c r="H22" s="424"/>
      <c r="I22" s="405"/>
    </row>
    <row r="23" spans="1:9" ht="20.100000000000001" customHeight="1">
      <c r="A23" s="758" t="s">
        <v>460</v>
      </c>
      <c r="B23" s="758"/>
      <c r="C23" s="422"/>
      <c r="D23" s="404"/>
      <c r="E23" s="404"/>
      <c r="F23" s="404">
        <f>Dados!I7</f>
        <v>469.95</v>
      </c>
      <c r="G23" s="404">
        <f>F23</f>
        <v>469.95</v>
      </c>
      <c r="H23" s="404"/>
      <c r="I23" s="405"/>
    </row>
    <row r="24" spans="1:9" ht="20.100000000000001" customHeight="1">
      <c r="A24" s="418" t="s">
        <v>461</v>
      </c>
      <c r="B24" s="427"/>
      <c r="C24" s="422"/>
      <c r="D24" s="404"/>
      <c r="E24" s="404"/>
      <c r="F24" s="404">
        <f>Dados!J9</f>
        <v>0</v>
      </c>
      <c r="G24" s="404">
        <f>F24</f>
        <v>0</v>
      </c>
      <c r="H24" s="404"/>
      <c r="I24" s="405"/>
    </row>
    <row r="25" spans="1:9" ht="20.100000000000001" customHeight="1">
      <c r="A25" s="418" t="s">
        <v>462</v>
      </c>
      <c r="B25" s="427"/>
      <c r="C25" s="428"/>
      <c r="D25" s="404"/>
      <c r="E25" s="404"/>
      <c r="F25" s="404">
        <f>Dados!P7</f>
        <v>4.88</v>
      </c>
      <c r="G25" s="404">
        <f>F25</f>
        <v>4.88</v>
      </c>
      <c r="H25" s="404"/>
      <c r="I25" s="405"/>
    </row>
    <row r="26" spans="1:9" ht="20.100000000000001" customHeight="1">
      <c r="A26" s="760" t="s">
        <v>463</v>
      </c>
      <c r="B26" s="760"/>
      <c r="C26" s="429"/>
      <c r="D26" s="413"/>
      <c r="E26" s="413"/>
      <c r="F26" s="413">
        <f>Dados!M9</f>
        <v>0</v>
      </c>
      <c r="G26" s="413"/>
      <c r="H26" s="413"/>
      <c r="I26" s="414"/>
    </row>
    <row r="27" spans="1:9" ht="20.100000000000001" customHeight="1">
      <c r="A27" s="761" t="s">
        <v>464</v>
      </c>
      <c r="B27" s="761"/>
      <c r="C27" s="761"/>
      <c r="D27" s="761"/>
      <c r="E27" s="761"/>
      <c r="F27" s="415">
        <f>SUM(F18:F26)</f>
        <v>645.42999999999995</v>
      </c>
      <c r="G27" s="415">
        <f>SUM(G18:G26)</f>
        <v>474.83</v>
      </c>
      <c r="H27" s="415">
        <f>SUM(H18:H26)</f>
        <v>122.84</v>
      </c>
      <c r="I27" s="416">
        <f>SUM(I18:I26)</f>
        <v>0</v>
      </c>
    </row>
    <row r="28" spans="1:9" ht="20.100000000000001" customHeight="1">
      <c r="A28" s="761" t="s">
        <v>465</v>
      </c>
      <c r="B28" s="761"/>
      <c r="C28" s="761"/>
      <c r="D28" s="761"/>
      <c r="E28" s="761"/>
      <c r="F28" s="415">
        <f>F15+F27</f>
        <v>2274.1999999999998</v>
      </c>
      <c r="G28" s="415">
        <f>G15+G27</f>
        <v>474.83</v>
      </c>
      <c r="H28" s="415">
        <f>(H27+H15)</f>
        <v>122.84</v>
      </c>
      <c r="I28" s="416">
        <f>(I27+I15)</f>
        <v>0</v>
      </c>
    </row>
    <row r="29" spans="1:9" ht="20.100000000000001" customHeight="1">
      <c r="A29" s="746" t="s">
        <v>466</v>
      </c>
      <c r="B29" s="746"/>
      <c r="C29" s="746"/>
      <c r="D29" s="746"/>
      <c r="E29" s="746"/>
      <c r="F29" s="746"/>
      <c r="G29" s="746"/>
      <c r="H29" s="746"/>
      <c r="I29" s="746"/>
    </row>
    <row r="30" spans="1:9" ht="20.100000000000001" customHeight="1">
      <c r="A30" s="755" t="s">
        <v>467</v>
      </c>
      <c r="B30" s="755"/>
      <c r="C30" s="755"/>
      <c r="D30" s="430" t="s">
        <v>468</v>
      </c>
      <c r="E30" s="762" t="s">
        <v>448</v>
      </c>
      <c r="F30" s="762"/>
      <c r="G30" s="762"/>
      <c r="H30" s="762"/>
      <c r="I30" s="762"/>
    </row>
    <row r="31" spans="1:9" ht="20.100000000000001" customHeight="1">
      <c r="A31" s="431" t="s">
        <v>469</v>
      </c>
      <c r="B31" s="432"/>
      <c r="C31" s="432"/>
      <c r="D31" s="420">
        <f>Dados!G21</f>
        <v>0.03</v>
      </c>
      <c r="E31" s="433"/>
      <c r="F31" s="404">
        <f>ROUND((F28*D31),2)</f>
        <v>68.23</v>
      </c>
      <c r="G31" s="404">
        <f>ROUND((G28*D31),2)</f>
        <v>14.24</v>
      </c>
      <c r="H31" s="404">
        <f>ROUND((H28*D31),2)</f>
        <v>3.69</v>
      </c>
      <c r="I31" s="405">
        <f>ROUND((I28*D31),2)</f>
        <v>0</v>
      </c>
    </row>
    <row r="32" spans="1:9" ht="20.100000000000001" customHeight="1">
      <c r="A32" s="763" t="s">
        <v>470</v>
      </c>
      <c r="B32" s="763"/>
      <c r="C32" s="763"/>
      <c r="D32" s="420"/>
      <c r="E32" s="433"/>
      <c r="F32" s="404">
        <f>F28+F31</f>
        <v>2342.4299999999998</v>
      </c>
      <c r="G32" s="404">
        <f>G28+G31</f>
        <v>489.07</v>
      </c>
      <c r="H32" s="404">
        <f>H28+H31</f>
        <v>126.53</v>
      </c>
      <c r="I32" s="405">
        <f>I28+I31</f>
        <v>0</v>
      </c>
    </row>
    <row r="33" spans="1:9" ht="20.100000000000001" customHeight="1">
      <c r="A33" s="434" t="s">
        <v>427</v>
      </c>
      <c r="B33" s="435"/>
      <c r="C33" s="435"/>
      <c r="D33" s="436">
        <f>Dados!G22</f>
        <v>6.7900000000000002E-2</v>
      </c>
      <c r="E33" s="437"/>
      <c r="F33" s="413">
        <f>ROUND((F32*D33),2)</f>
        <v>159.05000000000001</v>
      </c>
      <c r="G33" s="413">
        <f>ROUND((G32*D33),2)</f>
        <v>33.21</v>
      </c>
      <c r="H33" s="413">
        <f>ROUND((H32*D33),2)</f>
        <v>8.59</v>
      </c>
      <c r="I33" s="414">
        <f>ROUND((I32*D33),2)</f>
        <v>0</v>
      </c>
    </row>
    <row r="34" spans="1:9" ht="20.100000000000001" customHeight="1">
      <c r="A34" s="438" t="s">
        <v>471</v>
      </c>
      <c r="B34" s="439"/>
      <c r="C34" s="439"/>
      <c r="D34" s="440">
        <f>SUM(D31:D33)</f>
        <v>9.7900000000000001E-2</v>
      </c>
      <c r="E34" s="441"/>
      <c r="F34" s="415">
        <f>F31+F33</f>
        <v>227.28000000000003</v>
      </c>
      <c r="G34" s="415">
        <f>G31+G33</f>
        <v>47.45</v>
      </c>
      <c r="H34" s="415">
        <f>H31+H33</f>
        <v>12.28</v>
      </c>
      <c r="I34" s="416">
        <f>I31+I33</f>
        <v>0</v>
      </c>
    </row>
    <row r="35" spans="1:9" ht="20.100000000000001" customHeight="1">
      <c r="A35" s="764" t="s">
        <v>472</v>
      </c>
      <c r="B35" s="764"/>
      <c r="C35" s="764"/>
      <c r="D35" s="764"/>
      <c r="E35" s="764"/>
      <c r="F35" s="442">
        <f>F15+F27+F34</f>
        <v>2501.48</v>
      </c>
      <c r="G35" s="442">
        <f>G15+G27+G34</f>
        <v>522.28</v>
      </c>
      <c r="H35" s="442">
        <f>H15+H27+H34</f>
        <v>135.12</v>
      </c>
      <c r="I35" s="443">
        <f>I15+I27+I34</f>
        <v>0</v>
      </c>
    </row>
    <row r="36" spans="1:9" ht="20.100000000000001" customHeight="1">
      <c r="A36" s="765" t="s">
        <v>473</v>
      </c>
      <c r="B36" s="765"/>
      <c r="C36" s="765"/>
      <c r="D36" s="765"/>
      <c r="E36" s="765"/>
      <c r="F36" s="765"/>
      <c r="G36" s="765"/>
      <c r="H36" s="765"/>
      <c r="I36" s="765"/>
    </row>
    <row r="37" spans="1:9" ht="20.100000000000001" customHeight="1">
      <c r="A37" s="758" t="s">
        <v>430</v>
      </c>
      <c r="B37" s="758"/>
      <c r="C37" s="758"/>
      <c r="D37" s="420">
        <f>Dados!G25</f>
        <v>7.5999999999999998E-2</v>
      </c>
      <c r="E37" s="421"/>
      <c r="F37" s="404">
        <f>ROUND((F41*D37),2)</f>
        <v>221.71</v>
      </c>
      <c r="G37" s="404">
        <f>ROUND((G41*D37),2)</f>
        <v>46.29</v>
      </c>
      <c r="H37" s="404">
        <f>ROUND((H41*D37),2)</f>
        <v>11.98</v>
      </c>
      <c r="I37" s="405">
        <f>ROUND((I41*D37),2)</f>
        <v>0</v>
      </c>
    </row>
    <row r="38" spans="1:9" ht="20.100000000000001" customHeight="1">
      <c r="A38" s="758" t="s">
        <v>431</v>
      </c>
      <c r="B38" s="758"/>
      <c r="C38" s="758"/>
      <c r="D38" s="420">
        <f>Dados!G26</f>
        <v>1.6500000000000001E-2</v>
      </c>
      <c r="E38" s="421"/>
      <c r="F38" s="404">
        <f>ROUND((F41*D38),2)</f>
        <v>48.13</v>
      </c>
      <c r="G38" s="404">
        <f>ROUND((G41*D38),2)</f>
        <v>10.050000000000001</v>
      </c>
      <c r="H38" s="404">
        <f>ROUND((H41*D38),2)</f>
        <v>2.6</v>
      </c>
      <c r="I38" s="405">
        <f>ROUND((I41*D38),2)</f>
        <v>0</v>
      </c>
    </row>
    <row r="39" spans="1:9" ht="20.100000000000001" customHeight="1">
      <c r="A39" s="758" t="s">
        <v>432</v>
      </c>
      <c r="B39" s="758"/>
      <c r="C39" s="758"/>
      <c r="D39" s="420">
        <f>Dados!G27</f>
        <v>0.05</v>
      </c>
      <c r="E39" s="421"/>
      <c r="F39" s="404">
        <f>ROUND((F41*D39),2)</f>
        <v>145.86000000000001</v>
      </c>
      <c r="G39" s="404">
        <f>ROUND((G41*D39),2)</f>
        <v>30.45</v>
      </c>
      <c r="H39" s="404">
        <f>ROUND((H41*D39),2)</f>
        <v>7.88</v>
      </c>
      <c r="I39" s="405">
        <f>ROUND((I41*D39),2)</f>
        <v>0</v>
      </c>
    </row>
    <row r="40" spans="1:9" ht="20.100000000000001" customHeight="1">
      <c r="A40" s="444" t="s">
        <v>474</v>
      </c>
      <c r="B40" s="445"/>
      <c r="C40" s="445"/>
      <c r="D40" s="446">
        <f>SUM(D37:D39)</f>
        <v>0.14250000000000002</v>
      </c>
      <c r="E40" s="447"/>
      <c r="F40" s="409">
        <f>SUM(F37:F39)</f>
        <v>415.70000000000005</v>
      </c>
      <c r="G40" s="409">
        <f>SUM(G37:G39)</f>
        <v>86.79</v>
      </c>
      <c r="H40" s="409">
        <f>SUM(H37:H39)</f>
        <v>22.46</v>
      </c>
      <c r="I40" s="410">
        <f>SUM(I37:I39)</f>
        <v>0</v>
      </c>
    </row>
    <row r="41" spans="1:9" ht="20.100000000000001" customHeight="1">
      <c r="A41" s="766" t="s">
        <v>475</v>
      </c>
      <c r="B41" s="766"/>
      <c r="C41" s="766"/>
      <c r="D41" s="766"/>
      <c r="E41" s="766"/>
      <c r="F41" s="448">
        <f>ROUND(F35/(1-D40),2)</f>
        <v>2917.18</v>
      </c>
      <c r="G41" s="448">
        <f>ROUND(G35/(1-D40),2)</f>
        <v>609.07000000000005</v>
      </c>
      <c r="H41" s="448">
        <f>ROUND(H35/(1-D40),2)</f>
        <v>157.57</v>
      </c>
      <c r="I41" s="449">
        <f>ROUND(I35/(1-D40),2)</f>
        <v>0</v>
      </c>
    </row>
    <row r="42" spans="1:9" ht="20.100000000000001" customHeight="1">
      <c r="A42" s="783" t="str">
        <f>"Valor do Custo Mensal"&amp;" - "&amp;A6</f>
        <v>Valor do Custo Mensal - Servente de Limpeza ac. Copeira - 150h</v>
      </c>
      <c r="B42" s="783"/>
      <c r="C42" s="783"/>
      <c r="D42" s="783"/>
      <c r="E42" s="783"/>
      <c r="F42" s="523">
        <f>F41</f>
        <v>2917.18</v>
      </c>
      <c r="G42" s="523">
        <f>G41</f>
        <v>609.07000000000005</v>
      </c>
      <c r="H42" s="523">
        <f>H41</f>
        <v>157.57</v>
      </c>
      <c r="I42" s="524">
        <f>I41</f>
        <v>0</v>
      </c>
    </row>
    <row r="43" spans="1:9" ht="20.100000000000001" customHeight="1">
      <c r="A43" s="783" t="str">
        <f>"Valor do Custo Mensal"&amp;" - "&amp;A6</f>
        <v>Valor do Custo Mensal - Servente de Limpeza ac. Copeira - 150h</v>
      </c>
      <c r="B43" s="783"/>
      <c r="C43" s="783"/>
      <c r="D43" s="783"/>
      <c r="E43" s="783"/>
      <c r="F43" s="525">
        <f>(F42/F13)/100</f>
        <v>3.1729861428353885E-2</v>
      </c>
      <c r="G43" s="526"/>
      <c r="H43" s="453"/>
      <c r="I43" s="453"/>
    </row>
    <row r="44" spans="1:9" ht="20.100000000000001" customHeight="1">
      <c r="A44" s="102"/>
      <c r="B44" s="102"/>
      <c r="C44" s="102"/>
      <c r="D44" s="102"/>
      <c r="E44" s="102"/>
      <c r="F44" s="390"/>
      <c r="G44" s="223"/>
      <c r="H44" s="455"/>
      <c r="I44" s="223"/>
    </row>
    <row r="45" spans="1:9" ht="29.25" customHeight="1">
      <c r="A45" s="768" t="s">
        <v>476</v>
      </c>
      <c r="B45" s="768"/>
      <c r="C45" s="768"/>
      <c r="D45" s="768"/>
      <c r="E45" s="768"/>
      <c r="F45" s="768"/>
      <c r="G45" s="223"/>
      <c r="H45" s="223"/>
      <c r="I45" s="223"/>
    </row>
    <row r="46" spans="1:9" ht="20.100000000000001" customHeight="1">
      <c r="A46" s="740" t="s">
        <v>519</v>
      </c>
      <c r="B46" s="740"/>
      <c r="C46" s="740"/>
      <c r="D46" s="740"/>
      <c r="E46" s="740"/>
      <c r="F46" s="740"/>
      <c r="G46" s="223"/>
      <c r="H46" s="223"/>
      <c r="I46" s="223"/>
    </row>
    <row r="47" spans="1:9" ht="20.100000000000001" customHeight="1">
      <c r="A47" s="769" t="s">
        <v>477</v>
      </c>
      <c r="B47" s="769"/>
      <c r="C47" s="769"/>
      <c r="D47" s="769"/>
      <c r="E47" s="770" t="s">
        <v>468</v>
      </c>
      <c r="F47" s="771" t="s">
        <v>478</v>
      </c>
      <c r="G47" s="223"/>
      <c r="H47" s="772"/>
      <c r="I47" s="223"/>
    </row>
    <row r="48" spans="1:9" ht="20.100000000000001" customHeight="1">
      <c r="A48" s="456" t="s">
        <v>479</v>
      </c>
      <c r="B48" s="773" t="s">
        <v>43</v>
      </c>
      <c r="C48" s="773"/>
      <c r="D48" s="773"/>
      <c r="E48" s="770"/>
      <c r="F48" s="771"/>
      <c r="G48" s="223"/>
      <c r="H48" s="772"/>
      <c r="I48" s="223"/>
    </row>
    <row r="49" spans="1:9" ht="20.100000000000001" customHeight="1">
      <c r="A49" s="457">
        <v>1</v>
      </c>
      <c r="B49" s="774" t="s">
        <v>480</v>
      </c>
      <c r="C49" s="774"/>
      <c r="D49" s="774"/>
      <c r="E49" s="774"/>
      <c r="F49" s="458">
        <f>F13</f>
        <v>919.38</v>
      </c>
      <c r="G49" s="223"/>
      <c r="H49" s="459"/>
      <c r="I49" s="223"/>
    </row>
    <row r="50" spans="1:9" ht="20.100000000000001" customHeight="1">
      <c r="A50" s="460" t="s">
        <v>481</v>
      </c>
      <c r="B50" s="775" t="s">
        <v>44</v>
      </c>
      <c r="C50" s="775"/>
      <c r="D50" s="775"/>
      <c r="E50" s="461">
        <f>Encargos!C39</f>
        <v>9.0899999999999995E-2</v>
      </c>
      <c r="F50" s="462">
        <f>ROUND((E50*F49),2)</f>
        <v>83.57</v>
      </c>
      <c r="G50" s="223"/>
      <c r="H50" s="463"/>
      <c r="I50" s="223"/>
    </row>
    <row r="51" spans="1:9" ht="20.100000000000001" customHeight="1">
      <c r="A51" s="460" t="s">
        <v>482</v>
      </c>
      <c r="B51" s="775" t="s">
        <v>49</v>
      </c>
      <c r="C51" s="775"/>
      <c r="D51" s="775"/>
      <c r="E51" s="464">
        <f>E50*Encargos!C18</f>
        <v>3.6178200000000008E-2</v>
      </c>
      <c r="F51" s="462">
        <f>ROUND((E51*F49),2)</f>
        <v>33.26</v>
      </c>
      <c r="G51" s="223"/>
      <c r="H51" s="463"/>
      <c r="I51" s="223"/>
    </row>
    <row r="52" spans="1:9" ht="20.100000000000001" customHeight="1">
      <c r="A52" s="778" t="s">
        <v>483</v>
      </c>
      <c r="B52" s="778"/>
      <c r="C52" s="778"/>
      <c r="D52" s="778"/>
      <c r="E52" s="465">
        <f>SUM(E50:E51)</f>
        <v>0.1270782</v>
      </c>
      <c r="F52" s="466">
        <f>SUM(F50:F51)</f>
        <v>116.82999999999998</v>
      </c>
      <c r="G52" s="223"/>
      <c r="H52" s="467"/>
      <c r="I52" s="223"/>
    </row>
    <row r="53" spans="1:9" ht="20.100000000000001" customHeight="1">
      <c r="A53" s="779" t="s">
        <v>484</v>
      </c>
      <c r="B53" s="779"/>
      <c r="C53" s="779"/>
      <c r="D53" s="779"/>
      <c r="E53" s="779"/>
      <c r="F53" s="468">
        <f>ROUND((F52*12),2)</f>
        <v>1401.96</v>
      </c>
      <c r="G53" s="223"/>
      <c r="H53" s="467"/>
      <c r="I53" s="223"/>
    </row>
    <row r="54" spans="1:9" ht="20.100000000000001" customHeight="1">
      <c r="A54" s="469">
        <v>2</v>
      </c>
      <c r="B54" s="470" t="s">
        <v>485</v>
      </c>
      <c r="C54" s="471"/>
      <c r="D54" s="471"/>
      <c r="E54" s="471"/>
      <c r="F54" s="472" t="s">
        <v>478</v>
      </c>
      <c r="G54" s="223"/>
      <c r="H54" s="473"/>
      <c r="I54" s="223"/>
    </row>
    <row r="55" spans="1:9" ht="20.100000000000001" customHeight="1">
      <c r="A55" s="474" t="s">
        <v>481</v>
      </c>
      <c r="B55" s="475" t="s">
        <v>486</v>
      </c>
      <c r="C55" s="476"/>
      <c r="D55" s="476"/>
      <c r="E55" s="477"/>
      <c r="F55" s="478">
        <f>F22</f>
        <v>0</v>
      </c>
      <c r="G55" s="223"/>
      <c r="H55" s="479"/>
      <c r="I55" s="223"/>
    </row>
    <row r="56" spans="1:9" ht="20.100000000000001" customHeight="1">
      <c r="A56" s="474" t="s">
        <v>487</v>
      </c>
      <c r="B56" s="475" t="s">
        <v>488</v>
      </c>
      <c r="C56" s="476"/>
      <c r="D56" s="476"/>
      <c r="E56" s="477"/>
      <c r="F56" s="478">
        <f>F21</f>
        <v>122.84</v>
      </c>
      <c r="G56" s="223"/>
      <c r="H56" s="479"/>
      <c r="I56" s="223"/>
    </row>
    <row r="57" spans="1:9" ht="20.100000000000001" customHeight="1">
      <c r="A57" s="474" t="s">
        <v>489</v>
      </c>
      <c r="B57" s="475" t="s">
        <v>490</v>
      </c>
      <c r="C57" s="476"/>
      <c r="D57" s="476"/>
      <c r="E57" s="477"/>
      <c r="F57" s="480">
        <v>0</v>
      </c>
      <c r="G57" s="223"/>
      <c r="H57" s="481"/>
      <c r="I57" s="223"/>
    </row>
    <row r="58" spans="1:9" ht="20.100000000000001" customHeight="1">
      <c r="A58" s="780" t="s">
        <v>491</v>
      </c>
      <c r="B58" s="780"/>
      <c r="C58" s="780"/>
      <c r="D58" s="780"/>
      <c r="E58" s="780"/>
      <c r="F58" s="482">
        <f>SUM(F55:F57)</f>
        <v>122.84</v>
      </c>
      <c r="G58" s="223"/>
      <c r="H58" s="483"/>
      <c r="I58" s="223"/>
    </row>
    <row r="59" spans="1:9" ht="20.100000000000001" customHeight="1">
      <c r="A59" s="484">
        <v>5</v>
      </c>
      <c r="B59" s="781" t="s">
        <v>492</v>
      </c>
      <c r="C59" s="781"/>
      <c r="D59" s="781"/>
      <c r="E59" s="485" t="s">
        <v>468</v>
      </c>
      <c r="F59" s="486" t="s">
        <v>366</v>
      </c>
      <c r="G59" s="223"/>
      <c r="H59" s="473"/>
      <c r="I59" s="223"/>
    </row>
    <row r="60" spans="1:9" ht="20.100000000000001" customHeight="1">
      <c r="A60" s="474" t="s">
        <v>481</v>
      </c>
      <c r="B60" s="782" t="s">
        <v>493</v>
      </c>
      <c r="C60" s="782"/>
      <c r="D60" s="782"/>
      <c r="E60" s="487">
        <f>D31</f>
        <v>0.03</v>
      </c>
      <c r="F60" s="488">
        <f>ROUND((E60*F73),2)</f>
        <v>45.74</v>
      </c>
      <c r="G60" s="223"/>
      <c r="H60" s="489"/>
      <c r="I60" s="223"/>
    </row>
    <row r="61" spans="1:9" ht="20.100000000000001" customHeight="1">
      <c r="A61" s="474" t="s">
        <v>487</v>
      </c>
      <c r="B61" s="490" t="s">
        <v>427</v>
      </c>
      <c r="C61" s="491"/>
      <c r="D61" s="492"/>
      <c r="E61" s="487">
        <f>D33</f>
        <v>6.7900000000000002E-2</v>
      </c>
      <c r="F61" s="488">
        <f>ROUND((E61*F73),2)</f>
        <v>103.53</v>
      </c>
      <c r="G61" s="223"/>
      <c r="H61" s="489"/>
      <c r="I61" s="223"/>
    </row>
    <row r="62" spans="1:9" ht="20.100000000000001" customHeight="1">
      <c r="A62" s="493" t="s">
        <v>489</v>
      </c>
      <c r="B62" s="490" t="s">
        <v>494</v>
      </c>
      <c r="C62" s="491"/>
      <c r="D62" s="492"/>
      <c r="E62" s="494">
        <f>SUM(E63:E66)</f>
        <v>0.14250000000000002</v>
      </c>
      <c r="F62" s="495">
        <f>ROUND((((F73+F60+F61)/(1-$E$62))-(F73+F60+F61)),2)</f>
        <v>278.2</v>
      </c>
      <c r="G62" s="223"/>
      <c r="H62" s="496"/>
      <c r="I62" s="223"/>
    </row>
    <row r="63" spans="1:9" ht="20.100000000000001" customHeight="1">
      <c r="A63" s="497" t="s">
        <v>495</v>
      </c>
      <c r="B63" s="475" t="s">
        <v>496</v>
      </c>
      <c r="C63" s="491"/>
      <c r="D63" s="492"/>
      <c r="E63" s="487">
        <f>D37+D38</f>
        <v>9.2499999999999999E-2</v>
      </c>
      <c r="F63" s="488">
        <v>741.84</v>
      </c>
      <c r="G63" s="223"/>
      <c r="H63" s="489"/>
      <c r="I63" s="223"/>
    </row>
    <row r="64" spans="1:9" ht="20.100000000000001" customHeight="1">
      <c r="A64" s="474" t="s">
        <v>497</v>
      </c>
      <c r="B64" s="498" t="s">
        <v>498</v>
      </c>
      <c r="C64" s="491"/>
      <c r="D64" s="492"/>
      <c r="E64" s="492">
        <v>0</v>
      </c>
      <c r="F64" s="488">
        <v>0</v>
      </c>
      <c r="G64" s="223"/>
      <c r="H64" s="489"/>
      <c r="I64" s="223"/>
    </row>
    <row r="65" spans="1:9" ht="20.100000000000001" customHeight="1">
      <c r="A65" s="474" t="s">
        <v>499</v>
      </c>
      <c r="B65" s="475" t="s">
        <v>500</v>
      </c>
      <c r="C65" s="491"/>
      <c r="D65" s="492"/>
      <c r="E65" s="487">
        <f>D39</f>
        <v>0.05</v>
      </c>
      <c r="F65" s="488">
        <f>ROUND((E65*F75),2)</f>
        <v>97.61</v>
      </c>
      <c r="G65" s="223"/>
      <c r="H65" s="489"/>
      <c r="I65" s="223"/>
    </row>
    <row r="66" spans="1:9" ht="20.100000000000001" customHeight="1">
      <c r="A66" s="474" t="s">
        <v>501</v>
      </c>
      <c r="B66" s="475" t="s">
        <v>502</v>
      </c>
      <c r="C66" s="491"/>
      <c r="D66" s="492"/>
      <c r="E66" s="492">
        <v>0</v>
      </c>
      <c r="F66" s="488">
        <v>0</v>
      </c>
      <c r="G66" s="223"/>
      <c r="H66" s="489"/>
      <c r="I66" s="223"/>
    </row>
    <row r="67" spans="1:9" ht="20.100000000000001" customHeight="1">
      <c r="A67" s="499" t="s">
        <v>503</v>
      </c>
      <c r="B67" s="500"/>
      <c r="C67" s="501"/>
      <c r="D67" s="502"/>
      <c r="E67" s="502"/>
      <c r="F67" s="503">
        <f>SUM(F60:F62)</f>
        <v>427.47</v>
      </c>
      <c r="G67" s="223"/>
      <c r="H67" s="504"/>
      <c r="I67" s="223"/>
    </row>
    <row r="68" spans="1:9" ht="20.100000000000001" customHeight="1">
      <c r="A68" s="776" t="s">
        <v>504</v>
      </c>
      <c r="B68" s="776"/>
      <c r="C68" s="776"/>
      <c r="D68" s="776"/>
      <c r="E68" s="776"/>
      <c r="F68" s="776"/>
      <c r="G68" s="223"/>
      <c r="H68" s="223"/>
      <c r="I68" s="223"/>
    </row>
    <row r="69" spans="1:9" ht="20.100000000000001" customHeight="1">
      <c r="A69" s="777" t="s">
        <v>505</v>
      </c>
      <c r="B69" s="777"/>
      <c r="C69" s="777"/>
      <c r="D69" s="777"/>
      <c r="E69" s="777"/>
      <c r="F69" s="777"/>
      <c r="G69" s="223"/>
      <c r="H69" s="223"/>
      <c r="I69" s="223"/>
    </row>
    <row r="70" spans="1:9" ht="20.100000000000001" customHeight="1">
      <c r="A70" s="505" t="s">
        <v>506</v>
      </c>
      <c r="B70" s="506"/>
      <c r="C70" s="506"/>
      <c r="D70" s="506"/>
      <c r="E70" s="506"/>
      <c r="F70" s="486" t="s">
        <v>366</v>
      </c>
      <c r="G70" s="223"/>
      <c r="H70" s="473"/>
      <c r="I70" s="223"/>
    </row>
    <row r="71" spans="1:9" ht="20.100000000000001" customHeight="1">
      <c r="A71" s="460" t="s">
        <v>481</v>
      </c>
      <c r="B71" s="507" t="s">
        <v>507</v>
      </c>
      <c r="C71" s="508"/>
      <c r="D71" s="508"/>
      <c r="E71" s="508"/>
      <c r="F71" s="509">
        <f>F53</f>
        <v>1401.96</v>
      </c>
      <c r="G71" s="223"/>
      <c r="H71" s="510"/>
      <c r="I71" s="223"/>
    </row>
    <row r="72" spans="1:9" ht="20.100000000000001" customHeight="1">
      <c r="A72" s="460" t="s">
        <v>487</v>
      </c>
      <c r="B72" s="507" t="s">
        <v>485</v>
      </c>
      <c r="C72" s="508"/>
      <c r="D72" s="508"/>
      <c r="E72" s="508"/>
      <c r="F72" s="509">
        <f>F58</f>
        <v>122.84</v>
      </c>
      <c r="G72" s="223"/>
      <c r="H72" s="510"/>
      <c r="I72" s="223"/>
    </row>
    <row r="73" spans="1:9" ht="20.100000000000001" customHeight="1">
      <c r="A73" s="511" t="s">
        <v>508</v>
      </c>
      <c r="B73" s="512"/>
      <c r="C73" s="512"/>
      <c r="D73" s="512"/>
      <c r="E73" s="512"/>
      <c r="F73" s="513">
        <f>SUM(F71:F72)</f>
        <v>1524.8</v>
      </c>
      <c r="G73" s="223"/>
      <c r="H73" s="514"/>
      <c r="I73" s="223"/>
    </row>
    <row r="74" spans="1:9" ht="20.100000000000001" customHeight="1">
      <c r="A74" s="515" t="s">
        <v>509</v>
      </c>
      <c r="B74" s="516" t="s">
        <v>510</v>
      </c>
      <c r="C74" s="517"/>
      <c r="D74" s="517"/>
      <c r="E74" s="517"/>
      <c r="F74" s="518">
        <f>F67</f>
        <v>427.47</v>
      </c>
      <c r="G74" s="223"/>
      <c r="H74" s="510"/>
      <c r="I74" s="223"/>
    </row>
    <row r="75" spans="1:9" ht="20.100000000000001" customHeight="1">
      <c r="A75" s="519" t="s">
        <v>511</v>
      </c>
      <c r="B75" s="520"/>
      <c r="C75" s="520"/>
      <c r="D75" s="520"/>
      <c r="E75" s="520"/>
      <c r="F75" s="521">
        <f>SUM(F73:F74)</f>
        <v>1952.27</v>
      </c>
      <c r="G75" s="223"/>
      <c r="H75" s="514"/>
      <c r="I75" s="223"/>
    </row>
    <row r="76" spans="1:9" ht="20.100000000000001" customHeight="1"/>
    <row r="77" spans="1:9" ht="20.100000000000001" customHeight="1"/>
    <row r="78" spans="1:9" ht="20.100000000000001" customHeight="1"/>
    <row r="79" spans="1:9" ht="20.100000000000001" customHeight="1"/>
    <row r="80" spans="1:9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</sheetData>
  <mergeCells count="59">
    <mergeCell ref="A68:F68"/>
    <mergeCell ref="A69:F69"/>
    <mergeCell ref="A52:D52"/>
    <mergeCell ref="A53:E53"/>
    <mergeCell ref="A58:E58"/>
    <mergeCell ref="B59:D59"/>
    <mergeCell ref="B60:D60"/>
    <mergeCell ref="H47:H48"/>
    <mergeCell ref="B48:D48"/>
    <mergeCell ref="B49:E49"/>
    <mergeCell ref="B50:D50"/>
    <mergeCell ref="B51:D51"/>
    <mergeCell ref="A43:E43"/>
    <mergeCell ref="A45:F45"/>
    <mergeCell ref="A46:F46"/>
    <mergeCell ref="A47:D47"/>
    <mergeCell ref="E47:E48"/>
    <mergeCell ref="F47:F48"/>
    <mergeCell ref="A37:C37"/>
    <mergeCell ref="A38:C38"/>
    <mergeCell ref="A39:C39"/>
    <mergeCell ref="A41:E41"/>
    <mergeCell ref="A42:E42"/>
    <mergeCell ref="A30:C30"/>
    <mergeCell ref="E30:I30"/>
    <mergeCell ref="A32:C32"/>
    <mergeCell ref="A35:E35"/>
    <mergeCell ref="A36:I36"/>
    <mergeCell ref="A23:B23"/>
    <mergeCell ref="A26:B26"/>
    <mergeCell ref="A27:E27"/>
    <mergeCell ref="A28:E28"/>
    <mergeCell ref="A29:I29"/>
    <mergeCell ref="A18:B18"/>
    <mergeCell ref="A19:B19"/>
    <mergeCell ref="A20:B20"/>
    <mergeCell ref="A21:B21"/>
    <mergeCell ref="A22:B22"/>
    <mergeCell ref="A15:E15"/>
    <mergeCell ref="A16:I16"/>
    <mergeCell ref="A17:B17"/>
    <mergeCell ref="D17:E17"/>
    <mergeCell ref="F17:I17"/>
    <mergeCell ref="A8:I8"/>
    <mergeCell ref="B9:C9"/>
    <mergeCell ref="F9:I9"/>
    <mergeCell ref="A10:A14"/>
    <mergeCell ref="B10:C10"/>
    <mergeCell ref="B11:C11"/>
    <mergeCell ref="B13:E13"/>
    <mergeCell ref="B14:D14"/>
    <mergeCell ref="A4:I4"/>
    <mergeCell ref="A5:I5"/>
    <mergeCell ref="A6:D6"/>
    <mergeCell ref="F6:F7"/>
    <mergeCell ref="G6:G7"/>
    <mergeCell ref="H6:H7"/>
    <mergeCell ref="I6:I7"/>
    <mergeCell ref="A7:D7"/>
  </mergeCells>
  <pageMargins left="0.51180555555555496" right="0.51180555555555496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AMJ76"/>
  <sheetViews>
    <sheetView topLeftCell="A46" zoomScale="90" zoomScaleNormal="90" workbookViewId="0">
      <selection activeCell="B60" sqref="B60:D60"/>
    </sheetView>
  </sheetViews>
  <sheetFormatPr defaultColWidth="9.140625" defaultRowHeight="12.75"/>
  <cols>
    <col min="1" max="1" width="9.140625" style="102"/>
    <col min="2" max="2" width="21.140625" style="102" customWidth="1"/>
    <col min="3" max="3" width="14.42578125" style="102" customWidth="1"/>
    <col min="4" max="4" width="15" style="102" customWidth="1"/>
    <col min="5" max="5" width="16.28515625" style="102" customWidth="1"/>
    <col min="6" max="6" width="16.85546875" style="390" customWidth="1"/>
    <col min="7" max="7" width="15" style="102" customWidth="1"/>
    <col min="8" max="8" width="12.7109375" style="390" customWidth="1"/>
    <col min="9" max="9" width="12.7109375" style="102" customWidth="1"/>
    <col min="10" max="1024" width="9.140625" style="102"/>
  </cols>
  <sheetData>
    <row r="1" spans="1:11" ht="20.100000000000001" customHeight="1">
      <c r="A1" s="391"/>
      <c r="B1" s="391" t="s">
        <v>433</v>
      </c>
      <c r="C1" s="392"/>
      <c r="D1" s="392"/>
      <c r="E1" s="392"/>
      <c r="F1" s="393"/>
      <c r="G1" s="100"/>
      <c r="H1" s="393"/>
      <c r="I1" s="225"/>
    </row>
    <row r="2" spans="1:11" ht="20.100000000000001" customHeight="1">
      <c r="A2" s="391"/>
      <c r="B2" s="391" t="s">
        <v>434</v>
      </c>
      <c r="C2" s="394"/>
      <c r="D2" s="394"/>
      <c r="E2" s="394"/>
      <c r="F2" s="395"/>
      <c r="H2" s="395"/>
      <c r="I2" s="226"/>
    </row>
    <row r="3" spans="1:11" ht="20.100000000000001" customHeight="1">
      <c r="A3" s="396"/>
      <c r="B3" s="396" t="s">
        <v>274</v>
      </c>
      <c r="C3" s="394"/>
      <c r="D3" s="394"/>
      <c r="E3" s="394"/>
      <c r="F3" s="395"/>
      <c r="H3" s="395"/>
      <c r="I3" s="226"/>
    </row>
    <row r="4" spans="1:11" ht="20.100000000000001" customHeight="1">
      <c r="A4" s="739" t="s">
        <v>435</v>
      </c>
      <c r="B4" s="739"/>
      <c r="C4" s="739"/>
      <c r="D4" s="739"/>
      <c r="E4" s="739"/>
      <c r="F4" s="739"/>
      <c r="G4" s="739"/>
      <c r="H4" s="739"/>
      <c r="I4" s="739"/>
    </row>
    <row r="5" spans="1:11" ht="15.75">
      <c r="A5" s="740" t="s">
        <v>572</v>
      </c>
      <c r="B5" s="740"/>
      <c r="C5" s="740"/>
      <c r="D5" s="740"/>
      <c r="E5" s="740"/>
      <c r="F5" s="740"/>
      <c r="G5" s="740"/>
      <c r="H5" s="740"/>
      <c r="I5" s="740"/>
    </row>
    <row r="6" spans="1:11" ht="25.5" customHeight="1">
      <c r="A6" s="741" t="s">
        <v>516</v>
      </c>
      <c r="B6" s="741"/>
      <c r="C6" s="741"/>
      <c r="D6" s="741"/>
      <c r="E6" s="397" t="str">
        <f>Dados!B5</f>
        <v>CCT 2022</v>
      </c>
      <c r="F6" s="742" t="s">
        <v>438</v>
      </c>
      <c r="G6" s="743" t="s">
        <v>439</v>
      </c>
      <c r="H6" s="742" t="s">
        <v>440</v>
      </c>
      <c r="I6" s="744" t="s">
        <v>441</v>
      </c>
    </row>
    <row r="7" spans="1:11" ht="20.100000000000001" customHeight="1">
      <c r="A7" s="745" t="s">
        <v>442</v>
      </c>
      <c r="B7" s="745"/>
      <c r="C7" s="745"/>
      <c r="D7" s="745"/>
      <c r="E7" s="398" t="s">
        <v>366</v>
      </c>
      <c r="F7" s="742"/>
      <c r="G7" s="743"/>
      <c r="H7" s="742"/>
      <c r="I7" s="744"/>
    </row>
    <row r="8" spans="1:11" ht="20.100000000000001" customHeight="1">
      <c r="A8" s="746" t="s">
        <v>443</v>
      </c>
      <c r="B8" s="746"/>
      <c r="C8" s="746"/>
      <c r="D8" s="746"/>
      <c r="E8" s="746"/>
      <c r="F8" s="746"/>
      <c r="G8" s="746"/>
      <c r="H8" s="746"/>
      <c r="I8" s="746"/>
    </row>
    <row r="9" spans="1:11" ht="20.100000000000001" customHeight="1">
      <c r="A9" s="399" t="s">
        <v>444</v>
      </c>
      <c r="B9" s="747" t="s">
        <v>445</v>
      </c>
      <c r="C9" s="747"/>
      <c r="D9" s="400" t="s">
        <v>446</v>
      </c>
      <c r="E9" s="401" t="s">
        <v>447</v>
      </c>
      <c r="F9" s="748" t="s">
        <v>448</v>
      </c>
      <c r="G9" s="748"/>
      <c r="H9" s="748"/>
      <c r="I9" s="748"/>
      <c r="J9" s="411"/>
    </row>
    <row r="10" spans="1:11" ht="20.100000000000001" customHeight="1">
      <c r="A10" s="749">
        <v>1</v>
      </c>
      <c r="B10" s="750" t="s">
        <v>93</v>
      </c>
      <c r="C10" s="750"/>
      <c r="D10" s="402">
        <v>220</v>
      </c>
      <c r="E10" s="403">
        <f>Dados!D10</f>
        <v>1858.15</v>
      </c>
      <c r="F10" s="404">
        <f>ROUND(E10/220*D10,2)</f>
        <v>1858.15</v>
      </c>
      <c r="G10" s="404"/>
      <c r="H10" s="404"/>
      <c r="I10" s="405"/>
    </row>
    <row r="11" spans="1:11" ht="20.100000000000001" customHeight="1">
      <c r="A11" s="749"/>
      <c r="B11" s="750" t="s">
        <v>449</v>
      </c>
      <c r="C11" s="750"/>
      <c r="D11" s="406">
        <v>0</v>
      </c>
      <c r="E11" s="403">
        <f>Dados!G24</f>
        <v>1320</v>
      </c>
      <c r="F11" s="404">
        <f>E11*D11</f>
        <v>0</v>
      </c>
      <c r="G11" s="404"/>
      <c r="H11" s="404"/>
      <c r="I11" s="405">
        <f>F11</f>
        <v>0</v>
      </c>
    </row>
    <row r="12" spans="1:11" ht="20.100000000000001" customHeight="1">
      <c r="A12" s="749"/>
      <c r="B12" s="407"/>
      <c r="C12" s="408"/>
      <c r="D12" s="406"/>
      <c r="E12" s="403"/>
      <c r="F12" s="404">
        <f>ROUND((((E12/220*D10)*D12)*C12),2)</f>
        <v>0</v>
      </c>
      <c r="G12" s="404"/>
      <c r="H12" s="404"/>
      <c r="I12" s="405"/>
    </row>
    <row r="13" spans="1:11" ht="20.100000000000001" customHeight="1">
      <c r="A13" s="749"/>
      <c r="B13" s="527"/>
      <c r="C13" s="528"/>
      <c r="D13" s="529"/>
      <c r="E13" s="403"/>
      <c r="F13" s="404">
        <f>ROUND((((E12/220*D10)*D13)*C13),2)</f>
        <v>0</v>
      </c>
      <c r="G13" s="404"/>
      <c r="H13" s="404"/>
      <c r="I13" s="405"/>
      <c r="K13" s="411"/>
    </row>
    <row r="14" spans="1:11" ht="20.100000000000001" customHeight="1">
      <c r="A14" s="749"/>
      <c r="B14" s="751" t="s">
        <v>451</v>
      </c>
      <c r="C14" s="751"/>
      <c r="D14" s="751"/>
      <c r="E14" s="751"/>
      <c r="F14" s="409">
        <f>SUM(F10:F13)</f>
        <v>1858.15</v>
      </c>
      <c r="G14" s="409">
        <f>SUM(G10:G13)</f>
        <v>0</v>
      </c>
      <c r="H14" s="409">
        <f>SUM(H10:H12)</f>
        <v>0</v>
      </c>
      <c r="I14" s="410">
        <f>SUM(I10:I12)</f>
        <v>0</v>
      </c>
    </row>
    <row r="15" spans="1:11" ht="20.100000000000001" customHeight="1">
      <c r="A15" s="749"/>
      <c r="B15" s="752" t="s">
        <v>452</v>
      </c>
      <c r="C15" s="752"/>
      <c r="D15" s="752"/>
      <c r="E15" s="412">
        <f>Dados!G13</f>
        <v>0.77159999999999995</v>
      </c>
      <c r="F15" s="413">
        <f>ROUND((E15*F14),2)</f>
        <v>1433.75</v>
      </c>
      <c r="G15" s="413"/>
      <c r="H15" s="413"/>
      <c r="I15" s="414">
        <f>ROUND((E15*I14),2)</f>
        <v>0</v>
      </c>
    </row>
    <row r="16" spans="1:11" ht="20.100000000000001" customHeight="1">
      <c r="A16" s="753" t="s">
        <v>453</v>
      </c>
      <c r="B16" s="753"/>
      <c r="C16" s="753"/>
      <c r="D16" s="753"/>
      <c r="E16" s="753"/>
      <c r="F16" s="415">
        <f>SUM(F14:F15)</f>
        <v>3291.9</v>
      </c>
      <c r="G16" s="415">
        <f>SUM(G14:G15)</f>
        <v>0</v>
      </c>
      <c r="H16" s="415">
        <f>SUM(H14:H15)</f>
        <v>0</v>
      </c>
      <c r="I16" s="416">
        <f>SUM(I14:I15)</f>
        <v>0</v>
      </c>
    </row>
    <row r="17" spans="1:11" ht="20.100000000000001" customHeight="1">
      <c r="A17" s="754" t="s">
        <v>454</v>
      </c>
      <c r="B17" s="754"/>
      <c r="C17" s="754"/>
      <c r="D17" s="754"/>
      <c r="E17" s="754"/>
      <c r="F17" s="754"/>
      <c r="G17" s="754"/>
      <c r="H17" s="754"/>
      <c r="I17" s="754"/>
    </row>
    <row r="18" spans="1:11" ht="20.100000000000001" customHeight="1">
      <c r="A18" s="755" t="s">
        <v>455</v>
      </c>
      <c r="B18" s="755"/>
      <c r="C18" s="417" t="s">
        <v>456</v>
      </c>
      <c r="D18" s="756" t="s">
        <v>457</v>
      </c>
      <c r="E18" s="756"/>
      <c r="F18" s="757" t="s">
        <v>448</v>
      </c>
      <c r="G18" s="757"/>
      <c r="H18" s="757"/>
      <c r="I18" s="757"/>
    </row>
    <row r="19" spans="1:11" ht="20.100000000000001" customHeight="1">
      <c r="A19" s="758" t="s">
        <v>400</v>
      </c>
      <c r="B19" s="758"/>
      <c r="C19" s="419"/>
      <c r="D19" s="420"/>
      <c r="E19" s="421"/>
      <c r="F19" s="404">
        <f>Dados!H10</f>
        <v>36.03</v>
      </c>
      <c r="G19" s="404"/>
      <c r="H19" s="404"/>
      <c r="I19" s="405"/>
    </row>
    <row r="20" spans="1:11" ht="20.100000000000001" customHeight="1">
      <c r="A20" s="758" t="s">
        <v>458</v>
      </c>
      <c r="B20" s="758"/>
      <c r="C20" s="419"/>
      <c r="D20" s="420"/>
      <c r="E20" s="420"/>
      <c r="F20" s="404">
        <f>Dados!G15</f>
        <v>4</v>
      </c>
      <c r="G20" s="404"/>
      <c r="H20" s="404"/>
      <c r="I20" s="405"/>
    </row>
    <row r="21" spans="1:11" ht="27" customHeight="1">
      <c r="A21" s="759" t="s">
        <v>419</v>
      </c>
      <c r="B21" s="759"/>
      <c r="C21" s="419"/>
      <c r="D21" s="420"/>
      <c r="E21" s="420"/>
      <c r="F21" s="404">
        <f>Dados!G16</f>
        <v>0</v>
      </c>
      <c r="G21" s="404"/>
      <c r="H21" s="404"/>
      <c r="I21" s="405"/>
      <c r="K21" s="426"/>
    </row>
    <row r="22" spans="1:11" ht="20.100000000000001" customHeight="1">
      <c r="A22" s="758" t="s">
        <v>459</v>
      </c>
      <c r="B22" s="758"/>
      <c r="C22" s="422">
        <f>Dados!G19</f>
        <v>21</v>
      </c>
      <c r="D22" s="404">
        <f>Dados!C17</f>
        <v>0</v>
      </c>
      <c r="E22" s="404">
        <f>Dados!G17</f>
        <v>4.2</v>
      </c>
      <c r="F22" s="404">
        <f>ROUND(((E22+D22)*2*C22)-(F10*0.06),2)</f>
        <v>64.91</v>
      </c>
      <c r="G22" s="404"/>
      <c r="H22" s="404">
        <f>F22</f>
        <v>64.91</v>
      </c>
      <c r="I22" s="405"/>
    </row>
    <row r="23" spans="1:11" ht="20.100000000000001" customHeight="1">
      <c r="A23" s="758" t="s">
        <v>422</v>
      </c>
      <c r="B23" s="758"/>
      <c r="C23" s="423">
        <f>Dados!$H$18</f>
        <v>0.2</v>
      </c>
      <c r="D23" s="422">
        <f>Dados!$G$19</f>
        <v>21</v>
      </c>
      <c r="E23" s="404">
        <f>Dados!$G$18</f>
        <v>24.54</v>
      </c>
      <c r="F23" s="424">
        <f>ROUND((IF(D10&gt;150,((D23*E23)-(C23*(D23*E23))),0)),2)</f>
        <v>412.27</v>
      </c>
      <c r="G23" s="404"/>
      <c r="H23" s="424"/>
      <c r="I23" s="405"/>
    </row>
    <row r="24" spans="1:11" ht="20.100000000000001" customHeight="1">
      <c r="A24" s="758" t="s">
        <v>517</v>
      </c>
      <c r="B24" s="758"/>
      <c r="C24" s="422"/>
      <c r="D24" s="404"/>
      <c r="E24" s="404"/>
      <c r="F24" s="404"/>
      <c r="G24" s="404">
        <f>F24</f>
        <v>0</v>
      </c>
      <c r="H24" s="404"/>
      <c r="I24" s="405"/>
    </row>
    <row r="25" spans="1:11" ht="20.100000000000001" customHeight="1">
      <c r="A25" s="418" t="s">
        <v>461</v>
      </c>
      <c r="B25" s="427"/>
      <c r="C25" s="422"/>
      <c r="D25" s="404"/>
      <c r="E25" s="404"/>
      <c r="F25" s="404"/>
      <c r="G25" s="404">
        <f>F25</f>
        <v>0</v>
      </c>
      <c r="H25" s="404"/>
      <c r="I25" s="405"/>
    </row>
    <row r="26" spans="1:11" ht="20.100000000000001" customHeight="1">
      <c r="A26" s="418" t="s">
        <v>462</v>
      </c>
      <c r="B26" s="427"/>
      <c r="C26" s="428"/>
      <c r="D26" s="404"/>
      <c r="E26" s="404"/>
      <c r="F26" s="404">
        <f>Dados!P10</f>
        <v>4.88</v>
      </c>
      <c r="G26" s="404">
        <f>F26</f>
        <v>4.88</v>
      </c>
      <c r="H26" s="404"/>
      <c r="I26" s="405"/>
    </row>
    <row r="27" spans="1:11" ht="20.100000000000001" customHeight="1">
      <c r="A27" s="760" t="s">
        <v>463</v>
      </c>
      <c r="B27" s="760"/>
      <c r="C27" s="429"/>
      <c r="D27" s="413"/>
      <c r="E27" s="413"/>
      <c r="F27" s="413">
        <f>Dados!M1</f>
        <v>0</v>
      </c>
      <c r="G27" s="413"/>
      <c r="H27" s="413"/>
      <c r="I27" s="414"/>
    </row>
    <row r="28" spans="1:11" ht="20.100000000000001" customHeight="1">
      <c r="A28" s="761" t="s">
        <v>464</v>
      </c>
      <c r="B28" s="761"/>
      <c r="C28" s="761"/>
      <c r="D28" s="761"/>
      <c r="E28" s="761"/>
      <c r="F28" s="415">
        <f>SUM(F19:F27)</f>
        <v>522.09</v>
      </c>
      <c r="G28" s="415">
        <f>SUM(G19:G27)</f>
        <v>4.88</v>
      </c>
      <c r="H28" s="415">
        <f>SUM(H19:H27)</f>
        <v>64.91</v>
      </c>
      <c r="I28" s="416">
        <f>SUM(I19:I27)</f>
        <v>0</v>
      </c>
    </row>
    <row r="29" spans="1:11" ht="20.100000000000001" customHeight="1">
      <c r="A29" s="761" t="s">
        <v>465</v>
      </c>
      <c r="B29" s="761"/>
      <c r="C29" s="761"/>
      <c r="D29" s="761"/>
      <c r="E29" s="761"/>
      <c r="F29" s="415">
        <f>F16+F28</f>
        <v>3813.9900000000002</v>
      </c>
      <c r="G29" s="415">
        <f>G16+G28</f>
        <v>4.88</v>
      </c>
      <c r="H29" s="415">
        <f>(H28+H16)</f>
        <v>64.91</v>
      </c>
      <c r="I29" s="416">
        <f>(I28+I16)</f>
        <v>0</v>
      </c>
    </row>
    <row r="30" spans="1:11" ht="20.100000000000001" customHeight="1">
      <c r="A30" s="746" t="s">
        <v>466</v>
      </c>
      <c r="B30" s="746"/>
      <c r="C30" s="746"/>
      <c r="D30" s="746"/>
      <c r="E30" s="746"/>
      <c r="F30" s="746"/>
      <c r="G30" s="746"/>
      <c r="H30" s="746"/>
      <c r="I30" s="746"/>
    </row>
    <row r="31" spans="1:11" ht="20.100000000000001" customHeight="1">
      <c r="A31" s="755" t="s">
        <v>467</v>
      </c>
      <c r="B31" s="755"/>
      <c r="C31" s="755"/>
      <c r="D31" s="430" t="s">
        <v>468</v>
      </c>
      <c r="E31" s="762" t="s">
        <v>448</v>
      </c>
      <c r="F31" s="762"/>
      <c r="G31" s="762"/>
      <c r="H31" s="762"/>
      <c r="I31" s="762"/>
    </row>
    <row r="32" spans="1:11" ht="20.100000000000001" customHeight="1">
      <c r="A32" s="431" t="s">
        <v>469</v>
      </c>
      <c r="B32" s="432"/>
      <c r="C32" s="432"/>
      <c r="D32" s="420">
        <f>Dados!G21</f>
        <v>0.03</v>
      </c>
      <c r="E32" s="433"/>
      <c r="F32" s="404">
        <f>ROUND((F29*D32),2)</f>
        <v>114.42</v>
      </c>
      <c r="G32" s="404">
        <f>ROUND((G29*D32),2)</f>
        <v>0.15</v>
      </c>
      <c r="H32" s="404">
        <f>ROUND((H29*D32),2)</f>
        <v>1.95</v>
      </c>
      <c r="I32" s="405">
        <f>ROUND((I29*D32),2)</f>
        <v>0</v>
      </c>
    </row>
    <row r="33" spans="1:9" ht="20.100000000000001" customHeight="1">
      <c r="A33" s="763" t="s">
        <v>470</v>
      </c>
      <c r="B33" s="763"/>
      <c r="C33" s="763"/>
      <c r="D33" s="420"/>
      <c r="E33" s="433"/>
      <c r="F33" s="404">
        <f>F29+F32</f>
        <v>3928.4100000000003</v>
      </c>
      <c r="G33" s="404">
        <f>G29+G32</f>
        <v>5.03</v>
      </c>
      <c r="H33" s="404">
        <f>H29+H32</f>
        <v>66.86</v>
      </c>
      <c r="I33" s="405">
        <f>I29+I32</f>
        <v>0</v>
      </c>
    </row>
    <row r="34" spans="1:9" ht="20.100000000000001" customHeight="1">
      <c r="A34" s="434" t="s">
        <v>427</v>
      </c>
      <c r="B34" s="435"/>
      <c r="C34" s="435"/>
      <c r="D34" s="436">
        <f>Dados!G22</f>
        <v>6.7900000000000002E-2</v>
      </c>
      <c r="E34" s="437"/>
      <c r="F34" s="413">
        <f>ROUND((F33*D34),2)</f>
        <v>266.74</v>
      </c>
      <c r="G34" s="413">
        <f>ROUND((G33*D34),2)</f>
        <v>0.34</v>
      </c>
      <c r="H34" s="413">
        <f>ROUND((H33*D34),2)</f>
        <v>4.54</v>
      </c>
      <c r="I34" s="414">
        <f>ROUND((I33*D34),2)</f>
        <v>0</v>
      </c>
    </row>
    <row r="35" spans="1:9" ht="20.100000000000001" customHeight="1">
      <c r="A35" s="438" t="s">
        <v>471</v>
      </c>
      <c r="B35" s="439"/>
      <c r="C35" s="439"/>
      <c r="D35" s="440">
        <f>SUM(D32:D34)</f>
        <v>9.7900000000000001E-2</v>
      </c>
      <c r="E35" s="441"/>
      <c r="F35" s="415">
        <f>F32+F34</f>
        <v>381.16</v>
      </c>
      <c r="G35" s="415">
        <f>G32+G34</f>
        <v>0.49</v>
      </c>
      <c r="H35" s="415">
        <f>H32+H34</f>
        <v>6.49</v>
      </c>
      <c r="I35" s="416">
        <f>I32+I34</f>
        <v>0</v>
      </c>
    </row>
    <row r="36" spans="1:9" ht="20.100000000000001" customHeight="1">
      <c r="A36" s="764" t="s">
        <v>472</v>
      </c>
      <c r="B36" s="764"/>
      <c r="C36" s="764"/>
      <c r="D36" s="764"/>
      <c r="E36" s="764"/>
      <c r="F36" s="442">
        <f>F16+F28+F35</f>
        <v>4195.1500000000005</v>
      </c>
      <c r="G36" s="442">
        <f>G16+G28+G35</f>
        <v>5.37</v>
      </c>
      <c r="H36" s="442">
        <f>H16+H28+H35</f>
        <v>71.399999999999991</v>
      </c>
      <c r="I36" s="443">
        <f>I16+I28+I35</f>
        <v>0</v>
      </c>
    </row>
    <row r="37" spans="1:9" ht="20.100000000000001" customHeight="1">
      <c r="A37" s="765" t="s">
        <v>473</v>
      </c>
      <c r="B37" s="765"/>
      <c r="C37" s="765"/>
      <c r="D37" s="765"/>
      <c r="E37" s="765"/>
      <c r="F37" s="765"/>
      <c r="G37" s="765"/>
      <c r="H37" s="765"/>
      <c r="I37" s="765"/>
    </row>
    <row r="38" spans="1:9" ht="20.100000000000001" customHeight="1">
      <c r="A38" s="758" t="s">
        <v>430</v>
      </c>
      <c r="B38" s="758"/>
      <c r="C38" s="758"/>
      <c r="D38" s="420">
        <f>Dados!G25</f>
        <v>7.5999999999999998E-2</v>
      </c>
      <c r="E38" s="421"/>
      <c r="F38" s="404">
        <f>ROUND((F42*D38),2)</f>
        <v>371.81</v>
      </c>
      <c r="G38" s="404">
        <f>ROUND((G42*D38),2)</f>
        <v>0.48</v>
      </c>
      <c r="H38" s="404">
        <f>ROUND((H42*D38),2)</f>
        <v>6.33</v>
      </c>
      <c r="I38" s="405">
        <f>ROUND((I42*D38),2)</f>
        <v>0</v>
      </c>
    </row>
    <row r="39" spans="1:9" ht="20.100000000000001" customHeight="1">
      <c r="A39" s="758" t="s">
        <v>431</v>
      </c>
      <c r="B39" s="758"/>
      <c r="C39" s="758"/>
      <c r="D39" s="420">
        <f>Dados!G26</f>
        <v>1.6500000000000001E-2</v>
      </c>
      <c r="E39" s="421"/>
      <c r="F39" s="404">
        <f>ROUND((F42*D39),2)</f>
        <v>80.72</v>
      </c>
      <c r="G39" s="404">
        <f>ROUND((G42*D39),2)</f>
        <v>0.1</v>
      </c>
      <c r="H39" s="404">
        <f>ROUND((H42*D39),2)</f>
        <v>1.37</v>
      </c>
      <c r="I39" s="405">
        <f>ROUND((I42*D39),2)</f>
        <v>0</v>
      </c>
    </row>
    <row r="40" spans="1:9" ht="20.100000000000001" customHeight="1">
      <c r="A40" s="758" t="s">
        <v>432</v>
      </c>
      <c r="B40" s="758"/>
      <c r="C40" s="758"/>
      <c r="D40" s="420">
        <f>Dados!G27</f>
        <v>0.05</v>
      </c>
      <c r="E40" s="421"/>
      <c r="F40" s="404">
        <f>ROUND((F42*D40),2)</f>
        <v>244.62</v>
      </c>
      <c r="G40" s="404">
        <f>ROUND((G42*D40),2)</f>
        <v>0.31</v>
      </c>
      <c r="H40" s="404">
        <f>ROUND((H42*D40),2)</f>
        <v>4.16</v>
      </c>
      <c r="I40" s="405">
        <f>ROUND((I42*D40),2)</f>
        <v>0</v>
      </c>
    </row>
    <row r="41" spans="1:9" ht="20.100000000000001" customHeight="1">
      <c r="A41" s="444" t="s">
        <v>474</v>
      </c>
      <c r="B41" s="445"/>
      <c r="C41" s="445"/>
      <c r="D41" s="446">
        <f>SUM(D38:D40)</f>
        <v>0.14250000000000002</v>
      </c>
      <c r="E41" s="447"/>
      <c r="F41" s="409">
        <f>SUM(F38:F40)</f>
        <v>697.15</v>
      </c>
      <c r="G41" s="409">
        <f>SUM(G38:G40)</f>
        <v>0.8899999999999999</v>
      </c>
      <c r="H41" s="409">
        <f>SUM(H38:H40)</f>
        <v>11.86</v>
      </c>
      <c r="I41" s="410">
        <f>SUM(I38:I40)</f>
        <v>0</v>
      </c>
    </row>
    <row r="42" spans="1:9">
      <c r="A42" s="784" t="s">
        <v>518</v>
      </c>
      <c r="B42" s="784"/>
      <c r="C42" s="784"/>
      <c r="D42" s="784"/>
      <c r="E42" s="784"/>
      <c r="F42" s="448">
        <f>ROUND(F36/(1-D41),2)</f>
        <v>4892.3</v>
      </c>
      <c r="G42" s="448">
        <f>ROUND(G36/(1-D41),2)</f>
        <v>6.26</v>
      </c>
      <c r="H42" s="448">
        <f>ROUND(H36/(1-D41),2)</f>
        <v>83.27</v>
      </c>
      <c r="I42" s="449">
        <f>ROUND(I36/(1-D41),2)</f>
        <v>0</v>
      </c>
    </row>
    <row r="43" spans="1:9" ht="20.100000000000001" customHeight="1">
      <c r="A43" s="783" t="str">
        <f>"Valor do Custo Mensal"&amp;" - "&amp;A6</f>
        <v>Valor do Custo Mensal - Zelador - 220h</v>
      </c>
      <c r="B43" s="783"/>
      <c r="C43" s="783"/>
      <c r="D43" s="783"/>
      <c r="E43" s="783"/>
      <c r="F43" s="523">
        <f>F42</f>
        <v>4892.3</v>
      </c>
      <c r="G43" s="523">
        <f>G42</f>
        <v>6.26</v>
      </c>
      <c r="H43" s="523">
        <f>H42</f>
        <v>83.27</v>
      </c>
      <c r="I43" s="524">
        <f>I42</f>
        <v>0</v>
      </c>
    </row>
    <row r="44" spans="1:9" ht="20.100000000000001" customHeight="1">
      <c r="A44" s="783" t="str">
        <f>"Valor do Custo Mensal"&amp;" - "&amp;A6</f>
        <v>Valor do Custo Mensal - Zelador - 220h</v>
      </c>
      <c r="B44" s="783"/>
      <c r="C44" s="783"/>
      <c r="D44" s="783"/>
      <c r="E44" s="783"/>
      <c r="F44" s="525">
        <f>(F43/F14)/100</f>
        <v>2.6328875494443394E-2</v>
      </c>
      <c r="G44" s="526"/>
      <c r="H44" s="453"/>
      <c r="I44" s="453"/>
    </row>
    <row r="45" spans="1:9" ht="20.100000000000001" customHeight="1">
      <c r="G45" s="223"/>
      <c r="H45" s="455"/>
      <c r="I45" s="223"/>
    </row>
    <row r="46" spans="1:9" ht="32.25" customHeight="1">
      <c r="A46" s="768" t="s">
        <v>476</v>
      </c>
      <c r="B46" s="768"/>
      <c r="C46" s="768"/>
      <c r="D46" s="768"/>
      <c r="E46" s="768"/>
      <c r="F46" s="768"/>
      <c r="G46" s="223"/>
      <c r="H46" s="223"/>
      <c r="I46" s="223"/>
    </row>
    <row r="47" spans="1:9" ht="20.100000000000001" customHeight="1">
      <c r="A47" s="740" t="s">
        <v>573</v>
      </c>
      <c r="B47" s="740"/>
      <c r="C47" s="740"/>
      <c r="D47" s="740"/>
      <c r="E47" s="740"/>
      <c r="F47" s="740"/>
      <c r="G47" s="223"/>
      <c r="H47" s="223"/>
      <c r="I47" s="223"/>
    </row>
    <row r="48" spans="1:9" ht="20.100000000000001" customHeight="1">
      <c r="A48" s="769" t="s">
        <v>477</v>
      </c>
      <c r="B48" s="769"/>
      <c r="C48" s="769"/>
      <c r="D48" s="769"/>
      <c r="E48" s="770" t="s">
        <v>468</v>
      </c>
      <c r="F48" s="771" t="s">
        <v>478</v>
      </c>
      <c r="G48" s="223"/>
      <c r="H48" s="772"/>
      <c r="I48" s="223"/>
    </row>
    <row r="49" spans="1:9" ht="20.100000000000001" customHeight="1">
      <c r="A49" s="456" t="s">
        <v>479</v>
      </c>
      <c r="B49" s="773" t="s">
        <v>43</v>
      </c>
      <c r="C49" s="773"/>
      <c r="D49" s="773"/>
      <c r="E49" s="770"/>
      <c r="F49" s="771"/>
      <c r="G49" s="223"/>
      <c r="H49" s="772"/>
      <c r="I49" s="223"/>
    </row>
    <row r="50" spans="1:9" ht="20.100000000000001" customHeight="1">
      <c r="A50" s="457">
        <v>1</v>
      </c>
      <c r="B50" s="774" t="s">
        <v>480</v>
      </c>
      <c r="C50" s="774"/>
      <c r="D50" s="774"/>
      <c r="E50" s="774"/>
      <c r="F50" s="458">
        <f>F14</f>
        <v>1858.15</v>
      </c>
      <c r="G50" s="223"/>
      <c r="H50" s="459"/>
      <c r="I50" s="223"/>
    </row>
    <row r="51" spans="1:9" ht="20.100000000000001" customHeight="1">
      <c r="A51" s="460" t="s">
        <v>481</v>
      </c>
      <c r="B51" s="775" t="s">
        <v>44</v>
      </c>
      <c r="C51" s="775"/>
      <c r="D51" s="775"/>
      <c r="E51" s="461">
        <f>Encargos!C39</f>
        <v>9.0899999999999995E-2</v>
      </c>
      <c r="F51" s="462">
        <f>ROUND((E51*F50),2)</f>
        <v>168.91</v>
      </c>
      <c r="G51" s="223"/>
      <c r="H51" s="463"/>
      <c r="I51" s="223"/>
    </row>
    <row r="52" spans="1:9" ht="20.100000000000001" customHeight="1">
      <c r="A52" s="460" t="s">
        <v>482</v>
      </c>
      <c r="B52" s="775" t="s">
        <v>49</v>
      </c>
      <c r="C52" s="775"/>
      <c r="D52" s="775"/>
      <c r="E52" s="464">
        <f>E51*Encargos!C18</f>
        <v>3.6178200000000008E-2</v>
      </c>
      <c r="F52" s="462">
        <f>ROUND((E52*F50),2)</f>
        <v>67.22</v>
      </c>
      <c r="G52" s="223"/>
      <c r="H52" s="463"/>
      <c r="I52" s="223"/>
    </row>
    <row r="53" spans="1:9" ht="20.100000000000001" customHeight="1">
      <c r="A53" s="778" t="s">
        <v>483</v>
      </c>
      <c r="B53" s="778"/>
      <c r="C53" s="778"/>
      <c r="D53" s="778"/>
      <c r="E53" s="465">
        <f>SUM(E51:E52)</f>
        <v>0.1270782</v>
      </c>
      <c r="F53" s="466">
        <f>SUM(F51:F52)</f>
        <v>236.13</v>
      </c>
      <c r="G53" s="223"/>
      <c r="H53" s="467"/>
      <c r="I53" s="223"/>
    </row>
    <row r="54" spans="1:9" ht="20.100000000000001" customHeight="1">
      <c r="A54" s="779" t="s">
        <v>484</v>
      </c>
      <c r="B54" s="779"/>
      <c r="C54" s="779"/>
      <c r="D54" s="779"/>
      <c r="E54" s="779"/>
      <c r="F54" s="468">
        <f>ROUND((F53*12),2)</f>
        <v>2833.56</v>
      </c>
      <c r="G54" s="223"/>
      <c r="H54" s="467"/>
      <c r="I54" s="223"/>
    </row>
    <row r="55" spans="1:9" ht="20.100000000000001" customHeight="1">
      <c r="A55" s="469">
        <v>2</v>
      </c>
      <c r="B55" s="470" t="s">
        <v>485</v>
      </c>
      <c r="C55" s="471"/>
      <c r="D55" s="471"/>
      <c r="E55" s="471"/>
      <c r="F55" s="472" t="s">
        <v>478</v>
      </c>
      <c r="G55" s="223"/>
      <c r="H55" s="473"/>
      <c r="I55" s="223"/>
    </row>
    <row r="56" spans="1:9" ht="20.100000000000001" customHeight="1">
      <c r="A56" s="474" t="s">
        <v>481</v>
      </c>
      <c r="B56" s="475" t="s">
        <v>486</v>
      </c>
      <c r="C56" s="476"/>
      <c r="D56" s="476"/>
      <c r="E56" s="477"/>
      <c r="F56" s="478">
        <f>F23</f>
        <v>412.27</v>
      </c>
      <c r="G56" s="223"/>
      <c r="H56" s="479"/>
      <c r="I56" s="223"/>
    </row>
    <row r="57" spans="1:9" ht="20.100000000000001" customHeight="1">
      <c r="A57" s="474" t="s">
        <v>487</v>
      </c>
      <c r="B57" s="475" t="s">
        <v>488</v>
      </c>
      <c r="C57" s="476"/>
      <c r="D57" s="476"/>
      <c r="E57" s="477"/>
      <c r="F57" s="478">
        <f>F22</f>
        <v>64.91</v>
      </c>
      <c r="G57" s="223"/>
      <c r="H57" s="479"/>
      <c r="I57" s="223"/>
    </row>
    <row r="58" spans="1:9" ht="20.100000000000001" customHeight="1">
      <c r="A58" s="474" t="s">
        <v>489</v>
      </c>
      <c r="B58" s="475" t="s">
        <v>490</v>
      </c>
      <c r="C58" s="476"/>
      <c r="D58" s="476"/>
      <c r="E58" s="477"/>
      <c r="F58" s="480">
        <v>0</v>
      </c>
      <c r="G58" s="223"/>
      <c r="H58" s="481"/>
      <c r="I58" s="223"/>
    </row>
    <row r="59" spans="1:9" ht="20.100000000000001" customHeight="1">
      <c r="A59" s="780" t="s">
        <v>491</v>
      </c>
      <c r="B59" s="780"/>
      <c r="C59" s="780"/>
      <c r="D59" s="780"/>
      <c r="E59" s="780"/>
      <c r="F59" s="482">
        <f>SUM(F56:F58)</f>
        <v>477.17999999999995</v>
      </c>
      <c r="G59" s="223"/>
      <c r="H59" s="483"/>
      <c r="I59" s="223"/>
    </row>
    <row r="60" spans="1:9" ht="20.100000000000001" customHeight="1">
      <c r="A60" s="484">
        <v>5</v>
      </c>
      <c r="B60" s="781" t="s">
        <v>492</v>
      </c>
      <c r="C60" s="781"/>
      <c r="D60" s="781"/>
      <c r="E60" s="485" t="s">
        <v>468</v>
      </c>
      <c r="F60" s="486" t="s">
        <v>366</v>
      </c>
      <c r="G60" s="223"/>
      <c r="H60" s="473"/>
      <c r="I60" s="223"/>
    </row>
    <row r="61" spans="1:9" ht="20.100000000000001" customHeight="1">
      <c r="A61" s="474" t="s">
        <v>481</v>
      </c>
      <c r="B61" s="782" t="s">
        <v>493</v>
      </c>
      <c r="C61" s="782"/>
      <c r="D61" s="782"/>
      <c r="E61" s="487">
        <f>D32</f>
        <v>0.03</v>
      </c>
      <c r="F61" s="488">
        <f>ROUND((E61*F74),2)</f>
        <v>99.32</v>
      </c>
      <c r="G61" s="223"/>
      <c r="H61" s="489"/>
      <c r="I61" s="223"/>
    </row>
    <row r="62" spans="1:9" ht="20.100000000000001" customHeight="1">
      <c r="A62" s="474" t="s">
        <v>487</v>
      </c>
      <c r="B62" s="490" t="s">
        <v>427</v>
      </c>
      <c r="C62" s="491"/>
      <c r="D62" s="492"/>
      <c r="E62" s="487">
        <f>D34</f>
        <v>6.7900000000000002E-2</v>
      </c>
      <c r="F62" s="488">
        <f>ROUND((E62*F74),2)</f>
        <v>224.8</v>
      </c>
      <c r="G62" s="223"/>
      <c r="H62" s="489"/>
      <c r="I62" s="223"/>
    </row>
    <row r="63" spans="1:9" ht="20.100000000000001" customHeight="1">
      <c r="A63" s="493" t="s">
        <v>489</v>
      </c>
      <c r="B63" s="490" t="s">
        <v>494</v>
      </c>
      <c r="C63" s="491"/>
      <c r="D63" s="492"/>
      <c r="E63" s="494">
        <f>SUM(E64:E67)</f>
        <v>0.14250000000000002</v>
      </c>
      <c r="F63" s="495">
        <f>ROUND((((F74+F61+F62)/(1-$E$63))-(F74+F61+F62)),2)</f>
        <v>604.04</v>
      </c>
      <c r="G63" s="223"/>
      <c r="H63" s="496"/>
      <c r="I63" s="223"/>
    </row>
    <row r="64" spans="1:9" ht="20.100000000000001" customHeight="1">
      <c r="A64" s="497" t="s">
        <v>495</v>
      </c>
      <c r="B64" s="475" t="s">
        <v>496</v>
      </c>
      <c r="C64" s="491"/>
      <c r="D64" s="492"/>
      <c r="E64" s="487">
        <f>D38+D39</f>
        <v>9.2499999999999999E-2</v>
      </c>
      <c r="F64" s="488">
        <v>741.84</v>
      </c>
      <c r="G64" s="223"/>
      <c r="H64" s="489"/>
      <c r="I64" s="223"/>
    </row>
    <row r="65" spans="1:9" ht="20.100000000000001" customHeight="1">
      <c r="A65" s="474" t="s">
        <v>497</v>
      </c>
      <c r="B65" s="498" t="s">
        <v>498</v>
      </c>
      <c r="C65" s="491"/>
      <c r="D65" s="492"/>
      <c r="E65" s="492">
        <v>0</v>
      </c>
      <c r="F65" s="488">
        <v>0</v>
      </c>
      <c r="G65" s="223"/>
      <c r="H65" s="489"/>
      <c r="I65" s="223"/>
    </row>
    <row r="66" spans="1:9" ht="20.100000000000001" customHeight="1">
      <c r="A66" s="474" t="s">
        <v>499</v>
      </c>
      <c r="B66" s="475" t="s">
        <v>500</v>
      </c>
      <c r="C66" s="491"/>
      <c r="D66" s="492"/>
      <c r="E66" s="487">
        <f>D40</f>
        <v>0.05</v>
      </c>
      <c r="F66" s="488">
        <f>ROUND((E66*F76),2)</f>
        <v>211.95</v>
      </c>
      <c r="G66" s="223"/>
      <c r="H66" s="489"/>
      <c r="I66" s="223"/>
    </row>
    <row r="67" spans="1:9" ht="20.100000000000001" customHeight="1">
      <c r="A67" s="474" t="s">
        <v>501</v>
      </c>
      <c r="B67" s="475" t="s">
        <v>502</v>
      </c>
      <c r="C67" s="491"/>
      <c r="D67" s="492"/>
      <c r="E67" s="492">
        <v>0</v>
      </c>
      <c r="F67" s="488">
        <v>0</v>
      </c>
      <c r="G67" s="223"/>
      <c r="H67" s="489"/>
      <c r="I67" s="223"/>
    </row>
    <row r="68" spans="1:9" ht="20.100000000000001" customHeight="1">
      <c r="A68" s="499" t="s">
        <v>503</v>
      </c>
      <c r="B68" s="500"/>
      <c r="C68" s="501"/>
      <c r="D68" s="502"/>
      <c r="E68" s="502"/>
      <c r="F68" s="503">
        <f>SUM(F61:F63)</f>
        <v>928.16</v>
      </c>
      <c r="G68" s="223"/>
      <c r="H68" s="504"/>
      <c r="I68" s="223"/>
    </row>
    <row r="69" spans="1:9" ht="20.100000000000001" customHeight="1">
      <c r="A69" s="776" t="s">
        <v>504</v>
      </c>
      <c r="B69" s="776"/>
      <c r="C69" s="776"/>
      <c r="D69" s="776"/>
      <c r="E69" s="776"/>
      <c r="F69" s="776"/>
      <c r="G69" s="223"/>
      <c r="H69" s="223"/>
      <c r="I69" s="223"/>
    </row>
    <row r="70" spans="1:9" ht="20.100000000000001" customHeight="1">
      <c r="A70" s="777" t="s">
        <v>505</v>
      </c>
      <c r="B70" s="777"/>
      <c r="C70" s="777"/>
      <c r="D70" s="777"/>
      <c r="E70" s="777"/>
      <c r="F70" s="777"/>
      <c r="G70" s="223"/>
      <c r="H70" s="223"/>
      <c r="I70" s="223"/>
    </row>
    <row r="71" spans="1:9" ht="20.100000000000001" customHeight="1">
      <c r="A71" s="505" t="s">
        <v>506</v>
      </c>
      <c r="B71" s="506"/>
      <c r="C71" s="506"/>
      <c r="D71" s="506"/>
      <c r="E71" s="506"/>
      <c r="F71" s="486" t="s">
        <v>366</v>
      </c>
      <c r="G71" s="223"/>
      <c r="H71" s="473"/>
      <c r="I71" s="223"/>
    </row>
    <row r="72" spans="1:9" ht="20.100000000000001" customHeight="1">
      <c r="A72" s="460" t="s">
        <v>481</v>
      </c>
      <c r="B72" s="507" t="s">
        <v>507</v>
      </c>
      <c r="C72" s="508"/>
      <c r="D72" s="508"/>
      <c r="E72" s="508"/>
      <c r="F72" s="509">
        <f>F54</f>
        <v>2833.56</v>
      </c>
      <c r="G72" s="223"/>
      <c r="H72" s="510"/>
      <c r="I72" s="223"/>
    </row>
    <row r="73" spans="1:9" ht="20.100000000000001" customHeight="1">
      <c r="A73" s="460" t="s">
        <v>487</v>
      </c>
      <c r="B73" s="507" t="s">
        <v>485</v>
      </c>
      <c r="C73" s="508"/>
      <c r="D73" s="508"/>
      <c r="E73" s="508"/>
      <c r="F73" s="509">
        <f>F59</f>
        <v>477.17999999999995</v>
      </c>
      <c r="G73" s="223"/>
      <c r="H73" s="510"/>
      <c r="I73" s="223"/>
    </row>
    <row r="74" spans="1:9" ht="20.100000000000001" customHeight="1">
      <c r="A74" s="511" t="s">
        <v>508</v>
      </c>
      <c r="B74" s="512"/>
      <c r="C74" s="512"/>
      <c r="D74" s="512"/>
      <c r="E74" s="512"/>
      <c r="F74" s="513">
        <f>SUM(F72:F73)</f>
        <v>3310.74</v>
      </c>
      <c r="G74" s="223"/>
      <c r="H74" s="514"/>
      <c r="I74" s="223"/>
    </row>
    <row r="75" spans="1:9" ht="20.100000000000001" customHeight="1">
      <c r="A75" s="515" t="s">
        <v>509</v>
      </c>
      <c r="B75" s="516" t="s">
        <v>510</v>
      </c>
      <c r="C75" s="517"/>
      <c r="D75" s="517"/>
      <c r="E75" s="517"/>
      <c r="F75" s="518">
        <f>F68</f>
        <v>928.16</v>
      </c>
      <c r="G75" s="223"/>
      <c r="H75" s="510"/>
      <c r="I75" s="223"/>
    </row>
    <row r="76" spans="1:9" ht="20.100000000000001" customHeight="1">
      <c r="A76" s="519" t="s">
        <v>511</v>
      </c>
      <c r="B76" s="520"/>
      <c r="C76" s="520"/>
      <c r="D76" s="520"/>
      <c r="E76" s="520"/>
      <c r="F76" s="521">
        <f>SUM(F74:F75)</f>
        <v>4238.8999999999996</v>
      </c>
      <c r="G76" s="223"/>
      <c r="H76" s="514"/>
      <c r="I76" s="223"/>
    </row>
  </sheetData>
  <mergeCells count="59">
    <mergeCell ref="A69:F69"/>
    <mergeCell ref="A70:F70"/>
    <mergeCell ref="A53:D53"/>
    <mergeCell ref="A54:E54"/>
    <mergeCell ref="A59:E59"/>
    <mergeCell ref="B60:D60"/>
    <mergeCell ref="B61:D61"/>
    <mergeCell ref="H48:H49"/>
    <mergeCell ref="B49:D49"/>
    <mergeCell ref="B50:E50"/>
    <mergeCell ref="B51:D51"/>
    <mergeCell ref="B52:D52"/>
    <mergeCell ref="A44:E44"/>
    <mergeCell ref="A46:F46"/>
    <mergeCell ref="A47:F47"/>
    <mergeCell ref="A48:D48"/>
    <mergeCell ref="E48:E49"/>
    <mergeCell ref="F48:F49"/>
    <mergeCell ref="A38:C38"/>
    <mergeCell ref="A39:C39"/>
    <mergeCell ref="A40:C40"/>
    <mergeCell ref="A42:E42"/>
    <mergeCell ref="A43:E43"/>
    <mergeCell ref="A31:C31"/>
    <mergeCell ref="E31:I31"/>
    <mergeCell ref="A33:C33"/>
    <mergeCell ref="A36:E36"/>
    <mergeCell ref="A37:I37"/>
    <mergeCell ref="A24:B24"/>
    <mergeCell ref="A27:B27"/>
    <mergeCell ref="A28:E28"/>
    <mergeCell ref="A29:E29"/>
    <mergeCell ref="A30:I30"/>
    <mergeCell ref="A19:B19"/>
    <mergeCell ref="A20:B20"/>
    <mergeCell ref="A21:B21"/>
    <mergeCell ref="A22:B22"/>
    <mergeCell ref="A23:B23"/>
    <mergeCell ref="A16:E16"/>
    <mergeCell ref="A17:I17"/>
    <mergeCell ref="A18:B18"/>
    <mergeCell ref="D18:E18"/>
    <mergeCell ref="F18:I18"/>
    <mergeCell ref="A8:I8"/>
    <mergeCell ref="B9:C9"/>
    <mergeCell ref="F9:I9"/>
    <mergeCell ref="A10:A15"/>
    <mergeCell ref="B10:C10"/>
    <mergeCell ref="B11:C11"/>
    <mergeCell ref="B14:E14"/>
    <mergeCell ref="B15:D15"/>
    <mergeCell ref="A4:I4"/>
    <mergeCell ref="A5:I5"/>
    <mergeCell ref="A6:D6"/>
    <mergeCell ref="F6:F7"/>
    <mergeCell ref="G6:G7"/>
    <mergeCell ref="H6:H7"/>
    <mergeCell ref="I6:I7"/>
    <mergeCell ref="A7:D7"/>
  </mergeCells>
  <pageMargins left="0.39374999999999999" right="0" top="0.39374999999999999" bottom="0" header="0.51180555555555496" footer="0.51180555555555496"/>
  <pageSetup paperSize="9" scale="90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8EB4E3"/>
  </sheetPr>
  <dimension ref="A1:I75"/>
  <sheetViews>
    <sheetView topLeftCell="A46" zoomScaleNormal="100" workbookViewId="0">
      <selection activeCell="A53" sqref="A53:E53"/>
    </sheetView>
  </sheetViews>
  <sheetFormatPr defaultColWidth="8.7109375" defaultRowHeight="12.75"/>
  <cols>
    <col min="1" max="1" width="13.42578125" customWidth="1"/>
    <col min="2" max="2" width="13.28515625" customWidth="1"/>
    <col min="3" max="3" width="12.7109375" customWidth="1"/>
    <col min="4" max="4" width="12.85546875" customWidth="1"/>
    <col min="5" max="5" width="13.42578125" customWidth="1"/>
    <col min="6" max="6" width="16.85546875" customWidth="1"/>
    <col min="7" max="7" width="17.85546875" customWidth="1"/>
    <col min="8" max="8" width="13.42578125" customWidth="1"/>
    <col min="9" max="9" width="13.5703125" customWidth="1"/>
  </cols>
  <sheetData>
    <row r="1" spans="1:9" ht="20.100000000000001" customHeight="1">
      <c r="A1" s="391"/>
      <c r="B1" s="391" t="s">
        <v>433</v>
      </c>
      <c r="C1" s="392"/>
      <c r="D1" s="392"/>
      <c r="E1" s="392"/>
      <c r="F1" s="393"/>
      <c r="G1" s="100"/>
      <c r="H1" s="393"/>
      <c r="I1" s="225"/>
    </row>
    <row r="2" spans="1:9" ht="20.100000000000001" customHeight="1">
      <c r="A2" s="391"/>
      <c r="B2" s="391" t="s">
        <v>434</v>
      </c>
      <c r="C2" s="394"/>
      <c r="D2" s="394"/>
      <c r="E2" s="394"/>
      <c r="F2" s="395"/>
      <c r="G2" s="102"/>
      <c r="H2" s="395"/>
      <c r="I2" s="226"/>
    </row>
    <row r="3" spans="1:9" ht="20.100000000000001" customHeight="1">
      <c r="A3" s="396"/>
      <c r="B3" s="396" t="s">
        <v>274</v>
      </c>
      <c r="C3" s="394"/>
      <c r="D3" s="394"/>
      <c r="E3" s="394"/>
      <c r="F3" s="395"/>
      <c r="G3" s="102"/>
      <c r="H3" s="395"/>
      <c r="I3" s="226"/>
    </row>
    <row r="4" spans="1:9" ht="20.100000000000001" customHeight="1">
      <c r="A4" s="739" t="s">
        <v>435</v>
      </c>
      <c r="B4" s="739"/>
      <c r="C4" s="739"/>
      <c r="D4" s="739"/>
      <c r="E4" s="739"/>
      <c r="F4" s="739"/>
      <c r="G4" s="739"/>
      <c r="H4" s="739"/>
      <c r="I4" s="739"/>
    </row>
    <row r="5" spans="1:9" ht="20.100000000000001" customHeight="1">
      <c r="A5" s="740" t="s">
        <v>574</v>
      </c>
      <c r="B5" s="740"/>
      <c r="C5" s="740"/>
      <c r="D5" s="740"/>
      <c r="E5" s="740"/>
      <c r="F5" s="740"/>
      <c r="G5" s="740"/>
      <c r="H5" s="740"/>
      <c r="I5" s="740"/>
    </row>
    <row r="6" spans="1:9" ht="20.100000000000001" customHeight="1">
      <c r="A6" s="741" t="s">
        <v>520</v>
      </c>
      <c r="B6" s="741"/>
      <c r="C6" s="741"/>
      <c r="D6" s="741"/>
      <c r="E6" s="397" t="str">
        <f>Dados!B5</f>
        <v>CCT 2022</v>
      </c>
      <c r="F6" s="742" t="s">
        <v>438</v>
      </c>
      <c r="G6" s="743" t="s">
        <v>439</v>
      </c>
      <c r="H6" s="742" t="s">
        <v>440</v>
      </c>
      <c r="I6" s="744" t="s">
        <v>441</v>
      </c>
    </row>
    <row r="7" spans="1:9" ht="20.100000000000001" customHeight="1">
      <c r="A7" s="745" t="s">
        <v>521</v>
      </c>
      <c r="B7" s="745"/>
      <c r="C7" s="745"/>
      <c r="D7" s="745"/>
      <c r="E7" s="398" t="s">
        <v>366</v>
      </c>
      <c r="F7" s="742"/>
      <c r="G7" s="743"/>
      <c r="H7" s="742"/>
      <c r="I7" s="744"/>
    </row>
    <row r="8" spans="1:9" ht="20.100000000000001" customHeight="1">
      <c r="A8" s="746" t="s">
        <v>443</v>
      </c>
      <c r="B8" s="746"/>
      <c r="C8" s="746"/>
      <c r="D8" s="746"/>
      <c r="E8" s="746"/>
      <c r="F8" s="746"/>
      <c r="G8" s="746"/>
      <c r="H8" s="746"/>
      <c r="I8" s="746"/>
    </row>
    <row r="9" spans="1:9" ht="24.75" customHeight="1">
      <c r="A9" s="399" t="s">
        <v>444</v>
      </c>
      <c r="B9" s="747" t="s">
        <v>445</v>
      </c>
      <c r="C9" s="747"/>
      <c r="D9" s="400" t="s">
        <v>446</v>
      </c>
      <c r="E9" s="401" t="s">
        <v>447</v>
      </c>
      <c r="F9" s="748" t="s">
        <v>448</v>
      </c>
      <c r="G9" s="748"/>
      <c r="H9" s="748"/>
      <c r="I9" s="748"/>
    </row>
    <row r="10" spans="1:9" ht="20.100000000000001" customHeight="1">
      <c r="A10" s="749">
        <v>1</v>
      </c>
      <c r="B10" s="750" t="s">
        <v>229</v>
      </c>
      <c r="C10" s="750"/>
      <c r="D10" s="402">
        <v>150</v>
      </c>
      <c r="E10" s="403">
        <f>Dados!D11</f>
        <v>1830.32</v>
      </c>
      <c r="F10" s="404">
        <f>ROUND(E10/220*D10,2)</f>
        <v>1247.95</v>
      </c>
      <c r="G10" s="404"/>
      <c r="H10" s="404"/>
      <c r="I10" s="405"/>
    </row>
    <row r="11" spans="1:9" ht="20.100000000000001" customHeight="1">
      <c r="A11" s="749"/>
      <c r="B11" s="750" t="s">
        <v>449</v>
      </c>
      <c r="C11" s="750"/>
      <c r="D11" s="406">
        <v>0</v>
      </c>
      <c r="E11" s="403">
        <f>Dados!G24</f>
        <v>1320</v>
      </c>
      <c r="F11" s="404">
        <f>E11*D11</f>
        <v>0</v>
      </c>
      <c r="G11" s="404"/>
      <c r="H11" s="404"/>
      <c r="I11" s="405">
        <f>F11</f>
        <v>0</v>
      </c>
    </row>
    <row r="12" spans="1:9" ht="39.6" customHeight="1">
      <c r="A12" s="749"/>
      <c r="B12" s="407" t="s">
        <v>450</v>
      </c>
      <c r="C12" s="408"/>
      <c r="D12" s="406"/>
      <c r="E12" s="403">
        <f>Dados!D11</f>
        <v>1830.32</v>
      </c>
      <c r="F12" s="404">
        <f>ROUND((((E12/220*D10)*D12)*C12),2)</f>
        <v>0</v>
      </c>
      <c r="G12" s="404"/>
      <c r="H12" s="404"/>
      <c r="I12" s="405"/>
    </row>
    <row r="13" spans="1:9" ht="20.100000000000001" customHeight="1">
      <c r="A13" s="749"/>
      <c r="B13" s="751" t="s">
        <v>451</v>
      </c>
      <c r="C13" s="751"/>
      <c r="D13" s="751"/>
      <c r="E13" s="751"/>
      <c r="F13" s="409">
        <f>SUM(F10:F12)</f>
        <v>1247.95</v>
      </c>
      <c r="G13" s="409">
        <f>SUM(G10:G12)</f>
        <v>0</v>
      </c>
      <c r="H13" s="409">
        <f>SUM(H10:H12)</f>
        <v>0</v>
      </c>
      <c r="I13" s="410">
        <f>SUM(I10:I12)</f>
        <v>0</v>
      </c>
    </row>
    <row r="14" spans="1:9" ht="20.100000000000001" customHeight="1">
      <c r="A14" s="749"/>
      <c r="B14" s="752" t="s">
        <v>452</v>
      </c>
      <c r="C14" s="752"/>
      <c r="D14" s="752"/>
      <c r="E14" s="412">
        <f>Dados!G13</f>
        <v>0.77159999999999995</v>
      </c>
      <c r="F14" s="413">
        <f>ROUND((E14*F13),2)</f>
        <v>962.92</v>
      </c>
      <c r="G14" s="413"/>
      <c r="H14" s="413"/>
      <c r="I14" s="414">
        <f>ROUND((E14*I13),2)</f>
        <v>0</v>
      </c>
    </row>
    <row r="15" spans="1:9" ht="20.100000000000001" customHeight="1">
      <c r="A15" s="753" t="s">
        <v>453</v>
      </c>
      <c r="B15" s="753"/>
      <c r="C15" s="753"/>
      <c r="D15" s="753"/>
      <c r="E15" s="753"/>
      <c r="F15" s="415">
        <f>SUM(F13:F14)</f>
        <v>2210.87</v>
      </c>
      <c r="G15" s="415">
        <f>SUM(G13:G14)</f>
        <v>0</v>
      </c>
      <c r="H15" s="415">
        <f>SUM(H13:H14)</f>
        <v>0</v>
      </c>
      <c r="I15" s="416">
        <f>SUM(I13:I14)</f>
        <v>0</v>
      </c>
    </row>
    <row r="16" spans="1:9" ht="20.100000000000001" customHeight="1">
      <c r="A16" s="754" t="s">
        <v>454</v>
      </c>
      <c r="B16" s="754"/>
      <c r="C16" s="754"/>
      <c r="D16" s="754"/>
      <c r="E16" s="754"/>
      <c r="F16" s="754"/>
      <c r="G16" s="754"/>
      <c r="H16" s="754"/>
      <c r="I16" s="754"/>
    </row>
    <row r="17" spans="1:9" ht="20.100000000000001" customHeight="1">
      <c r="A17" s="755" t="s">
        <v>455</v>
      </c>
      <c r="B17" s="755"/>
      <c r="C17" s="417" t="s">
        <v>456</v>
      </c>
      <c r="D17" s="756" t="s">
        <v>457</v>
      </c>
      <c r="E17" s="756"/>
      <c r="F17" s="757" t="s">
        <v>448</v>
      </c>
      <c r="G17" s="757"/>
      <c r="H17" s="757"/>
      <c r="I17" s="757"/>
    </row>
    <row r="18" spans="1:9" ht="20.100000000000001" customHeight="1">
      <c r="A18" s="758" t="s">
        <v>400</v>
      </c>
      <c r="B18" s="758"/>
      <c r="C18" s="419"/>
      <c r="D18" s="420"/>
      <c r="E18" s="421"/>
      <c r="F18" s="404">
        <f>Dados!H11</f>
        <v>32.450000000000003</v>
      </c>
      <c r="G18" s="404"/>
      <c r="H18" s="404"/>
      <c r="I18" s="405"/>
    </row>
    <row r="19" spans="1:9" ht="20.100000000000001" customHeight="1">
      <c r="A19" s="758" t="s">
        <v>458</v>
      </c>
      <c r="B19" s="758"/>
      <c r="C19" s="419"/>
      <c r="D19" s="420"/>
      <c r="E19" s="420"/>
      <c r="F19" s="404">
        <f>Dados!G15</f>
        <v>4</v>
      </c>
      <c r="G19" s="404"/>
      <c r="H19" s="404"/>
      <c r="I19" s="405"/>
    </row>
    <row r="20" spans="1:9" ht="20.100000000000001" customHeight="1">
      <c r="A20" s="759" t="s">
        <v>419</v>
      </c>
      <c r="B20" s="759"/>
      <c r="C20" s="419"/>
      <c r="D20" s="420"/>
      <c r="E20" s="420"/>
      <c r="F20" s="404">
        <f>Dados!G16</f>
        <v>0</v>
      </c>
      <c r="G20" s="404"/>
      <c r="H20" s="404"/>
      <c r="I20" s="405"/>
    </row>
    <row r="21" spans="1:9" ht="20.100000000000001" customHeight="1">
      <c r="A21" s="758" t="s">
        <v>459</v>
      </c>
      <c r="B21" s="758"/>
      <c r="C21" s="422">
        <f>Dados!G19</f>
        <v>21</v>
      </c>
      <c r="D21" s="404">
        <f>Dados!C17</f>
        <v>0</v>
      </c>
      <c r="E21" s="404">
        <f>Dados!G17</f>
        <v>4.2</v>
      </c>
      <c r="F21" s="404">
        <f>ROUND(((E21+D21)*2*C21)-(F10*0.06),2)</f>
        <v>101.52</v>
      </c>
      <c r="G21" s="404"/>
      <c r="H21" s="404">
        <f>F21</f>
        <v>101.52</v>
      </c>
      <c r="I21" s="405"/>
    </row>
    <row r="22" spans="1:9" ht="20.100000000000001" customHeight="1">
      <c r="A22" s="758" t="s">
        <v>422</v>
      </c>
      <c r="B22" s="758"/>
      <c r="C22" s="423">
        <f>Dados!$H$18</f>
        <v>0.2</v>
      </c>
      <c r="D22" s="422">
        <f>Dados!$G$19</f>
        <v>21</v>
      </c>
      <c r="E22" s="404">
        <f>Dados!$G$18</f>
        <v>24.54</v>
      </c>
      <c r="F22" s="424">
        <f>ROUND((IF(D10&gt;150,((D22*E22)-(C22*(D22*E22))),0)),2)</f>
        <v>0</v>
      </c>
      <c r="G22" s="404"/>
      <c r="H22" s="424"/>
      <c r="I22" s="405"/>
    </row>
    <row r="23" spans="1:9" ht="20.100000000000001" customHeight="1">
      <c r="A23" s="758" t="s">
        <v>460</v>
      </c>
      <c r="B23" s="758"/>
      <c r="C23" s="422"/>
      <c r="D23" s="404"/>
      <c r="E23" s="404"/>
      <c r="F23" s="404"/>
      <c r="G23" s="404">
        <f>F23</f>
        <v>0</v>
      </c>
      <c r="H23" s="404"/>
      <c r="I23" s="405"/>
    </row>
    <row r="24" spans="1:9" ht="20.100000000000001" customHeight="1">
      <c r="A24" s="418" t="s">
        <v>461</v>
      </c>
      <c r="B24" s="427"/>
      <c r="C24" s="422"/>
      <c r="D24" s="404"/>
      <c r="E24" s="404"/>
      <c r="F24" s="404"/>
      <c r="G24" s="404">
        <f>F24</f>
        <v>0</v>
      </c>
      <c r="H24" s="404"/>
      <c r="I24" s="405"/>
    </row>
    <row r="25" spans="1:9" ht="20.100000000000001" customHeight="1">
      <c r="A25" s="418" t="s">
        <v>462</v>
      </c>
      <c r="B25" s="427"/>
      <c r="C25" s="428"/>
      <c r="D25" s="404"/>
      <c r="E25" s="404"/>
      <c r="F25" s="404">
        <f>Dados!P11</f>
        <v>4.88</v>
      </c>
      <c r="G25" s="404">
        <f>F25</f>
        <v>4.88</v>
      </c>
      <c r="H25" s="404"/>
      <c r="I25" s="405"/>
    </row>
    <row r="26" spans="1:9" ht="20.100000000000001" customHeight="1">
      <c r="A26" s="760" t="s">
        <v>463</v>
      </c>
      <c r="B26" s="760"/>
      <c r="C26" s="429"/>
      <c r="D26" s="413"/>
      <c r="E26" s="413"/>
      <c r="F26" s="413">
        <f>Dados!M11</f>
        <v>0</v>
      </c>
      <c r="G26" s="413"/>
      <c r="H26" s="413"/>
      <c r="I26" s="414"/>
    </row>
    <row r="27" spans="1:9" ht="20.100000000000001" customHeight="1">
      <c r="A27" s="761" t="s">
        <v>464</v>
      </c>
      <c r="B27" s="761"/>
      <c r="C27" s="761"/>
      <c r="D27" s="761"/>
      <c r="E27" s="761"/>
      <c r="F27" s="415">
        <f>SUM(F18:F26)</f>
        <v>142.85</v>
      </c>
      <c r="G27" s="415">
        <f>SUM(G18:G26)</f>
        <v>4.88</v>
      </c>
      <c r="H27" s="415">
        <f>SUM(H18:H26)</f>
        <v>101.52</v>
      </c>
      <c r="I27" s="416">
        <f>SUM(I18:I26)</f>
        <v>0</v>
      </c>
    </row>
    <row r="28" spans="1:9" ht="20.100000000000001" customHeight="1">
      <c r="A28" s="761" t="s">
        <v>465</v>
      </c>
      <c r="B28" s="761"/>
      <c r="C28" s="761"/>
      <c r="D28" s="761"/>
      <c r="E28" s="761"/>
      <c r="F28" s="415">
        <f>F15+F27</f>
        <v>2353.7199999999998</v>
      </c>
      <c r="G28" s="415">
        <f>G15+G27</f>
        <v>4.88</v>
      </c>
      <c r="H28" s="415">
        <f>(H27+H15)</f>
        <v>101.52</v>
      </c>
      <c r="I28" s="416">
        <f>(I27+I15)</f>
        <v>0</v>
      </c>
    </row>
    <row r="29" spans="1:9" ht="20.100000000000001" customHeight="1">
      <c r="A29" s="746" t="s">
        <v>466</v>
      </c>
      <c r="B29" s="746"/>
      <c r="C29" s="746"/>
      <c r="D29" s="746"/>
      <c r="E29" s="746"/>
      <c r="F29" s="746"/>
      <c r="G29" s="746"/>
      <c r="H29" s="746"/>
      <c r="I29" s="746"/>
    </row>
    <row r="30" spans="1:9" ht="20.100000000000001" customHeight="1">
      <c r="A30" s="755" t="s">
        <v>467</v>
      </c>
      <c r="B30" s="755"/>
      <c r="C30" s="755"/>
      <c r="D30" s="430" t="s">
        <v>468</v>
      </c>
      <c r="E30" s="762" t="s">
        <v>448</v>
      </c>
      <c r="F30" s="762"/>
      <c r="G30" s="762"/>
      <c r="H30" s="762"/>
      <c r="I30" s="762"/>
    </row>
    <row r="31" spans="1:9" ht="20.100000000000001" customHeight="1">
      <c r="A31" s="431" t="s">
        <v>469</v>
      </c>
      <c r="B31" s="432"/>
      <c r="C31" s="432"/>
      <c r="D31" s="420">
        <f>Dados!G21</f>
        <v>0.03</v>
      </c>
      <c r="E31" s="433"/>
      <c r="F31" s="404">
        <f>ROUND((F28*D31),2)</f>
        <v>70.61</v>
      </c>
      <c r="G31" s="404">
        <f>ROUND((G28*D31),2)</f>
        <v>0.15</v>
      </c>
      <c r="H31" s="404">
        <f>ROUND((H28*D31),2)</f>
        <v>3.05</v>
      </c>
      <c r="I31" s="405">
        <f>ROUND((I28*D31),2)</f>
        <v>0</v>
      </c>
    </row>
    <row r="32" spans="1:9" ht="20.100000000000001" customHeight="1">
      <c r="A32" s="763" t="s">
        <v>470</v>
      </c>
      <c r="B32" s="763"/>
      <c r="C32" s="763"/>
      <c r="D32" s="420"/>
      <c r="E32" s="433"/>
      <c r="F32" s="404">
        <f>F28+F31</f>
        <v>2424.33</v>
      </c>
      <c r="G32" s="404">
        <f>G28+G31</f>
        <v>5.03</v>
      </c>
      <c r="H32" s="404">
        <f>H28+H31</f>
        <v>104.57</v>
      </c>
      <c r="I32" s="405">
        <f>I28+I31</f>
        <v>0</v>
      </c>
    </row>
    <row r="33" spans="1:9" ht="20.100000000000001" customHeight="1">
      <c r="A33" s="434" t="s">
        <v>427</v>
      </c>
      <c r="B33" s="435"/>
      <c r="C33" s="435"/>
      <c r="D33" s="436">
        <f>Dados!G22</f>
        <v>6.7900000000000002E-2</v>
      </c>
      <c r="E33" s="437"/>
      <c r="F33" s="413">
        <f>ROUND((F32*D33),2)</f>
        <v>164.61</v>
      </c>
      <c r="G33" s="413">
        <f>ROUND((G32*D33),2)</f>
        <v>0.34</v>
      </c>
      <c r="H33" s="413">
        <f>ROUND((H32*D33),2)</f>
        <v>7.1</v>
      </c>
      <c r="I33" s="414">
        <f>ROUND((I32*D33),2)</f>
        <v>0</v>
      </c>
    </row>
    <row r="34" spans="1:9" ht="20.100000000000001" customHeight="1">
      <c r="A34" s="438" t="s">
        <v>471</v>
      </c>
      <c r="B34" s="439"/>
      <c r="C34" s="439"/>
      <c r="D34" s="440">
        <f>SUM(D31:D33)</f>
        <v>9.7900000000000001E-2</v>
      </c>
      <c r="E34" s="441"/>
      <c r="F34" s="415">
        <f>F31+F33</f>
        <v>235.22000000000003</v>
      </c>
      <c r="G34" s="415">
        <f>G31+G33</f>
        <v>0.49</v>
      </c>
      <c r="H34" s="415">
        <f>H31+H33</f>
        <v>10.149999999999999</v>
      </c>
      <c r="I34" s="416">
        <f>I31+I33</f>
        <v>0</v>
      </c>
    </row>
    <row r="35" spans="1:9" ht="20.100000000000001" customHeight="1">
      <c r="A35" s="764" t="s">
        <v>472</v>
      </c>
      <c r="B35" s="764"/>
      <c r="C35" s="764"/>
      <c r="D35" s="764"/>
      <c r="E35" s="764"/>
      <c r="F35" s="442">
        <f>F15+F27+F34</f>
        <v>2588.9399999999996</v>
      </c>
      <c r="G35" s="442">
        <f>G15+G27+G34</f>
        <v>5.37</v>
      </c>
      <c r="H35" s="442">
        <f>H15+H27+H34</f>
        <v>111.66999999999999</v>
      </c>
      <c r="I35" s="443">
        <f>I15+I27+I34</f>
        <v>0</v>
      </c>
    </row>
    <row r="36" spans="1:9" ht="20.100000000000001" customHeight="1">
      <c r="A36" s="765" t="s">
        <v>473</v>
      </c>
      <c r="B36" s="765"/>
      <c r="C36" s="765"/>
      <c r="D36" s="765"/>
      <c r="E36" s="765"/>
      <c r="F36" s="765"/>
      <c r="G36" s="765"/>
      <c r="H36" s="765"/>
      <c r="I36" s="765"/>
    </row>
    <row r="37" spans="1:9" ht="20.100000000000001" customHeight="1">
      <c r="A37" s="758" t="s">
        <v>430</v>
      </c>
      <c r="B37" s="758"/>
      <c r="C37" s="758"/>
      <c r="D37" s="420">
        <f>Dados!G25</f>
        <v>7.5999999999999998E-2</v>
      </c>
      <c r="E37" s="421"/>
      <c r="F37" s="404">
        <f>ROUND((F41*D37),2)</f>
        <v>229.46</v>
      </c>
      <c r="G37" s="404">
        <f>ROUND((G41*D37),2)</f>
        <v>0.48</v>
      </c>
      <c r="H37" s="404">
        <f>ROUND((H41*D37),2)</f>
        <v>9.9</v>
      </c>
      <c r="I37" s="404">
        <f>ROUND((I41*D37),2)</f>
        <v>0</v>
      </c>
    </row>
    <row r="38" spans="1:9" ht="20.100000000000001" customHeight="1">
      <c r="A38" s="758" t="s">
        <v>431</v>
      </c>
      <c r="B38" s="758"/>
      <c r="C38" s="758"/>
      <c r="D38" s="420">
        <f>Dados!G26</f>
        <v>1.6500000000000001E-2</v>
      </c>
      <c r="E38" s="421"/>
      <c r="F38" s="404">
        <f>ROUND((F41*D38),2)</f>
        <v>49.82</v>
      </c>
      <c r="G38" s="404">
        <f>ROUND((G41*D38),2)</f>
        <v>0.1</v>
      </c>
      <c r="H38" s="404">
        <f>ROUND((H41*D38),2)</f>
        <v>2.15</v>
      </c>
      <c r="I38" s="405">
        <f>ROUND((I41*D38),2)</f>
        <v>0</v>
      </c>
    </row>
    <row r="39" spans="1:9" ht="20.100000000000001" customHeight="1">
      <c r="A39" s="758" t="s">
        <v>432</v>
      </c>
      <c r="B39" s="758"/>
      <c r="C39" s="758"/>
      <c r="D39" s="420">
        <f>Dados!G27</f>
        <v>0.05</v>
      </c>
      <c r="E39" s="421"/>
      <c r="F39" s="404">
        <f>ROUND((F41*D39),2)</f>
        <v>150.96</v>
      </c>
      <c r="G39" s="404">
        <f>ROUND((G41*D39),2)</f>
        <v>0.31</v>
      </c>
      <c r="H39" s="404">
        <f>ROUND((H41*D39),2)</f>
        <v>6.51</v>
      </c>
      <c r="I39" s="405">
        <f>ROUND((I41*D39),2)</f>
        <v>0</v>
      </c>
    </row>
    <row r="40" spans="1:9" ht="20.100000000000001" customHeight="1">
      <c r="A40" s="444" t="s">
        <v>474</v>
      </c>
      <c r="B40" s="445"/>
      <c r="C40" s="445"/>
      <c r="D40" s="446">
        <f>SUM(D37:D39)</f>
        <v>0.14250000000000002</v>
      </c>
      <c r="E40" s="447"/>
      <c r="F40" s="409">
        <f>SUM(F37:F39)</f>
        <v>430.24</v>
      </c>
      <c r="G40" s="409">
        <f>SUM(G37:G39)</f>
        <v>0.8899999999999999</v>
      </c>
      <c r="H40" s="409">
        <f>SUM(H37:H39)</f>
        <v>18.560000000000002</v>
      </c>
      <c r="I40" s="410">
        <f>SUM(I37:I39)</f>
        <v>0</v>
      </c>
    </row>
    <row r="41" spans="1:9">
      <c r="A41" s="784" t="s">
        <v>522</v>
      </c>
      <c r="B41" s="784"/>
      <c r="C41" s="784"/>
      <c r="D41" s="784"/>
      <c r="E41" s="784"/>
      <c r="F41" s="448">
        <f>ROUND(F35/(1-D40),2)</f>
        <v>3019.17</v>
      </c>
      <c r="G41" s="448">
        <f>ROUND(G35/(1-D40),2)</f>
        <v>6.26</v>
      </c>
      <c r="H41" s="448">
        <f>ROUND(H35/(1-D40),2)</f>
        <v>130.22999999999999</v>
      </c>
      <c r="I41" s="449">
        <f>ROUND(I35/(1-D40),2)</f>
        <v>0</v>
      </c>
    </row>
    <row r="42" spans="1:9" ht="28.5" customHeight="1">
      <c r="A42" s="783" t="str">
        <f>"Valor do Custo Mensal"&amp;" - "&amp;A6</f>
        <v>Valor do Custo Mensal - Auxiliar Judiciário - 150h</v>
      </c>
      <c r="B42" s="783"/>
      <c r="C42" s="783"/>
      <c r="D42" s="783"/>
      <c r="E42" s="783"/>
      <c r="F42" s="523">
        <f>F41</f>
        <v>3019.17</v>
      </c>
      <c r="G42" s="523">
        <f>G41</f>
        <v>6.26</v>
      </c>
      <c r="H42" s="523">
        <f>H41</f>
        <v>130.22999999999999</v>
      </c>
      <c r="I42" s="524">
        <f>I41</f>
        <v>0</v>
      </c>
    </row>
    <row r="43" spans="1:9" ht="36" customHeight="1">
      <c r="A43" s="783" t="str">
        <f>"Valor do Custo Mensal"&amp;" - "&amp;A6</f>
        <v>Valor do Custo Mensal - Auxiliar Judiciário - 150h</v>
      </c>
      <c r="B43" s="783"/>
      <c r="C43" s="783"/>
      <c r="D43" s="783"/>
      <c r="E43" s="783"/>
      <c r="F43" s="525">
        <f>(F42/F13)/100</f>
        <v>2.4193036579991185E-2</v>
      </c>
      <c r="G43" s="526"/>
      <c r="H43" s="453"/>
      <c r="I43" s="453"/>
    </row>
    <row r="44" spans="1:9" ht="20.100000000000001" customHeight="1">
      <c r="A44" s="102"/>
      <c r="B44" s="102"/>
      <c r="C44" s="102"/>
      <c r="D44" s="102"/>
      <c r="E44" s="102"/>
      <c r="F44" s="390"/>
      <c r="G44" s="223"/>
      <c r="H44" s="455"/>
      <c r="I44" s="223"/>
    </row>
    <row r="45" spans="1:9" ht="29.25" customHeight="1">
      <c r="A45" s="768" t="s">
        <v>476</v>
      </c>
      <c r="B45" s="768"/>
      <c r="C45" s="768"/>
      <c r="D45" s="768"/>
      <c r="E45" s="768"/>
      <c r="F45" s="768"/>
      <c r="G45" s="223"/>
      <c r="H45" s="223"/>
      <c r="I45" s="223"/>
    </row>
    <row r="46" spans="1:9" ht="20.100000000000001" customHeight="1">
      <c r="A46" s="740" t="s">
        <v>575</v>
      </c>
      <c r="B46" s="740"/>
      <c r="C46" s="740"/>
      <c r="D46" s="740"/>
      <c r="E46" s="740"/>
      <c r="F46" s="740"/>
      <c r="G46" s="223"/>
      <c r="H46" s="223"/>
      <c r="I46" s="223"/>
    </row>
    <row r="47" spans="1:9" ht="20.100000000000001" customHeight="1">
      <c r="A47" s="769" t="s">
        <v>477</v>
      </c>
      <c r="B47" s="769"/>
      <c r="C47" s="769"/>
      <c r="D47" s="769"/>
      <c r="E47" s="770" t="s">
        <v>468</v>
      </c>
      <c r="F47" s="771" t="s">
        <v>478</v>
      </c>
      <c r="G47" s="223"/>
      <c r="H47" s="772"/>
      <c r="I47" s="223"/>
    </row>
    <row r="48" spans="1:9" ht="24" customHeight="1">
      <c r="A48" s="456" t="s">
        <v>479</v>
      </c>
      <c r="B48" s="773" t="s">
        <v>43</v>
      </c>
      <c r="C48" s="773"/>
      <c r="D48" s="773"/>
      <c r="E48" s="770"/>
      <c r="F48" s="771"/>
      <c r="G48" s="223"/>
      <c r="H48" s="772"/>
      <c r="I48" s="223"/>
    </row>
    <row r="49" spans="1:9" ht="20.100000000000001" customHeight="1">
      <c r="A49" s="457">
        <v>1</v>
      </c>
      <c r="B49" s="774" t="s">
        <v>480</v>
      </c>
      <c r="C49" s="774"/>
      <c r="D49" s="774"/>
      <c r="E49" s="774"/>
      <c r="F49" s="458">
        <f>F13</f>
        <v>1247.95</v>
      </c>
      <c r="G49" s="223"/>
      <c r="H49" s="459"/>
      <c r="I49" s="223"/>
    </row>
    <row r="50" spans="1:9" ht="20.100000000000001" customHeight="1">
      <c r="A50" s="460" t="s">
        <v>481</v>
      </c>
      <c r="B50" s="775" t="s">
        <v>44</v>
      </c>
      <c r="C50" s="775"/>
      <c r="D50" s="775"/>
      <c r="E50" s="461">
        <f>Encargos!C39</f>
        <v>9.0899999999999995E-2</v>
      </c>
      <c r="F50" s="462">
        <f>ROUND((E50*F49),2)</f>
        <v>113.44</v>
      </c>
      <c r="G50" s="223"/>
      <c r="H50" s="463"/>
      <c r="I50" s="223"/>
    </row>
    <row r="51" spans="1:9" ht="20.100000000000001" customHeight="1">
      <c r="A51" s="460" t="s">
        <v>482</v>
      </c>
      <c r="B51" s="775" t="s">
        <v>49</v>
      </c>
      <c r="C51" s="775"/>
      <c r="D51" s="775"/>
      <c r="E51" s="464">
        <f>E50*Encargos!C18</f>
        <v>3.6178200000000008E-2</v>
      </c>
      <c r="F51" s="462">
        <f>ROUND((E51*F49),2)</f>
        <v>45.15</v>
      </c>
      <c r="G51" s="223"/>
      <c r="H51" s="463"/>
      <c r="I51" s="223"/>
    </row>
    <row r="52" spans="1:9" ht="24" customHeight="1">
      <c r="A52" s="778" t="s">
        <v>483</v>
      </c>
      <c r="B52" s="778"/>
      <c r="C52" s="778"/>
      <c r="D52" s="778"/>
      <c r="E52" s="465">
        <f>SUM(E50:E51)</f>
        <v>0.1270782</v>
      </c>
      <c r="F52" s="466">
        <f>SUM(F50:F51)</f>
        <v>158.59</v>
      </c>
      <c r="G52" s="223"/>
      <c r="H52" s="467"/>
      <c r="I52" s="223"/>
    </row>
    <row r="53" spans="1:9" ht="20.100000000000001" customHeight="1">
      <c r="A53" s="779" t="s">
        <v>484</v>
      </c>
      <c r="B53" s="779"/>
      <c r="C53" s="779"/>
      <c r="D53" s="779"/>
      <c r="E53" s="779"/>
      <c r="F53" s="468">
        <f>ROUND((F52*12),2)</f>
        <v>1903.08</v>
      </c>
      <c r="G53" s="223"/>
      <c r="H53" s="467"/>
      <c r="I53" s="223"/>
    </row>
    <row r="54" spans="1:9" ht="20.100000000000001" customHeight="1">
      <c r="A54" s="469">
        <v>2</v>
      </c>
      <c r="B54" s="470" t="s">
        <v>485</v>
      </c>
      <c r="C54" s="471"/>
      <c r="D54" s="471"/>
      <c r="E54" s="471"/>
      <c r="F54" s="472" t="s">
        <v>478</v>
      </c>
      <c r="G54" s="223"/>
      <c r="H54" s="473"/>
      <c r="I54" s="223"/>
    </row>
    <row r="55" spans="1:9" ht="20.100000000000001" customHeight="1">
      <c r="A55" s="474" t="s">
        <v>481</v>
      </c>
      <c r="B55" s="475" t="s">
        <v>486</v>
      </c>
      <c r="C55" s="476"/>
      <c r="D55" s="476"/>
      <c r="E55" s="477"/>
      <c r="F55" s="478">
        <f>F22</f>
        <v>0</v>
      </c>
      <c r="G55" s="223"/>
      <c r="H55" s="479"/>
      <c r="I55" s="223"/>
    </row>
    <row r="56" spans="1:9" ht="20.100000000000001" customHeight="1">
      <c r="A56" s="474" t="s">
        <v>487</v>
      </c>
      <c r="B56" s="475" t="s">
        <v>488</v>
      </c>
      <c r="C56" s="476"/>
      <c r="D56" s="476"/>
      <c r="E56" s="477"/>
      <c r="F56" s="478">
        <f>F21</f>
        <v>101.52</v>
      </c>
      <c r="G56" s="223"/>
      <c r="H56" s="479"/>
      <c r="I56" s="223"/>
    </row>
    <row r="57" spans="1:9" ht="20.100000000000001" customHeight="1">
      <c r="A57" s="474" t="s">
        <v>489</v>
      </c>
      <c r="B57" s="475" t="s">
        <v>490</v>
      </c>
      <c r="C57" s="476"/>
      <c r="D57" s="476"/>
      <c r="E57" s="477"/>
      <c r="F57" s="480">
        <v>0</v>
      </c>
      <c r="G57" s="223"/>
      <c r="H57" s="481"/>
      <c r="I57" s="223"/>
    </row>
    <row r="58" spans="1:9" ht="20.100000000000001" customHeight="1">
      <c r="A58" s="780" t="s">
        <v>491</v>
      </c>
      <c r="B58" s="780"/>
      <c r="C58" s="780"/>
      <c r="D58" s="780"/>
      <c r="E58" s="780"/>
      <c r="F58" s="482">
        <f>SUM(F55:F57)</f>
        <v>101.52</v>
      </c>
      <c r="G58" s="223"/>
      <c r="H58" s="483"/>
      <c r="I58" s="223"/>
    </row>
    <row r="59" spans="1:9" ht="20.100000000000001" customHeight="1">
      <c r="A59" s="484">
        <v>5</v>
      </c>
      <c r="B59" s="781" t="s">
        <v>492</v>
      </c>
      <c r="C59" s="781"/>
      <c r="D59" s="781"/>
      <c r="E59" s="485" t="s">
        <v>468</v>
      </c>
      <c r="F59" s="486" t="s">
        <v>366</v>
      </c>
      <c r="G59" s="223"/>
      <c r="H59" s="473"/>
      <c r="I59" s="223"/>
    </row>
    <row r="60" spans="1:9" ht="20.100000000000001" customHeight="1">
      <c r="A60" s="474" t="s">
        <v>481</v>
      </c>
      <c r="B60" s="782" t="s">
        <v>493</v>
      </c>
      <c r="C60" s="782"/>
      <c r="D60" s="782"/>
      <c r="E60" s="487">
        <f>D31</f>
        <v>0.03</v>
      </c>
      <c r="F60" s="488">
        <f>ROUND((E60*F73),2)</f>
        <v>60.14</v>
      </c>
      <c r="G60" s="223"/>
      <c r="H60" s="489"/>
      <c r="I60" s="223"/>
    </row>
    <row r="61" spans="1:9" ht="20.100000000000001" customHeight="1">
      <c r="A61" s="474" t="s">
        <v>487</v>
      </c>
      <c r="B61" s="490" t="s">
        <v>427</v>
      </c>
      <c r="C61" s="491"/>
      <c r="D61" s="492"/>
      <c r="E61" s="487">
        <f>D33</f>
        <v>6.7900000000000002E-2</v>
      </c>
      <c r="F61" s="488">
        <f>ROUND((E61*F73),2)</f>
        <v>136.11000000000001</v>
      </c>
      <c r="G61" s="223"/>
      <c r="H61" s="489"/>
      <c r="I61" s="223"/>
    </row>
    <row r="62" spans="1:9" ht="20.100000000000001" customHeight="1">
      <c r="A62" s="493" t="s">
        <v>489</v>
      </c>
      <c r="B62" s="490" t="s">
        <v>494</v>
      </c>
      <c r="C62" s="491"/>
      <c r="D62" s="492"/>
      <c r="E62" s="494">
        <f>SUM(E63:E66)</f>
        <v>0.14250000000000002</v>
      </c>
      <c r="F62" s="495">
        <f>ROUND((((F73+F60+F61)/(1-$E$62))-(F73+F60+F61)),2)</f>
        <v>365.74</v>
      </c>
      <c r="G62" s="223"/>
      <c r="H62" s="496"/>
      <c r="I62" s="223"/>
    </row>
    <row r="63" spans="1:9" ht="20.100000000000001" customHeight="1">
      <c r="A63" s="497" t="s">
        <v>495</v>
      </c>
      <c r="B63" s="475" t="s">
        <v>496</v>
      </c>
      <c r="C63" s="491"/>
      <c r="D63" s="492"/>
      <c r="E63" s="487">
        <f>D37+D38</f>
        <v>9.2499999999999999E-2</v>
      </c>
      <c r="F63" s="488">
        <v>741.84</v>
      </c>
      <c r="G63" s="223"/>
      <c r="H63" s="489"/>
      <c r="I63" s="223"/>
    </row>
    <row r="64" spans="1:9" ht="20.100000000000001" customHeight="1">
      <c r="A64" s="474" t="s">
        <v>497</v>
      </c>
      <c r="B64" s="498" t="s">
        <v>498</v>
      </c>
      <c r="C64" s="491"/>
      <c r="D64" s="492"/>
      <c r="E64" s="492">
        <v>0</v>
      </c>
      <c r="F64" s="488">
        <v>0</v>
      </c>
      <c r="G64" s="223"/>
      <c r="H64" s="489"/>
      <c r="I64" s="223"/>
    </row>
    <row r="65" spans="1:9" ht="20.100000000000001" customHeight="1">
      <c r="A65" s="474" t="s">
        <v>499</v>
      </c>
      <c r="B65" s="475" t="s">
        <v>500</v>
      </c>
      <c r="C65" s="491"/>
      <c r="D65" s="492"/>
      <c r="E65" s="487">
        <f>D39</f>
        <v>0.05</v>
      </c>
      <c r="F65" s="488">
        <f>ROUND((E65*F75),2)</f>
        <v>128.33000000000001</v>
      </c>
      <c r="G65" s="223"/>
      <c r="H65" s="489"/>
      <c r="I65" s="223"/>
    </row>
    <row r="66" spans="1:9" ht="20.100000000000001" customHeight="1">
      <c r="A66" s="474" t="s">
        <v>501</v>
      </c>
      <c r="B66" s="475" t="s">
        <v>502</v>
      </c>
      <c r="C66" s="491"/>
      <c r="D66" s="492"/>
      <c r="E66" s="492">
        <v>0</v>
      </c>
      <c r="F66" s="488">
        <v>0</v>
      </c>
      <c r="G66" s="223"/>
      <c r="H66" s="489"/>
      <c r="I66" s="223"/>
    </row>
    <row r="67" spans="1:9" ht="20.100000000000001" customHeight="1">
      <c r="A67" s="499" t="s">
        <v>503</v>
      </c>
      <c r="B67" s="500"/>
      <c r="C67" s="501"/>
      <c r="D67" s="502"/>
      <c r="E67" s="502"/>
      <c r="F67" s="503">
        <f>SUM(F60:F62)</f>
        <v>561.99</v>
      </c>
      <c r="G67" s="223"/>
      <c r="H67" s="504"/>
      <c r="I67" s="223"/>
    </row>
    <row r="68" spans="1:9" ht="20.100000000000001" customHeight="1">
      <c r="A68" s="776" t="s">
        <v>504</v>
      </c>
      <c r="B68" s="776"/>
      <c r="C68" s="776"/>
      <c r="D68" s="776"/>
      <c r="E68" s="776"/>
      <c r="F68" s="776"/>
      <c r="G68" s="223"/>
      <c r="H68" s="223"/>
      <c r="I68" s="223"/>
    </row>
    <row r="69" spans="1:9" ht="20.100000000000001" customHeight="1">
      <c r="A69" s="777" t="s">
        <v>505</v>
      </c>
      <c r="B69" s="777"/>
      <c r="C69" s="777"/>
      <c r="D69" s="777"/>
      <c r="E69" s="777"/>
      <c r="F69" s="777"/>
      <c r="G69" s="223"/>
      <c r="H69" s="223"/>
      <c r="I69" s="223"/>
    </row>
    <row r="70" spans="1:9" ht="20.100000000000001" customHeight="1">
      <c r="A70" s="505" t="s">
        <v>506</v>
      </c>
      <c r="B70" s="506"/>
      <c r="C70" s="506"/>
      <c r="D70" s="506"/>
      <c r="E70" s="506"/>
      <c r="F70" s="486" t="s">
        <v>366</v>
      </c>
      <c r="G70" s="223"/>
      <c r="H70" s="473"/>
      <c r="I70" s="223"/>
    </row>
    <row r="71" spans="1:9" ht="20.100000000000001" customHeight="1">
      <c r="A71" s="460" t="s">
        <v>481</v>
      </c>
      <c r="B71" s="507" t="s">
        <v>507</v>
      </c>
      <c r="C71" s="508"/>
      <c r="D71" s="508"/>
      <c r="E71" s="508"/>
      <c r="F71" s="509">
        <f>F53</f>
        <v>1903.08</v>
      </c>
      <c r="G71" s="223"/>
      <c r="H71" s="510"/>
      <c r="I71" s="223"/>
    </row>
    <row r="72" spans="1:9" ht="20.100000000000001" customHeight="1">
      <c r="A72" s="460" t="s">
        <v>487</v>
      </c>
      <c r="B72" s="507" t="s">
        <v>485</v>
      </c>
      <c r="C72" s="508"/>
      <c r="D72" s="508"/>
      <c r="E72" s="508"/>
      <c r="F72" s="509">
        <f>F58</f>
        <v>101.52</v>
      </c>
      <c r="G72" s="223"/>
      <c r="H72" s="510"/>
      <c r="I72" s="223"/>
    </row>
    <row r="73" spans="1:9" ht="20.100000000000001" customHeight="1">
      <c r="A73" s="511" t="s">
        <v>508</v>
      </c>
      <c r="B73" s="512"/>
      <c r="C73" s="512"/>
      <c r="D73" s="512"/>
      <c r="E73" s="512"/>
      <c r="F73" s="513">
        <f>SUM(F71:F72)</f>
        <v>2004.6</v>
      </c>
      <c r="G73" s="223"/>
      <c r="H73" s="514"/>
      <c r="I73" s="223"/>
    </row>
    <row r="74" spans="1:9" ht="20.100000000000001" customHeight="1">
      <c r="A74" s="515" t="s">
        <v>509</v>
      </c>
      <c r="B74" s="516" t="s">
        <v>510</v>
      </c>
      <c r="C74" s="517"/>
      <c r="D74" s="517"/>
      <c r="E74" s="517"/>
      <c r="F74" s="518">
        <f>F67</f>
        <v>561.99</v>
      </c>
      <c r="G74" s="223"/>
      <c r="H74" s="510"/>
      <c r="I74" s="223"/>
    </row>
    <row r="75" spans="1:9" ht="20.100000000000001" customHeight="1">
      <c r="A75" s="519" t="s">
        <v>511</v>
      </c>
      <c r="B75" s="520"/>
      <c r="C75" s="520"/>
      <c r="D75" s="520"/>
      <c r="E75" s="520"/>
      <c r="F75" s="521">
        <f>SUM(F73:F74)</f>
        <v>2566.59</v>
      </c>
      <c r="G75" s="223"/>
      <c r="H75" s="514"/>
      <c r="I75" s="223"/>
    </row>
  </sheetData>
  <mergeCells count="59">
    <mergeCell ref="A68:F68"/>
    <mergeCell ref="A69:F69"/>
    <mergeCell ref="A52:D52"/>
    <mergeCell ref="A53:E53"/>
    <mergeCell ref="A58:E58"/>
    <mergeCell ref="B59:D59"/>
    <mergeCell ref="B60:D60"/>
    <mergeCell ref="H47:H48"/>
    <mergeCell ref="B48:D48"/>
    <mergeCell ref="B49:E49"/>
    <mergeCell ref="B50:D50"/>
    <mergeCell ref="B51:D51"/>
    <mergeCell ref="A43:E43"/>
    <mergeCell ref="A45:F45"/>
    <mergeCell ref="A46:F46"/>
    <mergeCell ref="A47:D47"/>
    <mergeCell ref="E47:E48"/>
    <mergeCell ref="F47:F48"/>
    <mergeCell ref="A37:C37"/>
    <mergeCell ref="A38:C38"/>
    <mergeCell ref="A39:C39"/>
    <mergeCell ref="A41:E41"/>
    <mergeCell ref="A42:E42"/>
    <mergeCell ref="A30:C30"/>
    <mergeCell ref="E30:I30"/>
    <mergeCell ref="A32:C32"/>
    <mergeCell ref="A35:E35"/>
    <mergeCell ref="A36:I36"/>
    <mergeCell ref="A23:B23"/>
    <mergeCell ref="A26:B26"/>
    <mergeCell ref="A27:E27"/>
    <mergeCell ref="A28:E28"/>
    <mergeCell ref="A29:I29"/>
    <mergeCell ref="A18:B18"/>
    <mergeCell ref="A19:B19"/>
    <mergeCell ref="A20:B20"/>
    <mergeCell ref="A21:B21"/>
    <mergeCell ref="A22:B22"/>
    <mergeCell ref="A15:E15"/>
    <mergeCell ref="A16:I16"/>
    <mergeCell ref="A17:B17"/>
    <mergeCell ref="D17:E17"/>
    <mergeCell ref="F17:I17"/>
    <mergeCell ref="A8:I8"/>
    <mergeCell ref="B9:C9"/>
    <mergeCell ref="F9:I9"/>
    <mergeCell ref="A10:A14"/>
    <mergeCell ref="B10:C10"/>
    <mergeCell ref="B11:C11"/>
    <mergeCell ref="B13:E13"/>
    <mergeCell ref="B14:D14"/>
    <mergeCell ref="A4:I4"/>
    <mergeCell ref="A5:I5"/>
    <mergeCell ref="A6:D6"/>
    <mergeCell ref="F6:F7"/>
    <mergeCell ref="G6:G7"/>
    <mergeCell ref="H6:H7"/>
    <mergeCell ref="I6:I7"/>
    <mergeCell ref="A7:D7"/>
  </mergeCells>
  <pageMargins left="0.25" right="0.25" top="0.75" bottom="0.75" header="0.51180555555555496" footer="0.51180555555555496"/>
  <pageSetup paperSize="9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424242"/>
  </sheetPr>
  <dimension ref="A1:AMJ30"/>
  <sheetViews>
    <sheetView tabSelected="1" zoomScale="70" zoomScaleNormal="70" workbookViewId="0">
      <selection activeCell="G13" sqref="G13"/>
    </sheetView>
  </sheetViews>
  <sheetFormatPr defaultColWidth="9.140625" defaultRowHeight="14.25"/>
  <cols>
    <col min="1" max="1" width="13.140625" style="326" customWidth="1"/>
    <col min="2" max="2" width="38.42578125" style="326" customWidth="1"/>
    <col min="3" max="3" width="7.140625" style="326" customWidth="1"/>
    <col min="4" max="4" width="6.7109375" style="326" customWidth="1"/>
    <col min="5" max="5" width="10.140625" style="326" customWidth="1"/>
    <col min="6" max="6" width="12.5703125" style="326" customWidth="1"/>
    <col min="7" max="7" width="12.28515625" style="326" customWidth="1"/>
    <col min="8" max="8" width="13.42578125" style="326" customWidth="1"/>
    <col min="9" max="9" width="12.140625" style="326" customWidth="1"/>
    <col min="10" max="10" width="13.7109375" style="326" customWidth="1"/>
    <col min="11" max="11" width="11.28515625" style="326" customWidth="1"/>
    <col min="12" max="12" width="15.5703125" style="326" customWidth="1"/>
    <col min="13" max="13" width="12.28515625" style="326" customWidth="1"/>
    <col min="14" max="14" width="7.42578125" style="326" customWidth="1"/>
    <col min="15" max="15" width="13.28515625" style="326" customWidth="1"/>
    <col min="16" max="16" width="20.28515625" style="326" customWidth="1"/>
    <col min="17" max="17" width="17.140625" style="326" customWidth="1"/>
    <col min="18" max="18" width="14" style="326" customWidth="1"/>
    <col min="19" max="19" width="16.42578125" style="326" customWidth="1"/>
    <col min="20" max="20" width="9.140625" style="326"/>
    <col min="21" max="21" width="18.140625" style="326" customWidth="1"/>
    <col min="22" max="22" width="18.7109375" style="326" customWidth="1"/>
    <col min="23" max="25" width="9.140625" style="326"/>
    <col min="26" max="26" width="18" style="326" customWidth="1"/>
    <col min="27" max="1024" width="9.140625" style="326"/>
  </cols>
  <sheetData>
    <row r="1" spans="1:26" ht="15" customHeight="1">
      <c r="A1" s="530"/>
      <c r="B1" s="531" t="s">
        <v>433</v>
      </c>
      <c r="C1" s="2"/>
      <c r="D1" s="2"/>
      <c r="E1" s="2"/>
      <c r="F1" s="532"/>
      <c r="G1" s="532"/>
      <c r="H1" s="532"/>
      <c r="I1" s="532"/>
      <c r="J1" s="329"/>
      <c r="K1" s="329"/>
      <c r="L1" s="329"/>
      <c r="M1" s="329"/>
      <c r="N1" s="329"/>
      <c r="O1" s="329"/>
      <c r="P1" s="329"/>
      <c r="Q1" s="329"/>
      <c r="R1" s="329"/>
      <c r="S1" s="330"/>
    </row>
    <row r="2" spans="1:26" ht="15" customHeight="1">
      <c r="A2" s="533"/>
      <c r="B2" s="327" t="s">
        <v>434</v>
      </c>
      <c r="C2" s="5"/>
      <c r="D2" s="5"/>
      <c r="E2" s="5"/>
      <c r="F2" s="534"/>
      <c r="G2" s="534"/>
      <c r="H2" s="534"/>
      <c r="I2" s="534"/>
      <c r="S2" s="331"/>
    </row>
    <row r="3" spans="1:26" ht="15" customHeight="1">
      <c r="A3" s="533"/>
      <c r="B3" s="327" t="s">
        <v>274</v>
      </c>
      <c r="C3" s="5"/>
      <c r="D3" s="5"/>
      <c r="E3" s="5"/>
      <c r="F3" s="534"/>
      <c r="G3" s="534"/>
      <c r="H3" s="534"/>
      <c r="I3" s="534"/>
      <c r="S3" s="331"/>
    </row>
    <row r="4" spans="1:26" s="336" customFormat="1" ht="24" customHeight="1">
      <c r="A4" s="785" t="s">
        <v>576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  <c r="N4" s="785"/>
      <c r="O4" s="785"/>
      <c r="P4" s="785"/>
      <c r="Q4" s="785"/>
      <c r="R4" s="785"/>
      <c r="S4" s="785"/>
    </row>
    <row r="5" spans="1:26" s="336" customFormat="1" ht="39" customHeight="1">
      <c r="A5" s="786" t="s">
        <v>523</v>
      </c>
      <c r="B5" s="786"/>
      <c r="C5" s="786"/>
      <c r="D5" s="786"/>
      <c r="E5" s="786"/>
      <c r="F5" s="786"/>
      <c r="G5" s="786"/>
      <c r="H5" s="786"/>
      <c r="I5" s="786"/>
      <c r="J5" s="786"/>
      <c r="K5" s="786"/>
      <c r="L5" s="786"/>
      <c r="M5" s="786"/>
      <c r="N5" s="786"/>
      <c r="O5" s="786"/>
      <c r="P5" s="786"/>
      <c r="Q5" s="786"/>
      <c r="R5" s="786"/>
      <c r="S5" s="786"/>
    </row>
    <row r="6" spans="1:26" s="336" customFormat="1" ht="18.75" customHeight="1">
      <c r="A6" s="535"/>
      <c r="B6" s="536"/>
      <c r="C6" s="536"/>
      <c r="D6" s="536"/>
      <c r="E6" s="537" t="s">
        <v>392</v>
      </c>
      <c r="F6" s="537"/>
      <c r="G6" s="537"/>
      <c r="H6" s="537" t="s">
        <v>524</v>
      </c>
      <c r="I6" s="538"/>
      <c r="J6" s="538"/>
      <c r="K6" s="537"/>
      <c r="L6" s="537"/>
      <c r="M6" s="537"/>
      <c r="N6" s="537"/>
      <c r="O6" s="537"/>
      <c r="P6" s="537"/>
      <c r="Q6" s="537"/>
      <c r="R6" s="787" t="s">
        <v>478</v>
      </c>
      <c r="S6" s="787"/>
    </row>
    <row r="7" spans="1:26" s="336" customFormat="1" ht="12.75" customHeight="1">
      <c r="A7" s="788" t="s">
        <v>525</v>
      </c>
      <c r="B7" s="789" t="s">
        <v>526</v>
      </c>
      <c r="C7" s="789"/>
      <c r="D7" s="790" t="s">
        <v>527</v>
      </c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1" t="s">
        <v>528</v>
      </c>
      <c r="U7" s="792" t="s">
        <v>529</v>
      </c>
      <c r="V7" s="792"/>
    </row>
    <row r="8" spans="1:26" s="336" customFormat="1" ht="15" customHeight="1">
      <c r="A8" s="788"/>
      <c r="B8" s="789"/>
      <c r="C8" s="789"/>
      <c r="D8" s="793" t="s">
        <v>530</v>
      </c>
      <c r="E8" s="793"/>
      <c r="F8" s="793"/>
      <c r="G8" s="794" t="s">
        <v>531</v>
      </c>
      <c r="H8" s="794"/>
      <c r="I8" s="794"/>
      <c r="J8" s="795" t="s">
        <v>532</v>
      </c>
      <c r="K8" s="795"/>
      <c r="L8" s="795"/>
      <c r="M8" s="795"/>
      <c r="N8" s="795"/>
      <c r="O8" s="795"/>
      <c r="P8" s="795"/>
      <c r="Q8" s="795"/>
      <c r="R8" s="795"/>
      <c r="S8" s="791"/>
      <c r="U8" s="792"/>
      <c r="V8" s="792"/>
    </row>
    <row r="9" spans="1:26" s="336" customFormat="1" ht="29.25" customHeight="1">
      <c r="A9" s="788"/>
      <c r="B9" s="789"/>
      <c r="C9" s="789"/>
      <c r="D9" s="796" t="s">
        <v>533</v>
      </c>
      <c r="E9" s="796"/>
      <c r="F9" s="796"/>
      <c r="G9" s="797" t="s">
        <v>534</v>
      </c>
      <c r="H9" s="798" t="s">
        <v>535</v>
      </c>
      <c r="I9" s="798"/>
      <c r="J9" s="799" t="s">
        <v>536</v>
      </c>
      <c r="K9" s="799"/>
      <c r="L9" s="799"/>
      <c r="M9" s="794" t="s">
        <v>537</v>
      </c>
      <c r="N9" s="794"/>
      <c r="O9" s="794"/>
      <c r="P9" s="795" t="s">
        <v>538</v>
      </c>
      <c r="Q9" s="795" t="s">
        <v>539</v>
      </c>
      <c r="R9" s="795" t="s">
        <v>540</v>
      </c>
      <c r="S9" s="791"/>
      <c r="U9" s="792"/>
      <c r="V9" s="792"/>
    </row>
    <row r="10" spans="1:26" s="336" customFormat="1" ht="74.25" customHeight="1">
      <c r="A10" s="788"/>
      <c r="B10" s="539" t="s">
        <v>394</v>
      </c>
      <c r="C10" s="540" t="s">
        <v>395</v>
      </c>
      <c r="D10" s="541" t="s">
        <v>541</v>
      </c>
      <c r="E10" s="542" t="s">
        <v>542</v>
      </c>
      <c r="F10" s="543" t="s">
        <v>543</v>
      </c>
      <c r="G10" s="797"/>
      <c r="H10" s="544" t="s">
        <v>544</v>
      </c>
      <c r="I10" s="545" t="s">
        <v>545</v>
      </c>
      <c r="J10" s="544" t="s">
        <v>546</v>
      </c>
      <c r="K10" s="546" t="s">
        <v>547</v>
      </c>
      <c r="L10" s="547" t="s">
        <v>548</v>
      </c>
      <c r="M10" s="548" t="s">
        <v>549</v>
      </c>
      <c r="N10" s="549" t="s">
        <v>550</v>
      </c>
      <c r="O10" s="550" t="s">
        <v>551</v>
      </c>
      <c r="P10" s="795"/>
      <c r="Q10" s="795"/>
      <c r="R10" s="795"/>
      <c r="S10" s="791"/>
      <c r="U10" s="792"/>
      <c r="V10" s="792"/>
    </row>
    <row r="11" spans="1:26" s="336" customFormat="1" ht="74.25" customHeight="1">
      <c r="A11" s="800" t="str">
        <f>Dados!A7</f>
        <v>3339037-02</v>
      </c>
      <c r="B11" s="551" t="str">
        <f>Dados!B7</f>
        <v>Servente de Limpeza ac. Copeira</v>
      </c>
      <c r="C11" s="552">
        <v>150</v>
      </c>
      <c r="D11" s="553">
        <v>1</v>
      </c>
      <c r="E11" s="554">
        <f>'Servente-copeira 150'!F41</f>
        <v>2917.18</v>
      </c>
      <c r="F11" s="555">
        <f>ROUND(D11*E11,2)</f>
        <v>2917.18</v>
      </c>
      <c r="G11" s="556">
        <f>'Servente-copeira 150'!H42</f>
        <v>157.57</v>
      </c>
      <c r="H11" s="557"/>
      <c r="I11" s="558">
        <f>(ROUND(G11/Dados!$G$19*H11,2))</f>
        <v>0</v>
      </c>
      <c r="J11" s="559">
        <f>'Servente-copeira 150'!F42-'Servente-copeira 150'!G42</f>
        <v>2308.1099999999997</v>
      </c>
      <c r="K11" s="560"/>
      <c r="L11" s="561">
        <f>J11/30*K11</f>
        <v>0</v>
      </c>
      <c r="M11" s="556">
        <f>'Servente-copeira 150'!F75</f>
        <v>1952.27</v>
      </c>
      <c r="N11" s="562"/>
      <c r="O11" s="563">
        <f>M11/30*N11</f>
        <v>0</v>
      </c>
      <c r="P11" s="564"/>
      <c r="Q11" s="564"/>
      <c r="R11" s="565">
        <f>I11+L11+O11</f>
        <v>0</v>
      </c>
      <c r="S11" s="566">
        <f>F11-R11</f>
        <v>2917.18</v>
      </c>
      <c r="U11" s="567" t="str">
        <f>A11</f>
        <v>3339037-02</v>
      </c>
      <c r="V11" s="568">
        <f>SUM(S11:S14)</f>
        <v>23241.34</v>
      </c>
    </row>
    <row r="12" spans="1:26" s="336" customFormat="1" ht="54" customHeight="1">
      <c r="A12" s="800"/>
      <c r="B12" s="551" t="str">
        <f>Dados!B8</f>
        <v>Servente de Limpeza Insalubridade</v>
      </c>
      <c r="C12" s="552">
        <v>150</v>
      </c>
      <c r="D12" s="553">
        <v>1</v>
      </c>
      <c r="E12" s="554">
        <f>'Servente-Insalu. 150'!F41</f>
        <v>4046.26</v>
      </c>
      <c r="F12" s="555">
        <f>ROUND(D12*E12,2)</f>
        <v>4046.26</v>
      </c>
      <c r="G12" s="556">
        <f>'Servente-Insalu. 150'!H42</f>
        <v>157.57</v>
      </c>
      <c r="H12" s="557"/>
      <c r="I12" s="558">
        <f>(ROUND(G12/Dados!$G$19*H12,2))</f>
        <v>0</v>
      </c>
      <c r="J12" s="559">
        <f>'Servente-Insalu. 150'!F42-'Servente-Insalu. 150'!G42</f>
        <v>3437.19</v>
      </c>
      <c r="K12" s="560"/>
      <c r="L12" s="561">
        <f>J12/30*K12</f>
        <v>0</v>
      </c>
      <c r="M12" s="556">
        <f>'Servente-Insalu. 150'!F75</f>
        <v>2930.8199999999997</v>
      </c>
      <c r="N12" s="562"/>
      <c r="O12" s="563">
        <f>M12/30*N12</f>
        <v>0</v>
      </c>
      <c r="P12" s="564"/>
      <c r="Q12" s="564"/>
      <c r="R12" s="565">
        <f>I12+L12+O12</f>
        <v>0</v>
      </c>
      <c r="S12" s="566">
        <f>F12-R12</f>
        <v>4046.26</v>
      </c>
      <c r="U12" s="567" t="str">
        <f>A15</f>
        <v>3339037-01</v>
      </c>
      <c r="V12" s="568">
        <f>S15</f>
        <v>6038.34</v>
      </c>
    </row>
    <row r="13" spans="1:26" s="336" customFormat="1" ht="54" customHeight="1">
      <c r="A13" s="800"/>
      <c r="B13" s="551" t="str">
        <f>Dados!B9</f>
        <v xml:space="preserve">Servente de Limpeza  </v>
      </c>
      <c r="C13" s="552">
        <v>150</v>
      </c>
      <c r="D13" s="553">
        <v>4</v>
      </c>
      <c r="E13" s="554">
        <f>'Servente 150'!F41</f>
        <v>2846.4</v>
      </c>
      <c r="F13" s="555">
        <f>ROUND(D13*E13,2)</f>
        <v>11385.6</v>
      </c>
      <c r="G13" s="556">
        <f>'Servente 150'!H42</f>
        <v>157.57</v>
      </c>
      <c r="H13" s="557"/>
      <c r="I13" s="558">
        <f>(ROUND(G13/Dados!$G$19*H13,2))</f>
        <v>0</v>
      </c>
      <c r="J13" s="559">
        <f>'Servente 150'!F42-'Servente 150'!G42</f>
        <v>2237.33</v>
      </c>
      <c r="K13" s="560"/>
      <c r="L13" s="561">
        <f>J13/30*K13</f>
        <v>0</v>
      </c>
      <c r="M13" s="556">
        <f>'Servente 150'!F75</f>
        <v>1900.03</v>
      </c>
      <c r="N13" s="562"/>
      <c r="O13" s="563">
        <f>M13/30*N13</f>
        <v>0</v>
      </c>
      <c r="P13" s="565"/>
      <c r="Q13" s="565">
        <f>(M13-'Servente-Insalu. 150'!I41)/30*P13</f>
        <v>0</v>
      </c>
      <c r="R13" s="565">
        <f>I13+L13+O13+Q13</f>
        <v>0</v>
      </c>
      <c r="S13" s="566">
        <f>F13-R13</f>
        <v>11385.6</v>
      </c>
      <c r="U13" s="569" t="s">
        <v>72</v>
      </c>
      <c r="V13" s="570">
        <f>SUM(V11:V12)</f>
        <v>29279.68</v>
      </c>
    </row>
    <row r="14" spans="1:26" s="336" customFormat="1" ht="54" customHeight="1">
      <c r="A14" s="800"/>
      <c r="B14" s="551" t="str">
        <f>Dados!B10</f>
        <v>Zelador</v>
      </c>
      <c r="C14" s="351">
        <v>220</v>
      </c>
      <c r="D14" s="553">
        <v>1</v>
      </c>
      <c r="E14" s="554">
        <f>'Zelador 220'!F42</f>
        <v>4892.3</v>
      </c>
      <c r="F14" s="555">
        <f>ROUND(D14*E14,2)</f>
        <v>4892.3</v>
      </c>
      <c r="G14" s="571">
        <f>'Zelador 220'!H42</f>
        <v>83.27</v>
      </c>
      <c r="H14" s="572"/>
      <c r="I14" s="573">
        <f>(ROUND(G14/Dados!$G$19*H14,2))</f>
        <v>0</v>
      </c>
      <c r="J14" s="559">
        <f>'Zelador 220'!F43-'Zelador 220'!G43</f>
        <v>4886.04</v>
      </c>
      <c r="K14" s="560"/>
      <c r="L14" s="561">
        <f>J14/30*K14</f>
        <v>0</v>
      </c>
      <c r="M14" s="556">
        <f>'Zelador 220'!F76</f>
        <v>4238.8999999999996</v>
      </c>
      <c r="N14" s="562"/>
      <c r="O14" s="563">
        <f>M14/30*N14</f>
        <v>0</v>
      </c>
      <c r="P14" s="564"/>
      <c r="Q14" s="564"/>
      <c r="R14" s="565">
        <f>I14+L14+O14</f>
        <v>0</v>
      </c>
      <c r="S14" s="566">
        <f>F14-R14</f>
        <v>4892.3</v>
      </c>
    </row>
    <row r="15" spans="1:26" s="336" customFormat="1" ht="71.45" customHeight="1">
      <c r="A15" s="574" t="str">
        <f>Dados!A11</f>
        <v>3339037-01</v>
      </c>
      <c r="B15" s="551" t="str">
        <f>Dados!B11</f>
        <v xml:space="preserve">Auxiliar Judiciário </v>
      </c>
      <c r="C15" s="336">
        <v>150</v>
      </c>
      <c r="D15" s="553">
        <v>2</v>
      </c>
      <c r="E15" s="554">
        <f>'Auxiliar Jud. 150'!F41</f>
        <v>3019.17</v>
      </c>
      <c r="F15" s="555">
        <f>ROUND(D15*E15,2)</f>
        <v>6038.34</v>
      </c>
      <c r="G15" s="571">
        <f>'Auxiliar Jud. 150'!H42</f>
        <v>130.22999999999999</v>
      </c>
      <c r="H15" s="572"/>
      <c r="I15" s="558">
        <f>(ROUND(G15/Dados!$G$19*H15,2))</f>
        <v>0</v>
      </c>
      <c r="J15" s="559">
        <f>'Auxiliar Jud. 150'!F42-'Auxiliar Jud. 150'!G42</f>
        <v>3012.91</v>
      </c>
      <c r="K15" s="560"/>
      <c r="L15" s="561">
        <f>J15/30*K15</f>
        <v>0</v>
      </c>
      <c r="M15" s="556">
        <f>'Auxiliar Jud. 150'!F75</f>
        <v>2566.59</v>
      </c>
      <c r="N15" s="562"/>
      <c r="O15" s="563">
        <f>M15/30*N15</f>
        <v>0</v>
      </c>
      <c r="P15" s="564"/>
      <c r="Q15" s="564"/>
      <c r="R15" s="565">
        <f>I15+L15+O15</f>
        <v>0</v>
      </c>
      <c r="S15" s="566">
        <f>F15-R15</f>
        <v>6038.34</v>
      </c>
      <c r="U15" s="801" t="s">
        <v>552</v>
      </c>
      <c r="V15" s="801"/>
      <c r="W15" s="801"/>
      <c r="X15" s="801"/>
      <c r="Y15" s="801"/>
      <c r="Z15" s="801"/>
    </row>
    <row r="16" spans="1:26" s="364" customFormat="1" ht="55.5" customHeight="1">
      <c r="A16" s="802" t="s">
        <v>553</v>
      </c>
      <c r="B16" s="802"/>
      <c r="C16" s="575"/>
      <c r="D16" s="576">
        <f>SUM(D11:D15)</f>
        <v>9</v>
      </c>
      <c r="E16" s="577"/>
      <c r="F16" s="578">
        <f>SUM(F11:F15)</f>
        <v>29279.68</v>
      </c>
      <c r="G16" s="579"/>
      <c r="H16" s="580">
        <f t="shared" ref="H16:O16" si="0">SUM(H11:H15)</f>
        <v>0</v>
      </c>
      <c r="I16" s="581">
        <f t="shared" si="0"/>
        <v>0</v>
      </c>
      <c r="J16" s="582">
        <f t="shared" si="0"/>
        <v>15881.579999999998</v>
      </c>
      <c r="K16" s="583">
        <f t="shared" si="0"/>
        <v>0</v>
      </c>
      <c r="L16" s="584">
        <f t="shared" si="0"/>
        <v>0</v>
      </c>
      <c r="M16" s="585">
        <f t="shared" si="0"/>
        <v>13588.61</v>
      </c>
      <c r="N16" s="586">
        <f t="shared" si="0"/>
        <v>0</v>
      </c>
      <c r="O16" s="587">
        <f t="shared" si="0"/>
        <v>0</v>
      </c>
      <c r="P16" s="588"/>
      <c r="Q16" s="588"/>
      <c r="R16" s="589">
        <f>SUM(R11:R15)</f>
        <v>0</v>
      </c>
      <c r="S16" s="590">
        <f>SUM(S11:S15)</f>
        <v>29279.68</v>
      </c>
      <c r="U16" s="591" t="s">
        <v>554</v>
      </c>
      <c r="V16" s="591" t="s">
        <v>395</v>
      </c>
      <c r="W16" s="591" t="s">
        <v>555</v>
      </c>
      <c r="X16" s="591" t="s">
        <v>556</v>
      </c>
      <c r="Y16" s="591" t="s">
        <v>557</v>
      </c>
      <c r="Z16" s="591" t="s">
        <v>558</v>
      </c>
    </row>
    <row r="17" spans="1:26" s="364" customFormat="1" ht="47.25" customHeight="1">
      <c r="A17" s="803" t="s">
        <v>559</v>
      </c>
      <c r="B17" s="803"/>
      <c r="C17" s="592" t="str">
        <f>H6</f>
        <v xml:space="preserve">MÊS: </v>
      </c>
      <c r="D17" s="592"/>
      <c r="E17" s="592"/>
      <c r="F17" s="593"/>
      <c r="G17" s="594"/>
      <c r="H17" s="594"/>
      <c r="I17" s="594"/>
      <c r="J17" s="595"/>
      <c r="K17" s="592"/>
      <c r="L17" s="592"/>
      <c r="M17" s="594"/>
      <c r="N17" s="596"/>
      <c r="O17" s="596"/>
      <c r="P17" s="596"/>
      <c r="Q17" s="596"/>
      <c r="R17" s="596"/>
      <c r="S17" s="597">
        <f>'Mat.Limpeza e EPI COVID'!J54+'Mat.Limpeza e EPI COVID'!J60</f>
        <v>2863.641666666666</v>
      </c>
      <c r="U17" s="598" t="str">
        <f t="shared" ref="U17:V21" si="1">B11</f>
        <v>Servente de Limpeza ac. Copeira</v>
      </c>
      <c r="V17" s="599">
        <f t="shared" si="1"/>
        <v>150</v>
      </c>
      <c r="W17" s="600">
        <f t="shared" ref="W17:W22" si="2">H11</f>
        <v>0</v>
      </c>
      <c r="X17" s="601">
        <f t="shared" ref="X17:X22" si="3">K11</f>
        <v>0</v>
      </c>
      <c r="Y17" s="602">
        <f t="shared" ref="Y17:Y22" si="4">N11</f>
        <v>0</v>
      </c>
      <c r="Z17" s="603"/>
    </row>
    <row r="18" spans="1:26" s="364" customFormat="1" ht="51.75" customHeight="1">
      <c r="A18" s="804" t="s">
        <v>560</v>
      </c>
      <c r="B18" s="804"/>
      <c r="C18" s="804"/>
      <c r="D18" s="804"/>
      <c r="E18" s="804"/>
      <c r="F18" s="804"/>
      <c r="G18" s="804"/>
      <c r="H18" s="804"/>
      <c r="I18" s="804"/>
      <c r="J18" s="804"/>
      <c r="K18" s="804"/>
      <c r="L18" s="804"/>
      <c r="M18" s="804"/>
      <c r="N18" s="804"/>
      <c r="O18" s="804"/>
      <c r="P18" s="804"/>
      <c r="Q18" s="804"/>
      <c r="R18" s="804"/>
      <c r="S18" s="604">
        <f>S16*12</f>
        <v>351356.16000000003</v>
      </c>
      <c r="U18" s="598" t="str">
        <f t="shared" si="1"/>
        <v>Servente de Limpeza Insalubridade</v>
      </c>
      <c r="V18" s="599">
        <f t="shared" si="1"/>
        <v>150</v>
      </c>
      <c r="W18" s="600">
        <f t="shared" si="2"/>
        <v>0</v>
      </c>
      <c r="X18" s="601">
        <f t="shared" si="3"/>
        <v>0</v>
      </c>
      <c r="Y18" s="602">
        <f t="shared" si="4"/>
        <v>0</v>
      </c>
      <c r="Z18" s="601">
        <f>P13</f>
        <v>0</v>
      </c>
    </row>
    <row r="19" spans="1:26" s="364" customFormat="1" ht="33.6" customHeight="1">
      <c r="A19" s="808" t="s">
        <v>60</v>
      </c>
      <c r="B19" s="808"/>
      <c r="C19" s="808"/>
      <c r="D19" s="808"/>
      <c r="E19" s="808"/>
      <c r="F19" s="808"/>
      <c r="G19" s="808"/>
      <c r="H19" s="808"/>
      <c r="I19" s="808"/>
      <c r="J19" s="808"/>
      <c r="K19" s="808"/>
      <c r="L19" s="808"/>
      <c r="M19" s="808"/>
      <c r="N19" s="808"/>
      <c r="O19" s="808"/>
      <c r="P19" s="808"/>
      <c r="Q19" s="808"/>
      <c r="R19" s="808"/>
      <c r="S19" s="808"/>
      <c r="U19" s="598" t="str">
        <f t="shared" si="1"/>
        <v xml:space="preserve">Servente de Limpeza  </v>
      </c>
      <c r="V19" s="599">
        <f t="shared" si="1"/>
        <v>150</v>
      </c>
      <c r="W19" s="600">
        <f t="shared" si="2"/>
        <v>0</v>
      </c>
      <c r="X19" s="601">
        <f t="shared" si="3"/>
        <v>0</v>
      </c>
      <c r="Y19" s="602">
        <f t="shared" si="4"/>
        <v>0</v>
      </c>
      <c r="Z19" s="603"/>
    </row>
    <row r="20" spans="1:26" s="364" customFormat="1" ht="34.35" customHeight="1">
      <c r="A20" s="805"/>
      <c r="B20" s="805"/>
      <c r="C20" s="805"/>
      <c r="D20" s="805"/>
      <c r="E20" s="805"/>
      <c r="F20" s="805"/>
      <c r="G20" s="805"/>
      <c r="H20" s="805"/>
      <c r="I20" s="805"/>
      <c r="J20" s="805"/>
      <c r="K20" s="805"/>
      <c r="L20" s="805"/>
      <c r="M20" s="805"/>
      <c r="N20" s="805"/>
      <c r="O20" s="805"/>
      <c r="P20" s="805"/>
      <c r="Q20" s="805"/>
      <c r="R20" s="805"/>
      <c r="S20" s="805"/>
      <c r="U20" s="598" t="str">
        <f t="shared" si="1"/>
        <v>Zelador</v>
      </c>
      <c r="V20" s="599">
        <f t="shared" si="1"/>
        <v>220</v>
      </c>
      <c r="W20" s="600">
        <f t="shared" si="2"/>
        <v>0</v>
      </c>
      <c r="X20" s="601">
        <f t="shared" si="3"/>
        <v>0</v>
      </c>
      <c r="Y20" s="602">
        <f t="shared" si="4"/>
        <v>0</v>
      </c>
      <c r="Z20" s="603"/>
    </row>
    <row r="21" spans="1:26" s="364" customFormat="1" ht="27" customHeight="1">
      <c r="A21" s="809"/>
      <c r="B21" s="809"/>
      <c r="C21" s="809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809"/>
      <c r="S21" s="809"/>
      <c r="U21" s="598" t="str">
        <f t="shared" si="1"/>
        <v xml:space="preserve">Auxiliar Judiciário </v>
      </c>
      <c r="V21" s="599">
        <f t="shared" si="1"/>
        <v>150</v>
      </c>
      <c r="W21" s="600">
        <f t="shared" si="2"/>
        <v>0</v>
      </c>
      <c r="X21" s="601">
        <f t="shared" si="3"/>
        <v>0</v>
      </c>
      <c r="Y21" s="602">
        <f t="shared" si="4"/>
        <v>0</v>
      </c>
      <c r="Z21" s="603"/>
    </row>
    <row r="22" spans="1:26" ht="36.75" customHeight="1">
      <c r="A22" s="805"/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805"/>
      <c r="S22" s="805"/>
      <c r="U22" s="806" t="s">
        <v>72</v>
      </c>
      <c r="V22" s="806"/>
      <c r="W22" s="605">
        <f t="shared" si="2"/>
        <v>0</v>
      </c>
      <c r="X22" s="606">
        <f t="shared" si="3"/>
        <v>0</v>
      </c>
      <c r="Y22" s="607">
        <f t="shared" si="4"/>
        <v>0</v>
      </c>
      <c r="Z22" s="606">
        <f>P13</f>
        <v>0</v>
      </c>
    </row>
    <row r="23" spans="1:26" ht="30.75" customHeight="1">
      <c r="A23" s="805"/>
      <c r="B23" s="805"/>
      <c r="C23" s="805"/>
      <c r="D23" s="805"/>
      <c r="E23" s="805"/>
      <c r="F23" s="805"/>
      <c r="G23" s="805"/>
      <c r="H23" s="805"/>
      <c r="I23" s="805"/>
      <c r="J23" s="805"/>
      <c r="K23" s="805"/>
      <c r="L23" s="805"/>
      <c r="M23" s="805"/>
      <c r="N23" s="805"/>
      <c r="O23" s="805"/>
      <c r="P23" s="805"/>
      <c r="Q23" s="805"/>
      <c r="R23" s="805"/>
      <c r="S23" s="805"/>
      <c r="U23" s="806" t="s">
        <v>561</v>
      </c>
      <c r="V23" s="806"/>
      <c r="W23" s="608">
        <f>I16</f>
        <v>0</v>
      </c>
      <c r="X23" s="606">
        <f>L16</f>
        <v>0</v>
      </c>
      <c r="Y23" s="606">
        <f>O16</f>
        <v>0</v>
      </c>
      <c r="Z23" s="606">
        <f>Q13</f>
        <v>0</v>
      </c>
    </row>
    <row r="24" spans="1:26" ht="51" customHeight="1"/>
    <row r="25" spans="1:26" ht="55.5" customHeight="1">
      <c r="U25" s="806" t="s">
        <v>562</v>
      </c>
      <c r="V25" s="806"/>
      <c r="W25" s="806"/>
      <c r="X25" s="806"/>
      <c r="Y25" s="806"/>
      <c r="Z25" s="806"/>
    </row>
    <row r="26" spans="1:26" ht="15">
      <c r="U26" s="807" t="s">
        <v>563</v>
      </c>
      <c r="V26" s="807"/>
      <c r="W26" s="609">
        <f>Dados!G21</f>
        <v>0.03</v>
      </c>
      <c r="X26" s="609">
        <f>Dados!G22</f>
        <v>6.7900000000000002E-2</v>
      </c>
      <c r="Y26" s="609">
        <f>Dados!G25+Dados!G26+Dados!G27</f>
        <v>0.14250000000000002</v>
      </c>
      <c r="Z26" s="610">
        <v>1</v>
      </c>
    </row>
    <row r="27" spans="1:26" ht="25.5">
      <c r="U27" s="611" t="s">
        <v>7</v>
      </c>
      <c r="V27" s="612" t="s">
        <v>564</v>
      </c>
      <c r="W27" s="612" t="s">
        <v>565</v>
      </c>
      <c r="X27" s="611" t="s">
        <v>427</v>
      </c>
      <c r="Y27" s="611" t="s">
        <v>494</v>
      </c>
      <c r="Z27" s="611" t="s">
        <v>566</v>
      </c>
    </row>
    <row r="28" spans="1:26" ht="30">
      <c r="U28" s="613" t="s">
        <v>460</v>
      </c>
      <c r="V28" s="614">
        <f>'Mat.Limpeza e EPI COVID'!J54</f>
        <v>2819.7016666666659</v>
      </c>
      <c r="W28" s="614">
        <f>V28*W26</f>
        <v>84.591049999999967</v>
      </c>
      <c r="X28" s="614">
        <f>SUM(V28:W28)*X26</f>
        <v>197.20147546166663</v>
      </c>
      <c r="Y28" s="614">
        <f>Z28*Y26</f>
        <v>515.4086558347376</v>
      </c>
      <c r="Z28" s="614">
        <f>SUM(V28:X28)/(1-$Y$26)</f>
        <v>3616.9028479630701</v>
      </c>
    </row>
    <row r="29" spans="1:26" ht="15">
      <c r="U29" s="615" t="s">
        <v>567</v>
      </c>
      <c r="V29" s="616">
        <f>'Mat.Limpeza e EPI COVID'!J60</f>
        <v>43.94</v>
      </c>
      <c r="W29" s="614">
        <f>V29*W26</f>
        <v>1.3181999999999998</v>
      </c>
      <c r="X29" s="614">
        <f>SUM(V29:W29)*X26</f>
        <v>3.0730317799999995</v>
      </c>
      <c r="Y29" s="614">
        <f>Z29*Y26</f>
        <v>8.0317207331195348</v>
      </c>
      <c r="Z29" s="614">
        <f>SUM(V29:X29)/(1-$Y$26)</f>
        <v>56.362952513119531</v>
      </c>
    </row>
    <row r="30" spans="1:26" ht="15">
      <c r="U30" s="615" t="s">
        <v>72</v>
      </c>
      <c r="V30" s="617">
        <f>SUM(V28:V29)</f>
        <v>2863.641666666666</v>
      </c>
      <c r="W30" s="617">
        <f>SUM(W28:W29)</f>
        <v>85.909249999999972</v>
      </c>
      <c r="X30" s="617">
        <f>SUM(X28:X29)</f>
        <v>200.27450724166664</v>
      </c>
      <c r="Y30" s="617">
        <f>SUM(Y28:Y29)</f>
        <v>523.44037656785713</v>
      </c>
      <c r="Z30" s="617">
        <f>SUM(Z28:Z29)</f>
        <v>3673.2658004761897</v>
      </c>
    </row>
  </sheetData>
  <mergeCells count="33">
    <mergeCell ref="A23:S23"/>
    <mergeCell ref="U23:V23"/>
    <mergeCell ref="U25:Z25"/>
    <mergeCell ref="U26:V26"/>
    <mergeCell ref="A19:S19"/>
    <mergeCell ref="A20:S20"/>
    <mergeCell ref="A21:S21"/>
    <mergeCell ref="A22:S22"/>
    <mergeCell ref="U22:V22"/>
    <mergeCell ref="A11:A14"/>
    <mergeCell ref="U15:Z15"/>
    <mergeCell ref="A16:B16"/>
    <mergeCell ref="A17:B17"/>
    <mergeCell ref="A18:R18"/>
    <mergeCell ref="U7:V10"/>
    <mergeCell ref="D8:F8"/>
    <mergeCell ref="G8:I8"/>
    <mergeCell ref="J8:R8"/>
    <mergeCell ref="D9:F9"/>
    <mergeCell ref="G9:G10"/>
    <mergeCell ref="H9:I9"/>
    <mergeCell ref="J9:L9"/>
    <mergeCell ref="M9:O9"/>
    <mergeCell ref="P9:P10"/>
    <mergeCell ref="Q9:Q10"/>
    <mergeCell ref="R9:R10"/>
    <mergeCell ref="A4:S4"/>
    <mergeCell ref="A5:S5"/>
    <mergeCell ref="R6:S6"/>
    <mergeCell ref="A7:A10"/>
    <mergeCell ref="B7:C9"/>
    <mergeCell ref="D7:R7"/>
    <mergeCell ref="S7:S10"/>
  </mergeCells>
  <printOptions horizontalCentered="1"/>
  <pageMargins left="0.196527777777778" right="0.196527777777778" top="0.196527777777778" bottom="0.39374999999999999" header="0.51180555555555496" footer="0.51180555555555496"/>
  <pageSetup paperSize="9" scale="6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96633"/>
  </sheetPr>
  <dimension ref="A1:P31"/>
  <sheetViews>
    <sheetView zoomScaleNormal="100" workbookViewId="0">
      <selection activeCell="H35" sqref="H35"/>
    </sheetView>
  </sheetViews>
  <sheetFormatPr defaultColWidth="9" defaultRowHeight="15"/>
  <cols>
    <col min="1" max="1" width="13.28515625" style="40" customWidth="1"/>
    <col min="2" max="2" width="7.7109375" style="41" customWidth="1"/>
    <col min="3" max="3" width="6.140625" style="41" customWidth="1"/>
    <col min="4" max="4" width="86.42578125" style="40" customWidth="1"/>
    <col min="5" max="5" width="11.5703125" style="40" customWidth="1"/>
    <col min="6" max="6" width="10.7109375" style="41" customWidth="1"/>
    <col min="7" max="7" width="10" style="42" customWidth="1"/>
    <col min="8" max="8" width="12.140625" style="42" customWidth="1"/>
  </cols>
  <sheetData>
    <row r="1" spans="1:16" s="40" customFormat="1" ht="12.75" customHeight="1">
      <c r="A1" s="43" t="s">
        <v>0</v>
      </c>
      <c r="B1" s="44"/>
      <c r="C1" s="44"/>
      <c r="D1" s="45"/>
      <c r="E1" s="45"/>
      <c r="F1" s="44"/>
      <c r="G1" s="46"/>
      <c r="H1" s="47"/>
    </row>
    <row r="2" spans="1:16" s="40" customFormat="1" ht="12.75" customHeight="1">
      <c r="A2" s="48" t="s">
        <v>1</v>
      </c>
      <c r="B2" s="41"/>
      <c r="C2" s="41"/>
      <c r="F2" s="41"/>
      <c r="G2" s="42"/>
      <c r="H2" s="49"/>
    </row>
    <row r="3" spans="1:16" s="40" customFormat="1" ht="12.75" customHeight="1">
      <c r="A3" s="48" t="s">
        <v>62</v>
      </c>
      <c r="B3" s="41"/>
      <c r="C3" s="41"/>
      <c r="F3" s="41"/>
      <c r="G3" s="42"/>
      <c r="H3" s="49"/>
    </row>
    <row r="4" spans="1:16" s="40" customFormat="1" ht="22.5">
      <c r="A4" s="631" t="s">
        <v>63</v>
      </c>
      <c r="B4" s="631"/>
      <c r="C4" s="631"/>
      <c r="D4" s="631"/>
      <c r="E4" s="631"/>
      <c r="F4" s="631"/>
      <c r="G4" s="631"/>
      <c r="H4" s="631"/>
    </row>
    <row r="5" spans="1:16" s="40" customFormat="1" ht="15.75" customHeight="1">
      <c r="A5" s="50" t="s">
        <v>64</v>
      </c>
      <c r="B5" s="51"/>
      <c r="C5" s="52"/>
      <c r="D5" s="52"/>
      <c r="E5" s="52"/>
      <c r="F5" s="53"/>
      <c r="G5" s="54"/>
      <c r="H5" s="55"/>
    </row>
    <row r="6" spans="1:16" s="40" customFormat="1" ht="36" customHeight="1">
      <c r="A6" s="56" t="s">
        <v>65</v>
      </c>
      <c r="B6" s="57" t="s">
        <v>66</v>
      </c>
      <c r="C6" s="57" t="s">
        <v>67</v>
      </c>
      <c r="D6" s="58" t="s">
        <v>68</v>
      </c>
      <c r="E6" s="58" t="s">
        <v>69</v>
      </c>
      <c r="F6" s="59" t="s">
        <v>70</v>
      </c>
      <c r="G6" s="59" t="s">
        <v>71</v>
      </c>
      <c r="H6" s="60" t="s">
        <v>72</v>
      </c>
    </row>
    <row r="7" spans="1:16" s="68" customFormat="1" ht="36" customHeight="1">
      <c r="A7" s="61" t="s">
        <v>73</v>
      </c>
      <c r="B7" s="62" t="s">
        <v>74</v>
      </c>
      <c r="C7" s="63">
        <v>3</v>
      </c>
      <c r="D7" s="64" t="s">
        <v>75</v>
      </c>
      <c r="E7" s="62" t="s">
        <v>76</v>
      </c>
      <c r="F7" s="65">
        <f>C7*A10</f>
        <v>18</v>
      </c>
      <c r="G7" s="66">
        <v>66.48</v>
      </c>
      <c r="H7" s="67">
        <f>ROUND(F7*G7,2)</f>
        <v>1196.6400000000001</v>
      </c>
    </row>
    <row r="8" spans="1:16" s="68" customFormat="1" ht="36" customHeight="1">
      <c r="A8" s="69"/>
      <c r="B8" s="62" t="s">
        <v>77</v>
      </c>
      <c r="C8" s="63">
        <v>3</v>
      </c>
      <c r="D8" s="70" t="s">
        <v>78</v>
      </c>
      <c r="E8" s="71" t="s">
        <v>79</v>
      </c>
      <c r="F8" s="65">
        <f>C8*A10</f>
        <v>18</v>
      </c>
      <c r="G8" s="66">
        <v>34.83</v>
      </c>
      <c r="H8" s="72">
        <f>ROUND(F8*G8,2)</f>
        <v>626.94000000000005</v>
      </c>
    </row>
    <row r="9" spans="1:16" s="68" customFormat="1" ht="35.25" customHeight="1">
      <c r="A9" s="73"/>
      <c r="B9" s="62" t="s">
        <v>80</v>
      </c>
      <c r="C9" s="63">
        <v>1</v>
      </c>
      <c r="D9" s="70" t="s">
        <v>81</v>
      </c>
      <c r="E9" s="62" t="s">
        <v>82</v>
      </c>
      <c r="F9" s="65">
        <f>C9*A10</f>
        <v>6</v>
      </c>
      <c r="G9" s="66">
        <v>91.67</v>
      </c>
      <c r="H9" s="72">
        <f>ROUND(F9*G9,2)</f>
        <v>550.02</v>
      </c>
    </row>
    <row r="10" spans="1:16" s="68" customFormat="1" ht="36" customHeight="1">
      <c r="A10" s="74">
        <v>6</v>
      </c>
      <c r="B10" s="62" t="s">
        <v>83</v>
      </c>
      <c r="C10" s="75">
        <v>1</v>
      </c>
      <c r="D10" s="70" t="s">
        <v>84</v>
      </c>
      <c r="E10" s="62" t="s">
        <v>82</v>
      </c>
      <c r="F10" s="65">
        <f>C10*A10</f>
        <v>6</v>
      </c>
      <c r="G10" s="66">
        <v>36.700000000000003</v>
      </c>
      <c r="H10" s="72">
        <f>ROUND(F10*G10,2)</f>
        <v>220.2</v>
      </c>
    </row>
    <row r="11" spans="1:16" s="68" customFormat="1" ht="36" customHeight="1">
      <c r="A11" s="76"/>
      <c r="B11" s="632" t="s">
        <v>85</v>
      </c>
      <c r="C11" s="632"/>
      <c r="D11" s="632"/>
      <c r="E11" s="632"/>
      <c r="F11" s="632"/>
      <c r="G11" s="77"/>
      <c r="H11" s="78">
        <f>SUM(H7:H10)</f>
        <v>2593.8000000000002</v>
      </c>
    </row>
    <row r="12" spans="1:16" s="68" customFormat="1" ht="36" customHeight="1">
      <c r="A12" s="633" t="s">
        <v>86</v>
      </c>
      <c r="B12" s="633"/>
      <c r="C12" s="633"/>
      <c r="D12" s="633"/>
      <c r="E12" s="633"/>
      <c r="F12" s="633"/>
      <c r="G12" s="77"/>
      <c r="H12" s="79">
        <f>ROUND(H11/$A$10/12,2)</f>
        <v>36.03</v>
      </c>
    </row>
    <row r="13" spans="1:16" s="68" customFormat="1" ht="36" customHeight="1">
      <c r="A13" s="80"/>
      <c r="B13" s="81"/>
      <c r="C13" s="82"/>
      <c r="D13" s="83"/>
      <c r="E13" s="83"/>
      <c r="F13" s="82"/>
      <c r="G13" s="42"/>
      <c r="H13" s="49"/>
    </row>
    <row r="14" spans="1:16" ht="47.25" customHeight="1">
      <c r="A14" s="84" t="s">
        <v>87</v>
      </c>
      <c r="B14" s="62" t="s">
        <v>74</v>
      </c>
      <c r="C14" s="63">
        <v>3</v>
      </c>
      <c r="D14" s="70" t="s">
        <v>88</v>
      </c>
      <c r="E14" s="71" t="s">
        <v>76</v>
      </c>
      <c r="F14" s="63">
        <f>C14*A16</f>
        <v>6</v>
      </c>
      <c r="G14" s="66">
        <v>69.3</v>
      </c>
      <c r="H14" s="85">
        <f>ROUND(F14*G14,2)</f>
        <v>415.8</v>
      </c>
      <c r="N14" s="68"/>
      <c r="O14" s="68"/>
      <c r="P14" s="68"/>
    </row>
    <row r="15" spans="1:16" ht="36" customHeight="1">
      <c r="A15" s="86"/>
      <c r="B15" s="62" t="s">
        <v>77</v>
      </c>
      <c r="C15" s="63">
        <v>3</v>
      </c>
      <c r="D15" s="70" t="s">
        <v>78</v>
      </c>
      <c r="E15" s="71" t="s">
        <v>89</v>
      </c>
      <c r="F15" s="63">
        <f>C15*A16</f>
        <v>6</v>
      </c>
      <c r="G15" s="66">
        <v>34.83</v>
      </c>
      <c r="H15" s="85">
        <f>ROUND(F15*G15,2)</f>
        <v>208.98</v>
      </c>
      <c r="N15" s="68"/>
      <c r="O15" s="68"/>
      <c r="P15" s="68"/>
    </row>
    <row r="16" spans="1:16" ht="36" customHeight="1">
      <c r="A16" s="87">
        <v>2</v>
      </c>
      <c r="B16" s="62" t="s">
        <v>80</v>
      </c>
      <c r="C16" s="63">
        <v>1</v>
      </c>
      <c r="D16" s="70" t="s">
        <v>90</v>
      </c>
      <c r="E16" s="62" t="s">
        <v>91</v>
      </c>
      <c r="F16" s="63">
        <f>C16*A16</f>
        <v>2</v>
      </c>
      <c r="G16" s="66">
        <v>76.97</v>
      </c>
      <c r="H16" s="85">
        <f>ROUND(F16*G16,2)</f>
        <v>153.94</v>
      </c>
      <c r="N16" s="68"/>
      <c r="O16" s="68"/>
      <c r="P16" s="68"/>
    </row>
    <row r="17" spans="1:16" ht="36" customHeight="1">
      <c r="A17" s="76"/>
      <c r="B17" s="634" t="s">
        <v>85</v>
      </c>
      <c r="C17" s="634"/>
      <c r="D17" s="634"/>
      <c r="E17" s="634"/>
      <c r="F17" s="634"/>
      <c r="G17" s="634"/>
      <c r="H17" s="88">
        <f>SUM(H14:H16)</f>
        <v>778.72</v>
      </c>
      <c r="N17" s="68"/>
      <c r="O17" s="68"/>
      <c r="P17" s="68"/>
    </row>
    <row r="18" spans="1:16" ht="36" customHeight="1">
      <c r="A18" s="635" t="s">
        <v>92</v>
      </c>
      <c r="B18" s="635"/>
      <c r="C18" s="635"/>
      <c r="D18" s="635"/>
      <c r="E18" s="635"/>
      <c r="F18" s="635"/>
      <c r="G18" s="77"/>
      <c r="H18" s="79">
        <f>ROUND(H17/$A$16/12,2)</f>
        <v>32.450000000000003</v>
      </c>
    </row>
    <row r="19" spans="1:16" ht="39.75" customHeight="1">
      <c r="A19" s="636"/>
      <c r="B19" s="636"/>
      <c r="C19" s="636"/>
      <c r="D19" s="636"/>
      <c r="E19" s="636"/>
      <c r="F19" s="636"/>
      <c r="G19" s="636"/>
      <c r="H19" s="636"/>
    </row>
    <row r="21" spans="1:16" ht="12.75">
      <c r="A21" s="61" t="s">
        <v>93</v>
      </c>
      <c r="B21" s="62" t="s">
        <v>74</v>
      </c>
      <c r="C21" s="63">
        <v>3</v>
      </c>
      <c r="D21" s="64" t="s">
        <v>75</v>
      </c>
      <c r="E21" s="62" t="s">
        <v>76</v>
      </c>
      <c r="F21" s="65">
        <f>C21*A24</f>
        <v>3</v>
      </c>
      <c r="G21" s="66">
        <v>66.48</v>
      </c>
      <c r="H21" s="67">
        <f>ROUND(F21*G21,2)</f>
        <v>199.44</v>
      </c>
    </row>
    <row r="22" spans="1:16" ht="12.75">
      <c r="A22" s="69"/>
      <c r="B22" s="62" t="s">
        <v>77</v>
      </c>
      <c r="C22" s="63">
        <v>3</v>
      </c>
      <c r="D22" s="70" t="s">
        <v>78</v>
      </c>
      <c r="E22" s="71" t="s">
        <v>79</v>
      </c>
      <c r="F22" s="65">
        <f>C22*A24</f>
        <v>3</v>
      </c>
      <c r="G22" s="66">
        <v>34.83</v>
      </c>
      <c r="H22" s="72">
        <f>ROUND(F22*G22,2)</f>
        <v>104.49</v>
      </c>
    </row>
    <row r="23" spans="1:16" ht="25.5">
      <c r="A23" s="73"/>
      <c r="B23" s="62" t="s">
        <v>80</v>
      </c>
      <c r="C23" s="63">
        <v>1</v>
      </c>
      <c r="D23" s="70" t="s">
        <v>81</v>
      </c>
      <c r="E23" s="62" t="s">
        <v>82</v>
      </c>
      <c r="F23" s="65">
        <f>C23*A24</f>
        <v>1</v>
      </c>
      <c r="G23" s="66">
        <v>91.67</v>
      </c>
      <c r="H23" s="72">
        <f>ROUND(F23*G23,2)</f>
        <v>91.67</v>
      </c>
    </row>
    <row r="24" spans="1:16" ht="34.5">
      <c r="A24" s="74">
        <v>1</v>
      </c>
      <c r="B24" s="62" t="s">
        <v>83</v>
      </c>
      <c r="C24" s="75">
        <v>1</v>
      </c>
      <c r="D24" s="70" t="s">
        <v>84</v>
      </c>
      <c r="E24" s="62" t="s">
        <v>82</v>
      </c>
      <c r="F24" s="65">
        <f>C24*A24</f>
        <v>1</v>
      </c>
      <c r="G24" s="66">
        <v>36.700000000000003</v>
      </c>
      <c r="H24" s="72">
        <f>ROUND(F24*G24,2)</f>
        <v>36.700000000000003</v>
      </c>
    </row>
    <row r="25" spans="1:16" ht="12.75">
      <c r="A25" s="76"/>
      <c r="B25" s="632" t="s">
        <v>85</v>
      </c>
      <c r="C25" s="632"/>
      <c r="D25" s="632"/>
      <c r="E25" s="632"/>
      <c r="F25" s="632"/>
      <c r="G25" s="77"/>
      <c r="H25" s="78">
        <f>SUM(H21:H24)</f>
        <v>432.3</v>
      </c>
    </row>
    <row r="26" spans="1:16" ht="15.75">
      <c r="A26" s="633" t="s">
        <v>94</v>
      </c>
      <c r="B26" s="633"/>
      <c r="C26" s="633"/>
      <c r="D26" s="633"/>
      <c r="E26" s="633"/>
      <c r="F26" s="633"/>
      <c r="G26" s="77"/>
      <c r="H26" s="79">
        <f>ROUND(H25/$A$24/12,2)</f>
        <v>36.03</v>
      </c>
    </row>
    <row r="28" spans="1:16" ht="38.25">
      <c r="A28" s="89" t="s">
        <v>95</v>
      </c>
      <c r="B28" s="90" t="s">
        <v>96</v>
      </c>
      <c r="C28" s="63">
        <v>2</v>
      </c>
      <c r="D28" s="91" t="s">
        <v>97</v>
      </c>
      <c r="E28" s="90" t="s">
        <v>98</v>
      </c>
      <c r="F28" s="63">
        <v>2</v>
      </c>
      <c r="G28" s="92">
        <v>29.67</v>
      </c>
      <c r="H28" s="93">
        <f>ROUND(F28*G28,2)</f>
        <v>59.34</v>
      </c>
    </row>
    <row r="29" spans="1:16" ht="34.5">
      <c r="A29" s="94">
        <v>1</v>
      </c>
      <c r="B29" s="90" t="s">
        <v>99</v>
      </c>
      <c r="C29" s="63">
        <v>3</v>
      </c>
      <c r="D29" s="95" t="s">
        <v>100</v>
      </c>
      <c r="E29" s="90" t="s">
        <v>98</v>
      </c>
      <c r="F29" s="63">
        <v>3</v>
      </c>
      <c r="G29" s="92">
        <v>11.14</v>
      </c>
      <c r="H29" s="93">
        <f>ROUND(F29*G29,2)</f>
        <v>33.42</v>
      </c>
    </row>
    <row r="30" spans="1:16" ht="12.75">
      <c r="A30" s="96"/>
      <c r="B30" s="637" t="s">
        <v>85</v>
      </c>
      <c r="C30" s="637"/>
      <c r="D30" s="637"/>
      <c r="E30" s="637"/>
      <c r="F30" s="637"/>
      <c r="G30" s="97"/>
      <c r="H30" s="98">
        <f>SUM(H28:H29)</f>
        <v>92.76</v>
      </c>
    </row>
    <row r="31" spans="1:16" ht="15.75">
      <c r="A31" s="638" t="s">
        <v>101</v>
      </c>
      <c r="B31" s="638"/>
      <c r="C31" s="638"/>
      <c r="D31" s="638"/>
      <c r="E31" s="638"/>
      <c r="F31" s="638"/>
      <c r="G31" s="99"/>
      <c r="H31" s="79">
        <f>ROUND(H30/$A$29/12,2)</f>
        <v>7.73</v>
      </c>
    </row>
  </sheetData>
  <mergeCells count="10">
    <mergeCell ref="A19:H19"/>
    <mergeCell ref="B25:F25"/>
    <mergeCell ref="A26:F26"/>
    <mergeCell ref="B30:F30"/>
    <mergeCell ref="A31:F31"/>
    <mergeCell ref="A4:H4"/>
    <mergeCell ref="B11:F11"/>
    <mergeCell ref="A12:F12"/>
    <mergeCell ref="B17:G17"/>
    <mergeCell ref="A18:F18"/>
  </mergeCells>
  <pageMargins left="0.39370078740157483" right="0" top="0.39370078740157483" bottom="0.39370078740157483" header="0.51181102362204722" footer="0.51181102362204722"/>
  <pageSetup paperSize="9" scale="75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6633"/>
  </sheetPr>
  <dimension ref="A1:D148"/>
  <sheetViews>
    <sheetView zoomScaleNormal="100" workbookViewId="0">
      <selection activeCell="C21" sqref="C21"/>
    </sheetView>
  </sheetViews>
  <sheetFormatPr defaultColWidth="9" defaultRowHeight="15"/>
  <cols>
    <col min="1" max="1" width="26.42578125" style="40" customWidth="1"/>
    <col min="2" max="2" width="13.28515625" style="40" customWidth="1"/>
    <col min="3" max="3" width="65.28515625" style="40" customWidth="1"/>
    <col min="4" max="4" width="18.28515625" style="40" customWidth="1"/>
  </cols>
  <sheetData>
    <row r="1" spans="1:4" s="40" customFormat="1">
      <c r="A1" s="43" t="s">
        <v>102</v>
      </c>
      <c r="B1" s="100"/>
      <c r="C1" s="45"/>
      <c r="D1" s="101"/>
    </row>
    <row r="2" spans="1:4" s="40" customFormat="1">
      <c r="A2" s="48" t="s">
        <v>1</v>
      </c>
      <c r="B2" s="102"/>
      <c r="D2" s="103"/>
    </row>
    <row r="3" spans="1:4" s="40" customFormat="1">
      <c r="A3" s="48" t="s">
        <v>103</v>
      </c>
      <c r="B3" s="102"/>
      <c r="D3" s="103"/>
    </row>
    <row r="4" spans="1:4" s="40" customFormat="1" ht="22.5">
      <c r="A4" s="639" t="s">
        <v>104</v>
      </c>
      <c r="B4" s="639"/>
      <c r="C4" s="639"/>
      <c r="D4" s="639"/>
    </row>
    <row r="5" spans="1:4" s="40" customFormat="1">
      <c r="A5" s="104" t="s">
        <v>65</v>
      </c>
      <c r="B5" s="105" t="s">
        <v>66</v>
      </c>
      <c r="C5" s="106" t="s">
        <v>105</v>
      </c>
      <c r="D5" s="107" t="s">
        <v>106</v>
      </c>
    </row>
    <row r="6" spans="1:4" s="40" customFormat="1" ht="12.75" customHeight="1">
      <c r="A6" s="640" t="s">
        <v>107</v>
      </c>
      <c r="B6" s="641" t="s">
        <v>108</v>
      </c>
      <c r="C6" s="109" t="s">
        <v>109</v>
      </c>
      <c r="D6" s="642" t="s">
        <v>76</v>
      </c>
    </row>
    <row r="7" spans="1:4" s="40" customFormat="1">
      <c r="A7" s="640"/>
      <c r="B7" s="641"/>
      <c r="C7" s="110" t="s">
        <v>110</v>
      </c>
      <c r="D7" s="642"/>
    </row>
    <row r="8" spans="1:4" s="40" customFormat="1">
      <c r="A8" s="640"/>
      <c r="B8" s="641"/>
      <c r="C8" s="110" t="s">
        <v>111</v>
      </c>
      <c r="D8" s="642"/>
    </row>
    <row r="9" spans="1:4" s="40" customFormat="1" ht="12.75" customHeight="1">
      <c r="A9" s="640"/>
      <c r="B9" s="643" t="s">
        <v>112</v>
      </c>
      <c r="C9" s="110" t="s">
        <v>113</v>
      </c>
      <c r="D9" s="644" t="s">
        <v>114</v>
      </c>
    </row>
    <row r="10" spans="1:4" s="40" customFormat="1">
      <c r="A10" s="640"/>
      <c r="B10" s="643"/>
      <c r="C10" s="110" t="s">
        <v>110</v>
      </c>
      <c r="D10" s="644"/>
    </row>
    <row r="11" spans="1:4" s="40" customFormat="1">
      <c r="A11" s="640"/>
      <c r="B11" s="643"/>
      <c r="C11" s="111" t="s">
        <v>115</v>
      </c>
      <c r="D11" s="644"/>
    </row>
    <row r="12" spans="1:4" s="40" customFormat="1" ht="25.5" customHeight="1">
      <c r="A12" s="640" t="s">
        <v>116</v>
      </c>
      <c r="B12" s="645" t="s">
        <v>117</v>
      </c>
      <c r="C12" s="109" t="s">
        <v>118</v>
      </c>
      <c r="D12" s="646" t="s">
        <v>119</v>
      </c>
    </row>
    <row r="13" spans="1:4" s="40" customFormat="1">
      <c r="A13" s="640"/>
      <c r="B13" s="645"/>
      <c r="C13" s="111" t="s">
        <v>120</v>
      </c>
      <c r="D13" s="646"/>
    </row>
    <row r="14" spans="1:4" s="40" customFormat="1" ht="25.5" customHeight="1">
      <c r="A14" s="640" t="s">
        <v>107</v>
      </c>
      <c r="B14" s="645" t="s">
        <v>121</v>
      </c>
      <c r="C14" s="109" t="s">
        <v>122</v>
      </c>
      <c r="D14" s="646" t="s">
        <v>119</v>
      </c>
    </row>
    <row r="15" spans="1:4" s="40" customFormat="1">
      <c r="A15" s="640"/>
      <c r="B15" s="645"/>
      <c r="C15" s="111" t="s">
        <v>120</v>
      </c>
      <c r="D15" s="646"/>
    </row>
    <row r="16" spans="1:4" s="40" customFormat="1">
      <c r="A16" s="108" t="s">
        <v>123</v>
      </c>
      <c r="B16" s="112" t="s">
        <v>124</v>
      </c>
      <c r="C16" s="112" t="s">
        <v>125</v>
      </c>
      <c r="D16" s="113" t="s">
        <v>126</v>
      </c>
    </row>
    <row r="17" spans="1:4" s="40" customFormat="1">
      <c r="A17" s="108" t="s">
        <v>127</v>
      </c>
      <c r="B17" s="112" t="s">
        <v>96</v>
      </c>
      <c r="C17" s="112" t="s">
        <v>97</v>
      </c>
      <c r="D17" s="113" t="s">
        <v>91</v>
      </c>
    </row>
    <row r="18" spans="1:4" s="40" customFormat="1" ht="25.5" customHeight="1">
      <c r="A18" s="640" t="s">
        <v>128</v>
      </c>
      <c r="B18" s="641" t="s">
        <v>129</v>
      </c>
      <c r="C18" s="114" t="s">
        <v>130</v>
      </c>
      <c r="D18" s="642" t="s">
        <v>131</v>
      </c>
    </row>
    <row r="19" spans="1:4" s="40" customFormat="1" ht="27">
      <c r="A19" s="640"/>
      <c r="B19" s="641"/>
      <c r="C19" s="115" t="s">
        <v>132</v>
      </c>
      <c r="D19" s="642"/>
    </row>
    <row r="20" spans="1:4" s="40" customFormat="1">
      <c r="A20" s="640"/>
      <c r="B20" s="641"/>
      <c r="C20" s="115" t="s">
        <v>133</v>
      </c>
      <c r="D20" s="642"/>
    </row>
    <row r="21" spans="1:4" s="40" customFormat="1">
      <c r="A21" s="640"/>
      <c r="B21" s="641"/>
      <c r="C21" s="115" t="s">
        <v>134</v>
      </c>
      <c r="D21" s="642"/>
    </row>
    <row r="22" spans="1:4" s="40" customFormat="1">
      <c r="A22" s="640"/>
      <c r="B22" s="641"/>
      <c r="C22" s="115" t="s">
        <v>110</v>
      </c>
      <c r="D22" s="642"/>
    </row>
    <row r="23" spans="1:4" s="40" customFormat="1" ht="25.5" customHeight="1">
      <c r="A23" s="640"/>
      <c r="B23" s="643" t="s">
        <v>135</v>
      </c>
      <c r="C23" s="115" t="s">
        <v>136</v>
      </c>
      <c r="D23" s="644" t="s">
        <v>131</v>
      </c>
    </row>
    <row r="24" spans="1:4" s="40" customFormat="1" ht="27">
      <c r="A24" s="640"/>
      <c r="B24" s="643"/>
      <c r="C24" s="115" t="s">
        <v>132</v>
      </c>
      <c r="D24" s="644"/>
    </row>
    <row r="25" spans="1:4" s="40" customFormat="1">
      <c r="A25" s="640"/>
      <c r="B25" s="643"/>
      <c r="C25" s="115" t="s">
        <v>133</v>
      </c>
      <c r="D25" s="644"/>
    </row>
    <row r="26" spans="1:4" s="40" customFormat="1">
      <c r="A26" s="640"/>
      <c r="B26" s="643"/>
      <c r="C26" s="115" t="s">
        <v>137</v>
      </c>
      <c r="D26" s="644"/>
    </row>
    <row r="27" spans="1:4" s="40" customFormat="1">
      <c r="A27" s="640"/>
      <c r="B27" s="643"/>
      <c r="C27" s="116" t="s">
        <v>110</v>
      </c>
      <c r="D27" s="644"/>
    </row>
    <row r="28" spans="1:4" s="40" customFormat="1" ht="12.75" customHeight="1">
      <c r="A28" s="640" t="s">
        <v>138</v>
      </c>
      <c r="B28" s="647" t="s">
        <v>139</v>
      </c>
      <c r="C28" s="114" t="s">
        <v>140</v>
      </c>
      <c r="D28" s="648" t="s">
        <v>141</v>
      </c>
    </row>
    <row r="29" spans="1:4" s="40" customFormat="1">
      <c r="A29" s="640"/>
      <c r="B29" s="647"/>
      <c r="C29" s="116" t="s">
        <v>110</v>
      </c>
      <c r="D29" s="648"/>
    </row>
    <row r="30" spans="1:4" s="40" customFormat="1" ht="25.5" customHeight="1">
      <c r="A30" s="640" t="s">
        <v>142</v>
      </c>
      <c r="B30" s="641" t="s">
        <v>129</v>
      </c>
      <c r="C30" s="114" t="s">
        <v>143</v>
      </c>
      <c r="D30" s="642" t="s">
        <v>144</v>
      </c>
    </row>
    <row r="31" spans="1:4" s="40" customFormat="1" ht="27">
      <c r="A31" s="640"/>
      <c r="B31" s="641"/>
      <c r="C31" s="115" t="s">
        <v>132</v>
      </c>
      <c r="D31" s="642"/>
    </row>
    <row r="32" spans="1:4" s="40" customFormat="1">
      <c r="A32" s="640"/>
      <c r="B32" s="641"/>
      <c r="C32" s="115" t="s">
        <v>133</v>
      </c>
      <c r="D32" s="642"/>
    </row>
    <row r="33" spans="1:4" s="40" customFormat="1">
      <c r="A33" s="640"/>
      <c r="B33" s="641"/>
      <c r="C33" s="115" t="s">
        <v>134</v>
      </c>
      <c r="D33" s="642"/>
    </row>
    <row r="34" spans="1:4" s="40" customFormat="1">
      <c r="A34" s="640"/>
      <c r="B34" s="641"/>
      <c r="C34" s="115" t="s">
        <v>110</v>
      </c>
      <c r="D34" s="642"/>
    </row>
    <row r="35" spans="1:4" s="40" customFormat="1" ht="25.5" customHeight="1">
      <c r="A35" s="640"/>
      <c r="B35" s="643" t="s">
        <v>135</v>
      </c>
      <c r="C35" s="115" t="s">
        <v>145</v>
      </c>
      <c r="D35" s="644" t="s">
        <v>144</v>
      </c>
    </row>
    <row r="36" spans="1:4" s="40" customFormat="1" ht="27">
      <c r="A36" s="640"/>
      <c r="B36" s="643"/>
      <c r="C36" s="115" t="s">
        <v>132</v>
      </c>
      <c r="D36" s="644"/>
    </row>
    <row r="37" spans="1:4" s="40" customFormat="1">
      <c r="A37" s="640"/>
      <c r="B37" s="643"/>
      <c r="C37" s="115" t="s">
        <v>133</v>
      </c>
      <c r="D37" s="644"/>
    </row>
    <row r="38" spans="1:4" s="40" customFormat="1">
      <c r="A38" s="640"/>
      <c r="B38" s="643"/>
      <c r="C38" s="115" t="s">
        <v>134</v>
      </c>
      <c r="D38" s="644"/>
    </row>
    <row r="39" spans="1:4" s="40" customFormat="1">
      <c r="A39" s="640"/>
      <c r="B39" s="643"/>
      <c r="C39" s="116" t="s">
        <v>110</v>
      </c>
      <c r="D39" s="644"/>
    </row>
    <row r="40" spans="1:4" s="40" customFormat="1" ht="25.5" customHeight="1">
      <c r="A40" s="640" t="s">
        <v>146</v>
      </c>
      <c r="B40" s="641" t="s">
        <v>129</v>
      </c>
      <c r="C40" s="114" t="s">
        <v>147</v>
      </c>
      <c r="D40" s="642" t="s">
        <v>148</v>
      </c>
    </row>
    <row r="41" spans="1:4" s="40" customFormat="1" ht="27">
      <c r="A41" s="640"/>
      <c r="B41" s="641"/>
      <c r="C41" s="115" t="s">
        <v>132</v>
      </c>
      <c r="D41" s="642"/>
    </row>
    <row r="42" spans="1:4" s="40" customFormat="1">
      <c r="A42" s="640"/>
      <c r="B42" s="641"/>
      <c r="C42" s="115" t="s">
        <v>133</v>
      </c>
      <c r="D42" s="642"/>
    </row>
    <row r="43" spans="1:4" s="40" customFormat="1">
      <c r="A43" s="640"/>
      <c r="B43" s="641"/>
      <c r="C43" s="115" t="s">
        <v>134</v>
      </c>
      <c r="D43" s="642"/>
    </row>
    <row r="44" spans="1:4" s="40" customFormat="1">
      <c r="A44" s="640"/>
      <c r="B44" s="641"/>
      <c r="C44" s="115" t="s">
        <v>110</v>
      </c>
      <c r="D44" s="642"/>
    </row>
    <row r="45" spans="1:4" s="40" customFormat="1" ht="25.5" customHeight="1">
      <c r="A45" s="640"/>
      <c r="B45" s="643" t="s">
        <v>135</v>
      </c>
      <c r="C45" s="115" t="s">
        <v>149</v>
      </c>
      <c r="D45" s="644" t="s">
        <v>148</v>
      </c>
    </row>
    <row r="46" spans="1:4" s="40" customFormat="1" ht="27">
      <c r="A46" s="640"/>
      <c r="B46" s="643"/>
      <c r="C46" s="115" t="s">
        <v>132</v>
      </c>
      <c r="D46" s="644"/>
    </row>
    <row r="47" spans="1:4" s="40" customFormat="1">
      <c r="A47" s="640"/>
      <c r="B47" s="643"/>
      <c r="C47" s="115" t="s">
        <v>133</v>
      </c>
      <c r="D47" s="644"/>
    </row>
    <row r="48" spans="1:4" s="40" customFormat="1">
      <c r="A48" s="640"/>
      <c r="B48" s="643"/>
      <c r="C48" s="115" t="s">
        <v>134</v>
      </c>
      <c r="D48" s="644"/>
    </row>
    <row r="49" spans="1:4" s="40" customFormat="1">
      <c r="A49" s="640"/>
      <c r="B49" s="643"/>
      <c r="C49" s="116" t="s">
        <v>110</v>
      </c>
      <c r="D49" s="644"/>
    </row>
    <row r="50" spans="1:4" s="40" customFormat="1" ht="140.25" customHeight="1">
      <c r="A50" s="640" t="s">
        <v>150</v>
      </c>
      <c r="B50" s="641" t="s">
        <v>151</v>
      </c>
      <c r="C50" s="114" t="s">
        <v>152</v>
      </c>
      <c r="D50" s="642" t="s">
        <v>76</v>
      </c>
    </row>
    <row r="51" spans="1:4" s="40" customFormat="1" ht="27">
      <c r="A51" s="640"/>
      <c r="B51" s="641"/>
      <c r="C51" s="115" t="s">
        <v>153</v>
      </c>
      <c r="D51" s="642"/>
    </row>
    <row r="52" spans="1:4" s="40" customFormat="1">
      <c r="A52" s="640"/>
      <c r="B52" s="641"/>
      <c r="C52" s="115" t="s">
        <v>154</v>
      </c>
      <c r="D52" s="642"/>
    </row>
    <row r="53" spans="1:4" s="40" customFormat="1">
      <c r="A53" s="640"/>
      <c r="B53" s="641"/>
      <c r="C53" s="115" t="s">
        <v>110</v>
      </c>
      <c r="D53" s="642"/>
    </row>
    <row r="54" spans="1:4" s="40" customFormat="1" ht="12.75" customHeight="1">
      <c r="A54" s="640"/>
      <c r="B54" s="649" t="s">
        <v>155</v>
      </c>
      <c r="C54" s="115" t="s">
        <v>156</v>
      </c>
      <c r="D54" s="650" t="s">
        <v>76</v>
      </c>
    </row>
    <row r="55" spans="1:4" s="40" customFormat="1" ht="27">
      <c r="A55" s="640"/>
      <c r="B55" s="649"/>
      <c r="C55" s="115" t="s">
        <v>153</v>
      </c>
      <c r="D55" s="650"/>
    </row>
    <row r="56" spans="1:4" s="40" customFormat="1">
      <c r="A56" s="640"/>
      <c r="B56" s="649"/>
      <c r="C56" s="115" t="s">
        <v>157</v>
      </c>
      <c r="D56" s="650"/>
    </row>
    <row r="57" spans="1:4" s="40" customFormat="1">
      <c r="A57" s="640"/>
      <c r="B57" s="649"/>
      <c r="C57" s="115" t="s">
        <v>133</v>
      </c>
      <c r="D57" s="650"/>
    </row>
    <row r="58" spans="1:4" s="40" customFormat="1">
      <c r="A58" s="640"/>
      <c r="B58" s="649"/>
      <c r="C58" s="115" t="s">
        <v>158</v>
      </c>
      <c r="D58" s="650"/>
    </row>
    <row r="59" spans="1:4" s="40" customFormat="1">
      <c r="A59" s="640"/>
      <c r="B59" s="649"/>
      <c r="C59" s="115" t="s">
        <v>110</v>
      </c>
      <c r="D59" s="650"/>
    </row>
    <row r="60" spans="1:4" s="40" customFormat="1" ht="12.75" customHeight="1">
      <c r="A60" s="640"/>
      <c r="B60" s="643" t="s">
        <v>159</v>
      </c>
      <c r="C60" s="115" t="s">
        <v>160</v>
      </c>
      <c r="D60" s="644" t="s">
        <v>91</v>
      </c>
    </row>
    <row r="61" spans="1:4" s="40" customFormat="1">
      <c r="A61" s="640"/>
      <c r="B61" s="643"/>
      <c r="C61" s="116" t="s">
        <v>120</v>
      </c>
      <c r="D61" s="644"/>
    </row>
    <row r="62" spans="1:4" s="40" customFormat="1" ht="12.75" customHeight="1">
      <c r="A62" s="640" t="s">
        <v>161</v>
      </c>
      <c r="B62" s="641" t="s">
        <v>162</v>
      </c>
      <c r="C62" s="114" t="s">
        <v>163</v>
      </c>
      <c r="D62" s="642" t="s">
        <v>76</v>
      </c>
    </row>
    <row r="63" spans="1:4" s="40" customFormat="1" ht="27">
      <c r="A63" s="640"/>
      <c r="B63" s="641"/>
      <c r="C63" s="115" t="s">
        <v>153</v>
      </c>
      <c r="D63" s="642"/>
    </row>
    <row r="64" spans="1:4" s="40" customFormat="1">
      <c r="A64" s="640"/>
      <c r="B64" s="641"/>
      <c r="C64" s="115" t="s">
        <v>154</v>
      </c>
      <c r="D64" s="642"/>
    </row>
    <row r="65" spans="1:4" s="40" customFormat="1">
      <c r="A65" s="640"/>
      <c r="B65" s="641"/>
      <c r="C65" s="115" t="s">
        <v>110</v>
      </c>
      <c r="D65" s="642"/>
    </row>
    <row r="66" spans="1:4" s="40" customFormat="1" ht="12.75" customHeight="1">
      <c r="A66" s="640"/>
      <c r="B66" s="649" t="s">
        <v>164</v>
      </c>
      <c r="C66" s="115" t="s">
        <v>156</v>
      </c>
      <c r="D66" s="650" t="s">
        <v>76</v>
      </c>
    </row>
    <row r="67" spans="1:4" s="40" customFormat="1" ht="27">
      <c r="A67" s="640"/>
      <c r="B67" s="649"/>
      <c r="C67" s="115" t="s">
        <v>153</v>
      </c>
      <c r="D67" s="650"/>
    </row>
    <row r="68" spans="1:4" s="40" customFormat="1">
      <c r="A68" s="640"/>
      <c r="B68" s="649"/>
      <c r="C68" s="115" t="s">
        <v>157</v>
      </c>
      <c r="D68" s="650"/>
    </row>
    <row r="69" spans="1:4" s="40" customFormat="1">
      <c r="A69" s="640"/>
      <c r="B69" s="649"/>
      <c r="C69" s="115" t="s">
        <v>165</v>
      </c>
      <c r="D69" s="650"/>
    </row>
    <row r="70" spans="1:4" s="40" customFormat="1">
      <c r="A70" s="640"/>
      <c r="B70" s="649"/>
      <c r="C70" s="115" t="s">
        <v>158</v>
      </c>
      <c r="D70" s="650"/>
    </row>
    <row r="71" spans="1:4" s="40" customFormat="1">
      <c r="A71" s="640"/>
      <c r="B71" s="649"/>
      <c r="C71" s="115" t="s">
        <v>110</v>
      </c>
      <c r="D71" s="650"/>
    </row>
    <row r="72" spans="1:4" s="40" customFormat="1" ht="25.5" customHeight="1">
      <c r="A72" s="640"/>
      <c r="B72" s="643" t="s">
        <v>166</v>
      </c>
      <c r="C72" s="115" t="s">
        <v>167</v>
      </c>
      <c r="D72" s="644" t="s">
        <v>131</v>
      </c>
    </row>
    <row r="73" spans="1:4" s="40" customFormat="1" ht="27">
      <c r="A73" s="640"/>
      <c r="B73" s="643"/>
      <c r="C73" s="115" t="s">
        <v>132</v>
      </c>
      <c r="D73" s="644"/>
    </row>
    <row r="74" spans="1:4" s="40" customFormat="1">
      <c r="A74" s="640"/>
      <c r="B74" s="643"/>
      <c r="C74" s="115" t="s">
        <v>165</v>
      </c>
      <c r="D74" s="644"/>
    </row>
    <row r="75" spans="1:4" s="40" customFormat="1">
      <c r="A75" s="640"/>
      <c r="B75" s="643"/>
      <c r="C75" s="115" t="s">
        <v>137</v>
      </c>
      <c r="D75" s="644"/>
    </row>
    <row r="76" spans="1:4" s="40" customFormat="1">
      <c r="A76" s="640"/>
      <c r="B76" s="643"/>
      <c r="C76" s="116" t="s">
        <v>110</v>
      </c>
      <c r="D76" s="644"/>
    </row>
    <row r="77" spans="1:4" s="40" customFormat="1" ht="63.75" customHeight="1">
      <c r="A77" s="640" t="s">
        <v>168</v>
      </c>
      <c r="B77" s="117" t="s">
        <v>169</v>
      </c>
      <c r="C77" s="118" t="s">
        <v>170</v>
      </c>
      <c r="D77" s="119" t="s">
        <v>91</v>
      </c>
    </row>
    <row r="78" spans="1:4" s="40" customFormat="1" ht="25.5" customHeight="1">
      <c r="A78" s="640"/>
      <c r="B78" s="643" t="s">
        <v>171</v>
      </c>
      <c r="C78" s="115" t="s">
        <v>172</v>
      </c>
      <c r="D78" s="644" t="s">
        <v>91</v>
      </c>
    </row>
    <row r="79" spans="1:4" s="40" customFormat="1">
      <c r="A79" s="640"/>
      <c r="B79" s="643"/>
      <c r="C79" s="116" t="s">
        <v>120</v>
      </c>
      <c r="D79" s="644"/>
    </row>
    <row r="80" spans="1:4" s="40" customFormat="1" ht="12.75" customHeight="1">
      <c r="A80" s="651" t="s">
        <v>173</v>
      </c>
      <c r="B80" s="641" t="s">
        <v>162</v>
      </c>
      <c r="C80" s="114" t="s">
        <v>163</v>
      </c>
      <c r="D80" s="652" t="s">
        <v>119</v>
      </c>
    </row>
    <row r="81" spans="1:4" s="40" customFormat="1" ht="27">
      <c r="A81" s="651"/>
      <c r="B81" s="641"/>
      <c r="C81" s="115" t="s">
        <v>153</v>
      </c>
      <c r="D81" s="652"/>
    </row>
    <row r="82" spans="1:4" s="40" customFormat="1">
      <c r="A82" s="651"/>
      <c r="B82" s="641"/>
      <c r="C82" s="115" t="s">
        <v>154</v>
      </c>
      <c r="D82" s="652"/>
    </row>
    <row r="83" spans="1:4" s="40" customFormat="1">
      <c r="A83" s="651"/>
      <c r="B83" s="641"/>
      <c r="C83" s="115" t="s">
        <v>110</v>
      </c>
      <c r="D83" s="652"/>
    </row>
    <row r="84" spans="1:4" s="40" customFormat="1" ht="12.75" customHeight="1">
      <c r="A84" s="651"/>
      <c r="B84" s="649" t="s">
        <v>164</v>
      </c>
      <c r="C84" s="115" t="s">
        <v>156</v>
      </c>
      <c r="D84" s="652"/>
    </row>
    <row r="85" spans="1:4" s="40" customFormat="1" ht="27">
      <c r="A85" s="651"/>
      <c r="B85" s="649"/>
      <c r="C85" s="115" t="s">
        <v>153</v>
      </c>
      <c r="D85" s="652"/>
    </row>
    <row r="86" spans="1:4" s="40" customFormat="1">
      <c r="A86" s="651"/>
      <c r="B86" s="649"/>
      <c r="C86" s="115" t="s">
        <v>157</v>
      </c>
      <c r="D86" s="652"/>
    </row>
    <row r="87" spans="1:4" s="40" customFormat="1">
      <c r="A87" s="651"/>
      <c r="B87" s="649"/>
      <c r="C87" s="115" t="s">
        <v>165</v>
      </c>
      <c r="D87" s="652"/>
    </row>
    <row r="88" spans="1:4" s="40" customFormat="1">
      <c r="A88" s="651"/>
      <c r="B88" s="649"/>
      <c r="C88" s="115" t="s">
        <v>158</v>
      </c>
      <c r="D88" s="652"/>
    </row>
    <row r="89" spans="1:4" s="40" customFormat="1">
      <c r="A89" s="651"/>
      <c r="B89" s="649"/>
      <c r="C89" s="115" t="s">
        <v>110</v>
      </c>
      <c r="D89" s="652"/>
    </row>
    <row r="90" spans="1:4" s="40" customFormat="1" ht="12.75" customHeight="1">
      <c r="A90" s="651"/>
      <c r="B90" s="653" t="s">
        <v>166</v>
      </c>
      <c r="C90" s="121" t="s">
        <v>174</v>
      </c>
      <c r="D90" s="654" t="s">
        <v>175</v>
      </c>
    </row>
    <row r="91" spans="1:4" s="40" customFormat="1" ht="27">
      <c r="A91" s="651"/>
      <c r="B91" s="653"/>
      <c r="C91" s="115" t="s">
        <v>132</v>
      </c>
      <c r="D91" s="654"/>
    </row>
    <row r="92" spans="1:4" s="40" customFormat="1">
      <c r="A92" s="651"/>
      <c r="B92" s="653"/>
      <c r="C92" s="115" t="s">
        <v>165</v>
      </c>
      <c r="D92" s="654"/>
    </row>
    <row r="93" spans="1:4" s="40" customFormat="1">
      <c r="A93" s="651"/>
      <c r="B93" s="653"/>
      <c r="C93" s="115" t="s">
        <v>137</v>
      </c>
      <c r="D93" s="654"/>
    </row>
    <row r="94" spans="1:4" s="40" customFormat="1">
      <c r="A94" s="651"/>
      <c r="B94" s="653"/>
      <c r="C94" s="116" t="s">
        <v>110</v>
      </c>
      <c r="D94" s="654"/>
    </row>
    <row r="95" spans="1:4" s="40" customFormat="1" ht="12.75" customHeight="1">
      <c r="A95" s="651" t="s">
        <v>176</v>
      </c>
      <c r="B95" s="641" t="s">
        <v>177</v>
      </c>
      <c r="C95" s="114" t="s">
        <v>174</v>
      </c>
      <c r="D95" s="642" t="s">
        <v>175</v>
      </c>
    </row>
    <row r="96" spans="1:4" s="40" customFormat="1" ht="27">
      <c r="A96" s="651"/>
      <c r="B96" s="641"/>
      <c r="C96" s="115" t="s">
        <v>132</v>
      </c>
      <c r="D96" s="642"/>
    </row>
    <row r="97" spans="1:4" s="40" customFormat="1">
      <c r="A97" s="651"/>
      <c r="B97" s="641"/>
      <c r="C97" s="115" t="s">
        <v>165</v>
      </c>
      <c r="D97" s="642"/>
    </row>
    <row r="98" spans="1:4" s="40" customFormat="1">
      <c r="A98" s="651"/>
      <c r="B98" s="641"/>
      <c r="C98" s="115" t="s">
        <v>137</v>
      </c>
      <c r="D98" s="642"/>
    </row>
    <row r="99" spans="1:4" s="40" customFormat="1">
      <c r="A99" s="651"/>
      <c r="B99" s="641"/>
      <c r="C99" s="115" t="s">
        <v>110</v>
      </c>
      <c r="D99" s="642"/>
    </row>
    <row r="100" spans="1:4" s="40" customFormat="1" ht="12.75" customHeight="1">
      <c r="A100" s="651"/>
      <c r="B100" s="649" t="s">
        <v>162</v>
      </c>
      <c r="C100" s="115" t="s">
        <v>163</v>
      </c>
      <c r="D100" s="655" t="s">
        <v>91</v>
      </c>
    </row>
    <row r="101" spans="1:4" s="40" customFormat="1" ht="27">
      <c r="A101" s="651"/>
      <c r="B101" s="649"/>
      <c r="C101" s="115" t="s">
        <v>153</v>
      </c>
      <c r="D101" s="655"/>
    </row>
    <row r="102" spans="1:4" s="40" customFormat="1">
      <c r="A102" s="651"/>
      <c r="B102" s="649"/>
      <c r="C102" s="115" t="s">
        <v>154</v>
      </c>
      <c r="D102" s="655"/>
    </row>
    <row r="103" spans="1:4" s="40" customFormat="1">
      <c r="A103" s="651"/>
      <c r="B103" s="649"/>
      <c r="C103" s="115" t="s">
        <v>110</v>
      </c>
      <c r="D103" s="655"/>
    </row>
    <row r="104" spans="1:4" s="40" customFormat="1" ht="15" customHeight="1">
      <c r="A104" s="651"/>
      <c r="B104" s="656" t="s">
        <v>178</v>
      </c>
      <c r="C104" s="115" t="s">
        <v>179</v>
      </c>
      <c r="D104" s="655"/>
    </row>
    <row r="105" spans="1:4" s="40" customFormat="1">
      <c r="A105" s="651"/>
      <c r="B105" s="656"/>
      <c r="C105" s="123" t="s">
        <v>180</v>
      </c>
      <c r="D105" s="655"/>
    </row>
    <row r="106" spans="1:4" s="40" customFormat="1" ht="15" customHeight="1">
      <c r="A106" s="651"/>
      <c r="B106" s="657" t="s">
        <v>181</v>
      </c>
      <c r="C106" s="115" t="s">
        <v>182</v>
      </c>
      <c r="D106" s="655"/>
    </row>
    <row r="107" spans="1:4" s="40" customFormat="1">
      <c r="A107" s="651"/>
      <c r="B107" s="657"/>
      <c r="C107" s="123" t="s">
        <v>157</v>
      </c>
      <c r="D107" s="655"/>
    </row>
    <row r="108" spans="1:4" s="40" customFormat="1">
      <c r="A108" s="651"/>
      <c r="B108" s="657"/>
      <c r="C108" s="116" t="s">
        <v>110</v>
      </c>
      <c r="D108" s="655"/>
    </row>
    <row r="109" spans="1:4" s="40" customFormat="1" ht="12.75" customHeight="1">
      <c r="A109" s="640" t="s">
        <v>183</v>
      </c>
      <c r="B109" s="641" t="s">
        <v>177</v>
      </c>
      <c r="C109" s="114" t="s">
        <v>184</v>
      </c>
      <c r="D109" s="648" t="s">
        <v>119</v>
      </c>
    </row>
    <row r="110" spans="1:4" s="40" customFormat="1" ht="27">
      <c r="A110" s="640"/>
      <c r="B110" s="641"/>
      <c r="C110" s="115" t="s">
        <v>132</v>
      </c>
      <c r="D110" s="648"/>
    </row>
    <row r="111" spans="1:4" s="40" customFormat="1">
      <c r="A111" s="640"/>
      <c r="B111" s="641"/>
      <c r="C111" s="115" t="s">
        <v>165</v>
      </c>
      <c r="D111" s="648"/>
    </row>
    <row r="112" spans="1:4" s="40" customFormat="1">
      <c r="A112" s="640"/>
      <c r="B112" s="641"/>
      <c r="C112" s="115" t="s">
        <v>137</v>
      </c>
      <c r="D112" s="648"/>
    </row>
    <row r="113" spans="1:4" s="40" customFormat="1">
      <c r="A113" s="640"/>
      <c r="B113" s="641"/>
      <c r="C113" s="115" t="s">
        <v>110</v>
      </c>
      <c r="D113" s="648"/>
    </row>
    <row r="114" spans="1:4" s="40" customFormat="1" ht="15" customHeight="1">
      <c r="A114" s="640"/>
      <c r="B114" s="643" t="s">
        <v>185</v>
      </c>
      <c r="C114" s="121" t="s">
        <v>186</v>
      </c>
      <c r="D114" s="648"/>
    </row>
    <row r="115" spans="1:4" s="40" customFormat="1">
      <c r="A115" s="640"/>
      <c r="B115" s="643"/>
      <c r="C115" s="115" t="s">
        <v>187</v>
      </c>
      <c r="D115" s="648"/>
    </row>
    <row r="116" spans="1:4" s="40" customFormat="1">
      <c r="A116" s="640"/>
      <c r="B116" s="643"/>
      <c r="C116" s="115" t="s">
        <v>165</v>
      </c>
      <c r="D116" s="648"/>
    </row>
    <row r="117" spans="1:4" s="40" customFormat="1">
      <c r="A117" s="640"/>
      <c r="B117" s="643"/>
      <c r="C117" s="116" t="s">
        <v>110</v>
      </c>
      <c r="D117" s="648"/>
    </row>
    <row r="118" spans="1:4" s="40" customFormat="1" ht="12.75" customHeight="1">
      <c r="A118" s="651" t="s">
        <v>188</v>
      </c>
      <c r="B118" s="641" t="s">
        <v>108</v>
      </c>
      <c r="C118" s="109" t="s">
        <v>109</v>
      </c>
      <c r="D118" s="652" t="s">
        <v>98</v>
      </c>
    </row>
    <row r="119" spans="1:4" s="40" customFormat="1">
      <c r="A119" s="651"/>
      <c r="B119" s="641"/>
      <c r="C119" s="110" t="s">
        <v>110</v>
      </c>
      <c r="D119" s="652"/>
    </row>
    <row r="120" spans="1:4" s="40" customFormat="1">
      <c r="A120" s="651"/>
      <c r="B120" s="641"/>
      <c r="C120" s="110" t="s">
        <v>111</v>
      </c>
      <c r="D120" s="652"/>
    </row>
    <row r="121" spans="1:4" s="40" customFormat="1" ht="12.75" customHeight="1">
      <c r="A121" s="651"/>
      <c r="B121" s="649" t="s">
        <v>112</v>
      </c>
      <c r="C121" s="110" t="s">
        <v>113</v>
      </c>
      <c r="D121" s="652"/>
    </row>
    <row r="122" spans="1:4" s="40" customFormat="1">
      <c r="A122" s="651"/>
      <c r="B122" s="649"/>
      <c r="C122" s="110" t="s">
        <v>110</v>
      </c>
      <c r="D122" s="652"/>
    </row>
    <row r="123" spans="1:4" s="40" customFormat="1">
      <c r="A123" s="651"/>
      <c r="B123" s="649"/>
      <c r="C123" s="110" t="s">
        <v>115</v>
      </c>
      <c r="D123" s="652"/>
    </row>
    <row r="124" spans="1:4" s="40" customFormat="1" ht="25.5" customHeight="1">
      <c r="A124" s="651"/>
      <c r="B124" s="656" t="s">
        <v>139</v>
      </c>
      <c r="C124" s="110" t="s">
        <v>189</v>
      </c>
      <c r="D124" s="652"/>
    </row>
    <row r="125" spans="1:4" s="40" customFormat="1">
      <c r="A125" s="651"/>
      <c r="B125" s="656"/>
      <c r="C125" s="110" t="s">
        <v>111</v>
      </c>
      <c r="D125" s="652"/>
    </row>
    <row r="126" spans="1:4" s="40" customFormat="1">
      <c r="A126" s="651"/>
      <c r="B126" s="656"/>
      <c r="C126" s="115" t="s">
        <v>110</v>
      </c>
      <c r="D126" s="652"/>
    </row>
    <row r="127" spans="1:4" s="40" customFormat="1" ht="15" customHeight="1">
      <c r="A127" s="651"/>
      <c r="B127" s="658" t="s">
        <v>80</v>
      </c>
      <c r="C127" s="115" t="s">
        <v>190</v>
      </c>
      <c r="D127" s="652"/>
    </row>
    <row r="128" spans="1:4" s="40" customFormat="1">
      <c r="A128" s="651"/>
      <c r="B128" s="658"/>
      <c r="C128" s="115" t="s">
        <v>191</v>
      </c>
      <c r="D128" s="652"/>
    </row>
    <row r="129" spans="1:4" s="40" customFormat="1">
      <c r="A129" s="651"/>
      <c r="B129" s="110" t="s">
        <v>96</v>
      </c>
      <c r="C129" s="110" t="s">
        <v>97</v>
      </c>
      <c r="D129" s="652"/>
    </row>
    <row r="130" spans="1:4" s="40" customFormat="1" ht="76.5" customHeight="1">
      <c r="A130" s="651"/>
      <c r="B130" s="657" t="s">
        <v>99</v>
      </c>
      <c r="C130" s="110" t="s">
        <v>192</v>
      </c>
      <c r="D130" s="655" t="s">
        <v>193</v>
      </c>
    </row>
    <row r="131" spans="1:4" s="40" customFormat="1">
      <c r="A131" s="651"/>
      <c r="B131" s="657"/>
      <c r="C131" s="111" t="s">
        <v>194</v>
      </c>
      <c r="D131" s="655"/>
    </row>
    <row r="132" spans="1:4" s="40" customFormat="1" ht="102" customHeight="1">
      <c r="A132" s="640" t="s">
        <v>195</v>
      </c>
      <c r="B132" s="641" t="s">
        <v>74</v>
      </c>
      <c r="C132" s="114" t="s">
        <v>196</v>
      </c>
      <c r="D132" s="642" t="s">
        <v>76</v>
      </c>
    </row>
    <row r="133" spans="1:4" s="40" customFormat="1">
      <c r="A133" s="640"/>
      <c r="B133" s="641"/>
      <c r="C133" s="115" t="s">
        <v>110</v>
      </c>
      <c r="D133" s="642"/>
    </row>
    <row r="134" spans="1:4" s="40" customFormat="1" ht="12.75" customHeight="1">
      <c r="A134" s="640"/>
      <c r="B134" s="643" t="s">
        <v>112</v>
      </c>
      <c r="C134" s="110" t="s">
        <v>113</v>
      </c>
      <c r="D134" s="655" t="s">
        <v>197</v>
      </c>
    </row>
    <row r="135" spans="1:4" s="40" customFormat="1">
      <c r="A135" s="640"/>
      <c r="B135" s="643"/>
      <c r="C135" s="110" t="s">
        <v>115</v>
      </c>
      <c r="D135" s="655"/>
    </row>
    <row r="136" spans="1:4" s="40" customFormat="1">
      <c r="A136" s="640"/>
      <c r="B136" s="643"/>
      <c r="C136" s="111" t="s">
        <v>110</v>
      </c>
      <c r="D136" s="655"/>
    </row>
    <row r="137" spans="1:4" s="40" customFormat="1" ht="12.75" customHeight="1">
      <c r="A137" s="640" t="s">
        <v>198</v>
      </c>
      <c r="B137" s="645" t="s">
        <v>199</v>
      </c>
      <c r="C137" s="109" t="s">
        <v>200</v>
      </c>
      <c r="D137" s="648" t="s">
        <v>91</v>
      </c>
    </row>
    <row r="138" spans="1:4" s="40" customFormat="1">
      <c r="A138" s="640"/>
      <c r="B138" s="645"/>
      <c r="C138" s="111" t="s">
        <v>110</v>
      </c>
      <c r="D138" s="648"/>
    </row>
    <row r="139" spans="1:4" s="40" customFormat="1">
      <c r="A139" s="659" t="s">
        <v>60</v>
      </c>
      <c r="B139" s="659"/>
      <c r="C139" s="659"/>
      <c r="D139" s="659"/>
    </row>
    <row r="140" spans="1:4" s="40" customFormat="1">
      <c r="A140" s="125" t="s">
        <v>201</v>
      </c>
      <c r="B140" s="45"/>
      <c r="C140" s="45"/>
      <c r="D140" s="101"/>
    </row>
    <row r="141" spans="1:4" s="40" customFormat="1">
      <c r="A141" s="126" t="s">
        <v>202</v>
      </c>
      <c r="D141" s="103"/>
    </row>
    <row r="142" spans="1:4" s="40" customFormat="1">
      <c r="A142" s="126" t="s">
        <v>203</v>
      </c>
      <c r="D142" s="103"/>
    </row>
    <row r="143" spans="1:4" s="40" customFormat="1">
      <c r="A143" s="126" t="s">
        <v>204</v>
      </c>
      <c r="D143" s="103"/>
    </row>
    <row r="144" spans="1:4" s="40" customFormat="1">
      <c r="A144" s="126" t="s">
        <v>205</v>
      </c>
      <c r="D144" s="103"/>
    </row>
    <row r="145" spans="1:4" s="40" customFormat="1">
      <c r="A145" s="126" t="s">
        <v>206</v>
      </c>
      <c r="D145" s="103"/>
    </row>
    <row r="146" spans="1:4" s="40" customFormat="1" ht="12.75" customHeight="1">
      <c r="A146" s="660" t="s">
        <v>207</v>
      </c>
      <c r="B146" s="660"/>
      <c r="C146" s="660"/>
      <c r="D146" s="660"/>
    </row>
    <row r="147" spans="1:4" s="40" customFormat="1">
      <c r="A147" s="126" t="s">
        <v>208</v>
      </c>
      <c r="D147" s="103"/>
    </row>
    <row r="148" spans="1:4" s="40" customFormat="1">
      <c r="A148" s="127" t="s">
        <v>209</v>
      </c>
      <c r="B148" s="128"/>
      <c r="C148" s="128"/>
      <c r="D148" s="129"/>
    </row>
  </sheetData>
  <mergeCells count="82">
    <mergeCell ref="A137:A138"/>
    <mergeCell ref="B137:B138"/>
    <mergeCell ref="D137:D138"/>
    <mergeCell ref="A139:D139"/>
    <mergeCell ref="A146:D146"/>
    <mergeCell ref="A132:A136"/>
    <mergeCell ref="B132:B133"/>
    <mergeCell ref="D132:D133"/>
    <mergeCell ref="B134:B136"/>
    <mergeCell ref="D134:D136"/>
    <mergeCell ref="A109:A117"/>
    <mergeCell ref="B109:B113"/>
    <mergeCell ref="D109:D117"/>
    <mergeCell ref="B114:B117"/>
    <mergeCell ref="A118:A131"/>
    <mergeCell ref="B118:B120"/>
    <mergeCell ref="D118:D129"/>
    <mergeCell ref="B121:B123"/>
    <mergeCell ref="B124:B126"/>
    <mergeCell ref="B127:B128"/>
    <mergeCell ref="B130:B131"/>
    <mergeCell ref="D130:D131"/>
    <mergeCell ref="A95:A108"/>
    <mergeCell ref="B95:B99"/>
    <mergeCell ref="D95:D99"/>
    <mergeCell ref="B100:B103"/>
    <mergeCell ref="D100:D108"/>
    <mergeCell ref="B104:B105"/>
    <mergeCell ref="B106:B108"/>
    <mergeCell ref="A77:A79"/>
    <mergeCell ref="B78:B79"/>
    <mergeCell ref="D78:D79"/>
    <mergeCell ref="A80:A94"/>
    <mergeCell ref="B80:B83"/>
    <mergeCell ref="D80:D89"/>
    <mergeCell ref="B84:B89"/>
    <mergeCell ref="B90:B94"/>
    <mergeCell ref="D90:D94"/>
    <mergeCell ref="A62:A76"/>
    <mergeCell ref="B62:B65"/>
    <mergeCell ref="D62:D65"/>
    <mergeCell ref="B66:B71"/>
    <mergeCell ref="D66:D71"/>
    <mergeCell ref="B72:B76"/>
    <mergeCell ref="D72:D76"/>
    <mergeCell ref="A50:A61"/>
    <mergeCell ref="B50:B53"/>
    <mergeCell ref="D50:D53"/>
    <mergeCell ref="B54:B59"/>
    <mergeCell ref="D54:D59"/>
    <mergeCell ref="B60:B61"/>
    <mergeCell ref="D60:D61"/>
    <mergeCell ref="A40:A49"/>
    <mergeCell ref="B40:B44"/>
    <mergeCell ref="D40:D44"/>
    <mergeCell ref="B45:B49"/>
    <mergeCell ref="D45:D49"/>
    <mergeCell ref="A28:A29"/>
    <mergeCell ref="B28:B29"/>
    <mergeCell ref="D28:D29"/>
    <mergeCell ref="A30:A39"/>
    <mergeCell ref="B30:B34"/>
    <mergeCell ref="D30:D34"/>
    <mergeCell ref="B35:B39"/>
    <mergeCell ref="D35:D39"/>
    <mergeCell ref="A18:A27"/>
    <mergeCell ref="B18:B22"/>
    <mergeCell ref="D18:D22"/>
    <mergeCell ref="B23:B27"/>
    <mergeCell ref="D23:D27"/>
    <mergeCell ref="A12:A13"/>
    <mergeCell ref="B12:B13"/>
    <mergeCell ref="D12:D13"/>
    <mergeCell ref="A14:A15"/>
    <mergeCell ref="B14:B15"/>
    <mergeCell ref="D14:D15"/>
    <mergeCell ref="A4:D4"/>
    <mergeCell ref="A6:A11"/>
    <mergeCell ref="B6:B8"/>
    <mergeCell ref="D6:D8"/>
    <mergeCell ref="B9:B11"/>
    <mergeCell ref="D9:D11"/>
  </mergeCells>
  <pageMargins left="0.51180555555555496" right="0.51180555555555496" top="0.78749999999999998" bottom="0.78749999999999998" header="0.51180555555555496" footer="0.51180555555555496"/>
  <pageSetup paperSize="9" scale="75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6633"/>
  </sheetPr>
  <dimension ref="A1:H123"/>
  <sheetViews>
    <sheetView zoomScaleNormal="100" workbookViewId="0">
      <selection activeCell="B6" sqref="B6"/>
    </sheetView>
  </sheetViews>
  <sheetFormatPr defaultColWidth="9" defaultRowHeight="15"/>
  <cols>
    <col min="1" max="1" width="13.28515625" style="40" customWidth="1"/>
    <col min="2" max="2" width="5.28515625" style="40" customWidth="1"/>
    <col min="3" max="3" width="21.28515625" style="40" customWidth="1"/>
    <col min="4" max="4" width="13.28515625" style="40" hidden="1" customWidth="1"/>
    <col min="5" max="5" width="10.5703125" style="40" hidden="1" customWidth="1"/>
    <col min="6" max="6" width="65.28515625" style="40" customWidth="1"/>
    <col min="7" max="7" width="18.7109375" style="40" customWidth="1"/>
    <col min="8" max="8" width="18.28515625" style="40" customWidth="1"/>
  </cols>
  <sheetData>
    <row r="1" spans="1:8" s="40" customFormat="1">
      <c r="A1" s="43" t="s">
        <v>102</v>
      </c>
      <c r="B1" s="44"/>
      <c r="C1" s="44"/>
      <c r="D1" s="45"/>
      <c r="E1" s="45"/>
      <c r="F1" s="44"/>
      <c r="G1" s="130"/>
      <c r="H1" s="130"/>
    </row>
    <row r="2" spans="1:8" s="40" customFormat="1">
      <c r="A2" s="48" t="s">
        <v>1</v>
      </c>
      <c r="B2" s="41"/>
      <c r="C2" s="41"/>
      <c r="F2" s="41"/>
      <c r="G2" s="131"/>
      <c r="H2" s="131"/>
    </row>
    <row r="3" spans="1:8" s="40" customFormat="1">
      <c r="A3" s="48" t="s">
        <v>210</v>
      </c>
      <c r="B3" s="41"/>
      <c r="C3" s="41"/>
      <c r="F3" s="41"/>
      <c r="G3" s="131"/>
      <c r="H3" s="131"/>
    </row>
    <row r="4" spans="1:8" s="40" customFormat="1" ht="22.5">
      <c r="A4" s="661" t="s">
        <v>211</v>
      </c>
      <c r="B4" s="661"/>
      <c r="C4" s="661"/>
      <c r="D4" s="661"/>
      <c r="E4" s="661"/>
      <c r="F4" s="661"/>
      <c r="G4" s="661"/>
      <c r="H4" s="661"/>
    </row>
    <row r="5" spans="1:8" s="40" customFormat="1" ht="22.5">
      <c r="A5" s="662" t="s">
        <v>212</v>
      </c>
      <c r="B5" s="662"/>
      <c r="C5" s="662"/>
      <c r="D5" s="662"/>
      <c r="E5" s="662"/>
      <c r="F5" s="662"/>
      <c r="G5" s="662"/>
      <c r="H5" s="662"/>
    </row>
    <row r="6" spans="1:8" s="40" customFormat="1" ht="25.5">
      <c r="A6" s="132" t="s">
        <v>66</v>
      </c>
      <c r="B6" s="663" t="s">
        <v>8</v>
      </c>
      <c r="C6" s="663"/>
      <c r="D6" s="134" t="s">
        <v>213</v>
      </c>
      <c r="E6" s="133" t="s">
        <v>67</v>
      </c>
      <c r="F6" s="133" t="s">
        <v>105</v>
      </c>
      <c r="G6" s="135" t="s">
        <v>214</v>
      </c>
      <c r="H6" s="136" t="s">
        <v>106</v>
      </c>
    </row>
    <row r="7" spans="1:8" s="40" customFormat="1" ht="15" customHeight="1">
      <c r="A7" s="664" t="s">
        <v>108</v>
      </c>
      <c r="B7" s="665">
        <v>2</v>
      </c>
      <c r="C7" s="137" t="s">
        <v>215</v>
      </c>
      <c r="D7" s="138">
        <v>166</v>
      </c>
      <c r="E7" s="665">
        <f>SUM(D7:D9)</f>
        <v>170</v>
      </c>
      <c r="F7" s="139" t="s">
        <v>109</v>
      </c>
      <c r="G7" s="665"/>
      <c r="H7" s="654" t="s">
        <v>76</v>
      </c>
    </row>
    <row r="8" spans="1:8" s="40" customFormat="1">
      <c r="A8" s="664"/>
      <c r="B8" s="665"/>
      <c r="C8" s="137" t="s">
        <v>216</v>
      </c>
      <c r="D8" s="138">
        <v>2</v>
      </c>
      <c r="E8" s="665"/>
      <c r="F8" s="110" t="s">
        <v>110</v>
      </c>
      <c r="G8" s="665"/>
      <c r="H8" s="654"/>
    </row>
    <row r="9" spans="1:8" s="40" customFormat="1">
      <c r="A9" s="664"/>
      <c r="B9" s="665"/>
      <c r="C9" s="140" t="s">
        <v>123</v>
      </c>
      <c r="D9" s="120">
        <v>2</v>
      </c>
      <c r="E9" s="665"/>
      <c r="F9" s="111" t="s">
        <v>111</v>
      </c>
      <c r="G9" s="665"/>
      <c r="H9" s="654"/>
    </row>
    <row r="10" spans="1:8" s="40" customFormat="1" ht="15" customHeight="1">
      <c r="A10" s="666" t="s">
        <v>108</v>
      </c>
      <c r="B10" s="667">
        <v>2</v>
      </c>
      <c r="C10" s="143" t="s">
        <v>188</v>
      </c>
      <c r="D10" s="144">
        <v>8</v>
      </c>
      <c r="E10" s="667">
        <f>SUM(D10:D12)</f>
        <v>8</v>
      </c>
      <c r="F10" s="109" t="s">
        <v>109</v>
      </c>
      <c r="G10" s="667"/>
      <c r="H10" s="646" t="s">
        <v>175</v>
      </c>
    </row>
    <row r="11" spans="1:8" s="40" customFormat="1">
      <c r="A11" s="666"/>
      <c r="B11" s="667"/>
      <c r="C11" s="137"/>
      <c r="D11" s="138"/>
      <c r="E11" s="667"/>
      <c r="F11" s="110" t="s">
        <v>110</v>
      </c>
      <c r="G11" s="667"/>
      <c r="H11" s="646"/>
    </row>
    <row r="12" spans="1:8" s="40" customFormat="1">
      <c r="A12" s="666"/>
      <c r="B12" s="667"/>
      <c r="C12" s="140"/>
      <c r="D12" s="120"/>
      <c r="E12" s="667"/>
      <c r="F12" s="111" t="s">
        <v>111</v>
      </c>
      <c r="G12" s="667"/>
      <c r="H12" s="646"/>
    </row>
    <row r="13" spans="1:8" s="40" customFormat="1" ht="15" customHeight="1">
      <c r="A13" s="666" t="s">
        <v>112</v>
      </c>
      <c r="B13" s="667">
        <v>3</v>
      </c>
      <c r="C13" s="144" t="s">
        <v>215</v>
      </c>
      <c r="D13" s="144">
        <v>249</v>
      </c>
      <c r="E13" s="667">
        <f>SUM(D13:D15)</f>
        <v>255</v>
      </c>
      <c r="F13" s="109" t="s">
        <v>217</v>
      </c>
      <c r="G13" s="667"/>
      <c r="H13" s="646" t="s">
        <v>114</v>
      </c>
    </row>
    <row r="14" spans="1:8" s="40" customFormat="1">
      <c r="A14" s="666"/>
      <c r="B14" s="667"/>
      <c r="C14" s="138" t="s">
        <v>216</v>
      </c>
      <c r="D14" s="138">
        <v>3</v>
      </c>
      <c r="E14" s="667"/>
      <c r="F14" s="110" t="s">
        <v>110</v>
      </c>
      <c r="G14" s="667"/>
      <c r="H14" s="646"/>
    </row>
    <row r="15" spans="1:8" s="40" customFormat="1">
      <c r="A15" s="666"/>
      <c r="B15" s="667"/>
      <c r="C15" s="120" t="s">
        <v>123</v>
      </c>
      <c r="D15" s="120">
        <v>3</v>
      </c>
      <c r="E15" s="667"/>
      <c r="F15" s="111" t="s">
        <v>115</v>
      </c>
      <c r="G15" s="667"/>
      <c r="H15" s="646"/>
    </row>
    <row r="16" spans="1:8" s="40" customFormat="1" ht="15" customHeight="1">
      <c r="A16" s="666" t="s">
        <v>112</v>
      </c>
      <c r="B16" s="667">
        <v>3</v>
      </c>
      <c r="C16" s="144" t="s">
        <v>188</v>
      </c>
      <c r="D16" s="144">
        <v>12</v>
      </c>
      <c r="E16" s="667">
        <f>SUM(D16:D18)</f>
        <v>12</v>
      </c>
      <c r="F16" s="109" t="s">
        <v>218</v>
      </c>
      <c r="G16" s="667"/>
      <c r="H16" s="646" t="s">
        <v>175</v>
      </c>
    </row>
    <row r="17" spans="1:8" s="40" customFormat="1">
      <c r="A17" s="666"/>
      <c r="B17" s="667"/>
      <c r="C17" s="138"/>
      <c r="D17" s="138"/>
      <c r="E17" s="667"/>
      <c r="F17" s="110" t="s">
        <v>110</v>
      </c>
      <c r="G17" s="667"/>
      <c r="H17" s="646"/>
    </row>
    <row r="18" spans="1:8" s="40" customFormat="1">
      <c r="A18" s="666"/>
      <c r="B18" s="667"/>
      <c r="C18" s="120"/>
      <c r="D18" s="120"/>
      <c r="E18" s="667"/>
      <c r="F18" s="111" t="s">
        <v>115</v>
      </c>
      <c r="G18" s="667"/>
      <c r="H18" s="646"/>
    </row>
    <row r="19" spans="1:8" s="40" customFormat="1">
      <c r="A19" s="141" t="s">
        <v>96</v>
      </c>
      <c r="B19" s="142">
        <v>1</v>
      </c>
      <c r="C19" s="112" t="s">
        <v>216</v>
      </c>
      <c r="D19" s="112">
        <v>1</v>
      </c>
      <c r="E19" s="112">
        <f>D19</f>
        <v>1</v>
      </c>
      <c r="F19" s="112" t="s">
        <v>97</v>
      </c>
      <c r="G19" s="667"/>
      <c r="H19" s="113" t="s">
        <v>91</v>
      </c>
    </row>
    <row r="20" spans="1:8" s="40" customFormat="1">
      <c r="A20" s="141" t="s">
        <v>96</v>
      </c>
      <c r="B20" s="142">
        <v>1</v>
      </c>
      <c r="C20" s="112" t="s">
        <v>188</v>
      </c>
      <c r="D20" s="112">
        <v>4</v>
      </c>
      <c r="E20" s="112">
        <f>D20</f>
        <v>4</v>
      </c>
      <c r="F20" s="112" t="s">
        <v>219</v>
      </c>
      <c r="G20" s="667"/>
      <c r="H20" s="113" t="s">
        <v>98</v>
      </c>
    </row>
    <row r="21" spans="1:8" s="40" customFormat="1" ht="25.5" customHeight="1">
      <c r="A21" s="666" t="s">
        <v>129</v>
      </c>
      <c r="B21" s="667">
        <v>1</v>
      </c>
      <c r="C21" s="144" t="s">
        <v>220</v>
      </c>
      <c r="D21" s="144">
        <v>17</v>
      </c>
      <c r="E21" s="667">
        <f>SUM(D21:D25)</f>
        <v>17</v>
      </c>
      <c r="F21" s="114" t="s">
        <v>221</v>
      </c>
      <c r="G21" s="668"/>
      <c r="H21" s="646" t="s">
        <v>148</v>
      </c>
    </row>
    <row r="22" spans="1:8" s="40" customFormat="1" ht="27">
      <c r="A22" s="666"/>
      <c r="B22" s="667"/>
      <c r="C22" s="138" t="s">
        <v>222</v>
      </c>
      <c r="D22" s="138"/>
      <c r="E22" s="667"/>
      <c r="F22" s="115" t="s">
        <v>223</v>
      </c>
      <c r="G22" s="668"/>
      <c r="H22" s="646"/>
    </row>
    <row r="23" spans="1:8" s="40" customFormat="1">
      <c r="A23" s="666"/>
      <c r="B23" s="667"/>
      <c r="C23" s="138"/>
      <c r="D23" s="138"/>
      <c r="E23" s="667"/>
      <c r="F23" s="115" t="s">
        <v>133</v>
      </c>
      <c r="G23" s="668"/>
      <c r="H23" s="646"/>
    </row>
    <row r="24" spans="1:8" s="40" customFormat="1">
      <c r="A24" s="666"/>
      <c r="B24" s="667"/>
      <c r="C24" s="138"/>
      <c r="D24" s="138"/>
      <c r="E24" s="667"/>
      <c r="F24" s="115" t="s">
        <v>224</v>
      </c>
      <c r="G24" s="668"/>
      <c r="H24" s="646"/>
    </row>
    <row r="25" spans="1:8" s="40" customFormat="1">
      <c r="A25" s="666"/>
      <c r="B25" s="667"/>
      <c r="C25" s="120"/>
      <c r="D25" s="120"/>
      <c r="E25" s="667"/>
      <c r="F25" s="116" t="s">
        <v>110</v>
      </c>
      <c r="G25" s="668"/>
      <c r="H25" s="646"/>
    </row>
    <row r="26" spans="1:8" s="40" customFormat="1" ht="25.5" customHeight="1">
      <c r="A26" s="669" t="s">
        <v>135</v>
      </c>
      <c r="B26" s="667">
        <v>2</v>
      </c>
      <c r="C26" s="144" t="s">
        <v>220</v>
      </c>
      <c r="D26" s="138">
        <v>34</v>
      </c>
      <c r="E26" s="670">
        <f>SUM(D26:D30)</f>
        <v>34</v>
      </c>
      <c r="F26" s="121" t="s">
        <v>225</v>
      </c>
      <c r="G26" s="668"/>
      <c r="H26" s="671" t="s">
        <v>148</v>
      </c>
    </row>
    <row r="27" spans="1:8" s="40" customFormat="1" ht="27">
      <c r="A27" s="669"/>
      <c r="B27" s="667"/>
      <c r="C27" s="138" t="s">
        <v>222</v>
      </c>
      <c r="D27" s="138"/>
      <c r="E27" s="670"/>
      <c r="F27" s="115" t="s">
        <v>223</v>
      </c>
      <c r="G27" s="668"/>
      <c r="H27" s="671"/>
    </row>
    <row r="28" spans="1:8" s="40" customFormat="1">
      <c r="A28" s="669"/>
      <c r="B28" s="667"/>
      <c r="C28" s="138"/>
      <c r="D28" s="138"/>
      <c r="E28" s="670"/>
      <c r="F28" s="115" t="s">
        <v>133</v>
      </c>
      <c r="G28" s="668"/>
      <c r="H28" s="671"/>
    </row>
    <row r="29" spans="1:8" s="40" customFormat="1">
      <c r="A29" s="669"/>
      <c r="B29" s="667"/>
      <c r="C29" s="138"/>
      <c r="D29" s="138"/>
      <c r="E29" s="670"/>
      <c r="F29" s="115" t="s">
        <v>137</v>
      </c>
      <c r="G29" s="668"/>
      <c r="H29" s="671"/>
    </row>
    <row r="30" spans="1:8" s="40" customFormat="1">
      <c r="A30" s="669"/>
      <c r="B30" s="667"/>
      <c r="C30" s="138"/>
      <c r="D30" s="138"/>
      <c r="E30" s="670"/>
      <c r="F30" s="146" t="s">
        <v>110</v>
      </c>
      <c r="G30" s="668"/>
      <c r="H30" s="671"/>
    </row>
    <row r="31" spans="1:8" s="40" customFormat="1" ht="25.5" customHeight="1">
      <c r="A31" s="666" t="s">
        <v>135</v>
      </c>
      <c r="B31" s="667">
        <v>3</v>
      </c>
      <c r="C31" s="144" t="s">
        <v>226</v>
      </c>
      <c r="D31" s="144">
        <v>126</v>
      </c>
      <c r="E31" s="667">
        <f>SUM(D31:D35)</f>
        <v>126</v>
      </c>
      <c r="F31" s="114" t="s">
        <v>227</v>
      </c>
      <c r="G31" s="668"/>
      <c r="H31" s="646" t="s">
        <v>144</v>
      </c>
    </row>
    <row r="32" spans="1:8" s="40" customFormat="1" ht="27">
      <c r="A32" s="666"/>
      <c r="B32" s="667"/>
      <c r="C32" s="138" t="s">
        <v>228</v>
      </c>
      <c r="D32" s="138"/>
      <c r="E32" s="667"/>
      <c r="F32" s="115" t="s">
        <v>223</v>
      </c>
      <c r="G32" s="668"/>
      <c r="H32" s="646"/>
    </row>
    <row r="33" spans="1:8" s="40" customFormat="1">
      <c r="A33" s="666"/>
      <c r="B33" s="667"/>
      <c r="C33" s="138" t="s">
        <v>229</v>
      </c>
      <c r="D33" s="138"/>
      <c r="E33" s="667"/>
      <c r="F33" s="115" t="s">
        <v>133</v>
      </c>
      <c r="G33" s="668"/>
      <c r="H33" s="646"/>
    </row>
    <row r="34" spans="1:8" s="40" customFormat="1">
      <c r="A34" s="666"/>
      <c r="B34" s="667"/>
      <c r="C34" s="138"/>
      <c r="D34" s="138"/>
      <c r="E34" s="667"/>
      <c r="F34" s="115" t="s">
        <v>137</v>
      </c>
      <c r="G34" s="668"/>
      <c r="H34" s="646"/>
    </row>
    <row r="35" spans="1:8" s="40" customFormat="1">
      <c r="A35" s="666"/>
      <c r="B35" s="667"/>
      <c r="C35" s="120"/>
      <c r="D35" s="120"/>
      <c r="E35" s="667"/>
      <c r="F35" s="116" t="s">
        <v>110</v>
      </c>
      <c r="G35" s="668"/>
      <c r="H35" s="646"/>
    </row>
    <row r="36" spans="1:8" s="40" customFormat="1" ht="25.5" customHeight="1">
      <c r="A36" s="666" t="s">
        <v>135</v>
      </c>
      <c r="B36" s="667">
        <v>3</v>
      </c>
      <c r="C36" s="144" t="s">
        <v>230</v>
      </c>
      <c r="D36" s="144">
        <v>9</v>
      </c>
      <c r="E36" s="667">
        <f>SUM(D36:D40)</f>
        <v>9</v>
      </c>
      <c r="F36" s="114" t="s">
        <v>136</v>
      </c>
      <c r="G36" s="668"/>
      <c r="H36" s="646" t="s">
        <v>131</v>
      </c>
    </row>
    <row r="37" spans="1:8" s="40" customFormat="1" ht="27">
      <c r="A37" s="666"/>
      <c r="B37" s="667"/>
      <c r="C37" s="138"/>
      <c r="D37" s="138"/>
      <c r="E37" s="667"/>
      <c r="F37" s="115" t="s">
        <v>223</v>
      </c>
      <c r="G37" s="668"/>
      <c r="H37" s="646"/>
    </row>
    <row r="38" spans="1:8" s="40" customFormat="1">
      <c r="A38" s="666"/>
      <c r="B38" s="667"/>
      <c r="C38" s="138"/>
      <c r="D38" s="138"/>
      <c r="E38" s="667"/>
      <c r="F38" s="115" t="s">
        <v>133</v>
      </c>
      <c r="G38" s="668"/>
      <c r="H38" s="646"/>
    </row>
    <row r="39" spans="1:8" s="40" customFormat="1">
      <c r="A39" s="666"/>
      <c r="B39" s="667"/>
      <c r="C39" s="138"/>
      <c r="D39" s="138"/>
      <c r="E39" s="667"/>
      <c r="F39" s="115" t="s">
        <v>137</v>
      </c>
      <c r="G39" s="668"/>
      <c r="H39" s="646"/>
    </row>
    <row r="40" spans="1:8" s="40" customFormat="1">
      <c r="A40" s="666"/>
      <c r="B40" s="667"/>
      <c r="C40" s="120"/>
      <c r="D40" s="120"/>
      <c r="E40" s="667"/>
      <c r="F40" s="116" t="s">
        <v>110</v>
      </c>
      <c r="G40" s="668"/>
      <c r="H40" s="646"/>
    </row>
    <row r="41" spans="1:8" s="40" customFormat="1" ht="25.5" customHeight="1">
      <c r="A41" s="666" t="s">
        <v>151</v>
      </c>
      <c r="B41" s="667">
        <v>2</v>
      </c>
      <c r="C41" s="144" t="s">
        <v>230</v>
      </c>
      <c r="D41" s="144">
        <v>6</v>
      </c>
      <c r="E41" s="667">
        <f>SUM(D41:D44)</f>
        <v>124</v>
      </c>
      <c r="F41" s="114" t="s">
        <v>152</v>
      </c>
      <c r="G41" s="668"/>
      <c r="H41" s="646" t="s">
        <v>76</v>
      </c>
    </row>
    <row r="42" spans="1:8" s="40" customFormat="1" ht="27">
      <c r="A42" s="666"/>
      <c r="B42" s="667"/>
      <c r="C42" s="138" t="s">
        <v>231</v>
      </c>
      <c r="D42" s="138">
        <v>34</v>
      </c>
      <c r="E42" s="667"/>
      <c r="F42" s="115" t="s">
        <v>153</v>
      </c>
      <c r="G42" s="668"/>
      <c r="H42" s="646"/>
    </row>
    <row r="43" spans="1:8" s="40" customFormat="1">
      <c r="A43" s="666"/>
      <c r="B43" s="667"/>
      <c r="C43" s="138" t="s">
        <v>232</v>
      </c>
      <c r="D43" s="138">
        <v>84</v>
      </c>
      <c r="E43" s="667"/>
      <c r="F43" s="115" t="s">
        <v>233</v>
      </c>
      <c r="G43" s="668"/>
      <c r="H43" s="646"/>
    </row>
    <row r="44" spans="1:8" s="40" customFormat="1">
      <c r="A44" s="666"/>
      <c r="B44" s="667"/>
      <c r="C44" s="120" t="s">
        <v>229</v>
      </c>
      <c r="D44" s="120"/>
      <c r="E44" s="667"/>
      <c r="F44" s="116" t="s">
        <v>110</v>
      </c>
      <c r="G44" s="668"/>
      <c r="H44" s="646"/>
    </row>
    <row r="45" spans="1:8" s="40" customFormat="1" ht="15" customHeight="1">
      <c r="A45" s="666" t="s">
        <v>155</v>
      </c>
      <c r="B45" s="667">
        <v>1</v>
      </c>
      <c r="C45" s="144" t="s">
        <v>230</v>
      </c>
      <c r="D45" s="144">
        <v>3</v>
      </c>
      <c r="E45" s="667">
        <f>SUM(D45:D50)</f>
        <v>62</v>
      </c>
      <c r="F45" s="114" t="s">
        <v>156</v>
      </c>
      <c r="G45" s="668"/>
      <c r="H45" s="646" t="s">
        <v>76</v>
      </c>
    </row>
    <row r="46" spans="1:8" s="40" customFormat="1" ht="27">
      <c r="A46" s="666"/>
      <c r="B46" s="667"/>
      <c r="C46" s="138" t="s">
        <v>231</v>
      </c>
      <c r="D46" s="138">
        <v>17</v>
      </c>
      <c r="E46" s="667"/>
      <c r="F46" s="115" t="s">
        <v>153</v>
      </c>
      <c r="G46" s="668"/>
      <c r="H46" s="646"/>
    </row>
    <row r="47" spans="1:8" s="40" customFormat="1">
      <c r="A47" s="666"/>
      <c r="B47" s="667"/>
      <c r="C47" s="138" t="s">
        <v>232</v>
      </c>
      <c r="D47" s="138">
        <v>42</v>
      </c>
      <c r="E47" s="667"/>
      <c r="F47" s="115" t="s">
        <v>157</v>
      </c>
      <c r="G47" s="668"/>
      <c r="H47" s="646"/>
    </row>
    <row r="48" spans="1:8" s="40" customFormat="1">
      <c r="A48" s="666"/>
      <c r="B48" s="667"/>
      <c r="C48" s="138" t="s">
        <v>229</v>
      </c>
      <c r="D48" s="138"/>
      <c r="E48" s="667"/>
      <c r="F48" s="115" t="s">
        <v>133</v>
      </c>
      <c r="G48" s="668"/>
      <c r="H48" s="646"/>
    </row>
    <row r="49" spans="1:8" s="40" customFormat="1">
      <c r="A49" s="666"/>
      <c r="B49" s="667"/>
      <c r="C49" s="138"/>
      <c r="D49" s="138"/>
      <c r="E49" s="667"/>
      <c r="F49" s="115" t="s">
        <v>158</v>
      </c>
      <c r="G49" s="668"/>
      <c r="H49" s="646"/>
    </row>
    <row r="50" spans="1:8" s="40" customFormat="1">
      <c r="A50" s="666"/>
      <c r="B50" s="667"/>
      <c r="C50" s="120"/>
      <c r="D50" s="120"/>
      <c r="E50" s="667"/>
      <c r="F50" s="116" t="s">
        <v>110</v>
      </c>
      <c r="G50" s="668"/>
      <c r="H50" s="646"/>
    </row>
    <row r="51" spans="1:8" s="40" customFormat="1" ht="25.5" customHeight="1">
      <c r="A51" s="666" t="s">
        <v>162</v>
      </c>
      <c r="B51" s="667">
        <v>2</v>
      </c>
      <c r="C51" s="144" t="s">
        <v>234</v>
      </c>
      <c r="D51" s="144">
        <v>2</v>
      </c>
      <c r="E51" s="667">
        <f>SUM(D51:D54)</f>
        <v>2</v>
      </c>
      <c r="F51" s="114" t="s">
        <v>163</v>
      </c>
      <c r="G51" s="668"/>
      <c r="H51" s="646" t="s">
        <v>76</v>
      </c>
    </row>
    <row r="52" spans="1:8" s="40" customFormat="1" ht="27">
      <c r="A52" s="666"/>
      <c r="B52" s="667"/>
      <c r="C52" s="138"/>
      <c r="D52" s="138"/>
      <c r="E52" s="667"/>
      <c r="F52" s="115" t="s">
        <v>153</v>
      </c>
      <c r="G52" s="668"/>
      <c r="H52" s="646"/>
    </row>
    <row r="53" spans="1:8" s="40" customFormat="1">
      <c r="A53" s="666"/>
      <c r="B53" s="667"/>
      <c r="C53" s="138"/>
      <c r="D53" s="138"/>
      <c r="E53" s="667"/>
      <c r="F53" s="115" t="s">
        <v>233</v>
      </c>
      <c r="G53" s="668"/>
      <c r="H53" s="646"/>
    </row>
    <row r="54" spans="1:8" s="40" customFormat="1">
      <c r="A54" s="666"/>
      <c r="B54" s="667"/>
      <c r="C54" s="120"/>
      <c r="D54" s="120"/>
      <c r="E54" s="667"/>
      <c r="F54" s="116" t="s">
        <v>110</v>
      </c>
      <c r="G54" s="668"/>
      <c r="H54" s="646"/>
    </row>
    <row r="55" spans="1:8" s="40" customFormat="1" ht="15" customHeight="1">
      <c r="A55" s="666" t="s">
        <v>164</v>
      </c>
      <c r="B55" s="667">
        <v>1</v>
      </c>
      <c r="C55" s="647" t="s">
        <v>234</v>
      </c>
      <c r="D55" s="109">
        <v>1</v>
      </c>
      <c r="E55" s="667">
        <f>SUM(D55:D60)</f>
        <v>1</v>
      </c>
      <c r="F55" s="114" t="s">
        <v>156</v>
      </c>
      <c r="G55" s="668"/>
      <c r="H55" s="646" t="s">
        <v>76</v>
      </c>
    </row>
    <row r="56" spans="1:8" s="40" customFormat="1" ht="27">
      <c r="A56" s="666"/>
      <c r="B56" s="667"/>
      <c r="C56" s="647"/>
      <c r="D56" s="110"/>
      <c r="E56" s="667"/>
      <c r="F56" s="115" t="s">
        <v>153</v>
      </c>
      <c r="G56" s="668"/>
      <c r="H56" s="646"/>
    </row>
    <row r="57" spans="1:8" s="40" customFormat="1">
      <c r="A57" s="666"/>
      <c r="B57" s="667"/>
      <c r="C57" s="647"/>
      <c r="D57" s="110"/>
      <c r="E57" s="667"/>
      <c r="F57" s="115" t="s">
        <v>157</v>
      </c>
      <c r="G57" s="668"/>
      <c r="H57" s="646"/>
    </row>
    <row r="58" spans="1:8" s="40" customFormat="1">
      <c r="A58" s="666"/>
      <c r="B58" s="667"/>
      <c r="C58" s="647"/>
      <c r="D58" s="110"/>
      <c r="E58" s="667"/>
      <c r="F58" s="115" t="s">
        <v>165</v>
      </c>
      <c r="G58" s="668"/>
      <c r="H58" s="646"/>
    </row>
    <row r="59" spans="1:8" s="40" customFormat="1">
      <c r="A59" s="666"/>
      <c r="B59" s="667"/>
      <c r="C59" s="647"/>
      <c r="D59" s="110"/>
      <c r="E59" s="667"/>
      <c r="F59" s="115" t="s">
        <v>158</v>
      </c>
      <c r="G59" s="668"/>
      <c r="H59" s="646"/>
    </row>
    <row r="60" spans="1:8" s="40" customFormat="1">
      <c r="A60" s="666"/>
      <c r="B60" s="667"/>
      <c r="C60" s="647"/>
      <c r="D60" s="111"/>
      <c r="E60" s="667"/>
      <c r="F60" s="116" t="s">
        <v>110</v>
      </c>
      <c r="G60" s="668"/>
      <c r="H60" s="646"/>
    </row>
    <row r="61" spans="1:8" s="40" customFormat="1" ht="15" customHeight="1">
      <c r="A61" s="666" t="s">
        <v>164</v>
      </c>
      <c r="B61" s="667">
        <v>1</v>
      </c>
      <c r="C61" s="647" t="s">
        <v>235</v>
      </c>
      <c r="D61" s="109">
        <v>1</v>
      </c>
      <c r="E61" s="667">
        <f>SUM(D61:D66)</f>
        <v>1</v>
      </c>
      <c r="F61" s="114" t="s">
        <v>156</v>
      </c>
      <c r="G61" s="668"/>
      <c r="H61" s="646" t="s">
        <v>91</v>
      </c>
    </row>
    <row r="62" spans="1:8" s="40" customFormat="1" ht="27">
      <c r="A62" s="666"/>
      <c r="B62" s="667"/>
      <c r="C62" s="647"/>
      <c r="D62" s="110"/>
      <c r="E62" s="667"/>
      <c r="F62" s="115" t="s">
        <v>153</v>
      </c>
      <c r="G62" s="668"/>
      <c r="H62" s="646"/>
    </row>
    <row r="63" spans="1:8" s="40" customFormat="1">
      <c r="A63" s="666"/>
      <c r="B63" s="667"/>
      <c r="C63" s="647"/>
      <c r="D63" s="110"/>
      <c r="E63" s="667"/>
      <c r="F63" s="115" t="s">
        <v>157</v>
      </c>
      <c r="G63" s="668"/>
      <c r="H63" s="646"/>
    </row>
    <row r="64" spans="1:8" s="40" customFormat="1">
      <c r="A64" s="666"/>
      <c r="B64" s="667"/>
      <c r="C64" s="647"/>
      <c r="D64" s="110"/>
      <c r="E64" s="667"/>
      <c r="F64" s="115" t="s">
        <v>165</v>
      </c>
      <c r="G64" s="668"/>
      <c r="H64" s="646"/>
    </row>
    <row r="65" spans="1:8" s="40" customFormat="1">
      <c r="A65" s="666"/>
      <c r="B65" s="667"/>
      <c r="C65" s="647"/>
      <c r="D65" s="110"/>
      <c r="E65" s="667"/>
      <c r="F65" s="115" t="s">
        <v>158</v>
      </c>
      <c r="G65" s="668"/>
      <c r="H65" s="646"/>
    </row>
    <row r="66" spans="1:8" s="40" customFormat="1">
      <c r="A66" s="666"/>
      <c r="B66" s="667"/>
      <c r="C66" s="647"/>
      <c r="D66" s="111"/>
      <c r="E66" s="667"/>
      <c r="F66" s="116" t="s">
        <v>110</v>
      </c>
      <c r="G66" s="668"/>
      <c r="H66" s="646"/>
    </row>
    <row r="67" spans="1:8" s="40" customFormat="1" ht="25.5" customHeight="1">
      <c r="A67" s="666" t="s">
        <v>166</v>
      </c>
      <c r="B67" s="667">
        <v>1</v>
      </c>
      <c r="C67" s="647" t="s">
        <v>234</v>
      </c>
      <c r="D67" s="109">
        <v>3</v>
      </c>
      <c r="E67" s="667">
        <f>SUM(D67:D71)</f>
        <v>3</v>
      </c>
      <c r="F67" s="114" t="s">
        <v>167</v>
      </c>
      <c r="G67" s="668"/>
      <c r="H67" s="646" t="s">
        <v>131</v>
      </c>
    </row>
    <row r="68" spans="1:8" s="40" customFormat="1" ht="27">
      <c r="A68" s="666"/>
      <c r="B68" s="667"/>
      <c r="C68" s="647"/>
      <c r="D68" s="110"/>
      <c r="E68" s="667"/>
      <c r="F68" s="115" t="s">
        <v>223</v>
      </c>
      <c r="G68" s="668"/>
      <c r="H68" s="646"/>
    </row>
    <row r="69" spans="1:8" s="40" customFormat="1">
      <c r="A69" s="666"/>
      <c r="B69" s="667"/>
      <c r="C69" s="647"/>
      <c r="D69" s="110"/>
      <c r="E69" s="667"/>
      <c r="F69" s="115" t="s">
        <v>165</v>
      </c>
      <c r="G69" s="668"/>
      <c r="H69" s="646"/>
    </row>
    <row r="70" spans="1:8" s="40" customFormat="1">
      <c r="A70" s="666"/>
      <c r="B70" s="667"/>
      <c r="C70" s="647"/>
      <c r="D70" s="110"/>
      <c r="E70" s="667"/>
      <c r="F70" s="115" t="s">
        <v>137</v>
      </c>
      <c r="G70" s="668"/>
      <c r="H70" s="646"/>
    </row>
    <row r="71" spans="1:8" s="40" customFormat="1">
      <c r="A71" s="666"/>
      <c r="B71" s="667"/>
      <c r="C71" s="647"/>
      <c r="D71" s="111"/>
      <c r="E71" s="667"/>
      <c r="F71" s="116" t="s">
        <v>110</v>
      </c>
      <c r="G71" s="668"/>
      <c r="H71" s="646"/>
    </row>
    <row r="72" spans="1:8" s="40" customFormat="1" ht="15" customHeight="1">
      <c r="A72" s="666" t="s">
        <v>166</v>
      </c>
      <c r="B72" s="667">
        <v>3</v>
      </c>
      <c r="C72" s="647" t="s">
        <v>235</v>
      </c>
      <c r="D72" s="109">
        <v>3</v>
      </c>
      <c r="E72" s="667">
        <f>SUM(D72:D76)</f>
        <v>3</v>
      </c>
      <c r="F72" s="114" t="s">
        <v>236</v>
      </c>
      <c r="G72" s="668"/>
      <c r="H72" s="646" t="s">
        <v>175</v>
      </c>
    </row>
    <row r="73" spans="1:8" s="40" customFormat="1" ht="27">
      <c r="A73" s="666"/>
      <c r="B73" s="667"/>
      <c r="C73" s="647"/>
      <c r="D73" s="110"/>
      <c r="E73" s="667"/>
      <c r="F73" s="115" t="s">
        <v>223</v>
      </c>
      <c r="G73" s="668"/>
      <c r="H73" s="646"/>
    </row>
    <row r="74" spans="1:8" s="40" customFormat="1">
      <c r="A74" s="666"/>
      <c r="B74" s="667"/>
      <c r="C74" s="647"/>
      <c r="D74" s="110"/>
      <c r="E74" s="667"/>
      <c r="F74" s="115" t="s">
        <v>165</v>
      </c>
      <c r="G74" s="668"/>
      <c r="H74" s="646"/>
    </row>
    <row r="75" spans="1:8" s="40" customFormat="1">
      <c r="A75" s="666"/>
      <c r="B75" s="667"/>
      <c r="C75" s="647"/>
      <c r="D75" s="110"/>
      <c r="E75" s="667"/>
      <c r="F75" s="115" t="s">
        <v>137</v>
      </c>
      <c r="G75" s="668"/>
      <c r="H75" s="646"/>
    </row>
    <row r="76" spans="1:8" s="40" customFormat="1">
      <c r="A76" s="666"/>
      <c r="B76" s="667"/>
      <c r="C76" s="647"/>
      <c r="D76" s="111"/>
      <c r="E76" s="667"/>
      <c r="F76" s="116" t="s">
        <v>110</v>
      </c>
      <c r="G76" s="668"/>
      <c r="H76" s="646"/>
    </row>
    <row r="77" spans="1:8" s="40" customFormat="1" ht="15" customHeight="1">
      <c r="A77" s="666" t="s">
        <v>177</v>
      </c>
      <c r="B77" s="667">
        <v>1</v>
      </c>
      <c r="C77" s="647" t="s">
        <v>237</v>
      </c>
      <c r="D77" s="109">
        <v>3</v>
      </c>
      <c r="E77" s="667">
        <f>SUM(D77:D81)</f>
        <v>3</v>
      </c>
      <c r="F77" s="114" t="s">
        <v>184</v>
      </c>
      <c r="G77" s="668"/>
      <c r="H77" s="646" t="s">
        <v>82</v>
      </c>
    </row>
    <row r="78" spans="1:8" s="40" customFormat="1" ht="27">
      <c r="A78" s="666"/>
      <c r="B78" s="667"/>
      <c r="C78" s="647"/>
      <c r="D78" s="110"/>
      <c r="E78" s="667"/>
      <c r="F78" s="115" t="s">
        <v>223</v>
      </c>
      <c r="G78" s="668"/>
      <c r="H78" s="646"/>
    </row>
    <row r="79" spans="1:8" s="40" customFormat="1">
      <c r="A79" s="666"/>
      <c r="B79" s="667"/>
      <c r="C79" s="647"/>
      <c r="D79" s="110"/>
      <c r="E79" s="667"/>
      <c r="F79" s="115" t="s">
        <v>165</v>
      </c>
      <c r="G79" s="668"/>
      <c r="H79" s="646"/>
    </row>
    <row r="80" spans="1:8" s="40" customFormat="1">
      <c r="A80" s="666"/>
      <c r="B80" s="667"/>
      <c r="C80" s="647"/>
      <c r="D80" s="110"/>
      <c r="E80" s="667"/>
      <c r="F80" s="115" t="s">
        <v>137</v>
      </c>
      <c r="G80" s="668"/>
      <c r="H80" s="646"/>
    </row>
    <row r="81" spans="1:8" s="40" customFormat="1">
      <c r="A81" s="666"/>
      <c r="B81" s="667"/>
      <c r="C81" s="647"/>
      <c r="D81" s="111"/>
      <c r="E81" s="667"/>
      <c r="F81" s="116" t="s">
        <v>110</v>
      </c>
      <c r="G81" s="668"/>
      <c r="H81" s="646"/>
    </row>
    <row r="82" spans="1:8" s="40" customFormat="1" ht="15" customHeight="1">
      <c r="A82" s="666" t="s">
        <v>177</v>
      </c>
      <c r="B82" s="667">
        <v>3</v>
      </c>
      <c r="C82" s="647" t="s">
        <v>238</v>
      </c>
      <c r="D82" s="109">
        <v>9</v>
      </c>
      <c r="E82" s="667">
        <f>SUM(D82:D86)</f>
        <v>9</v>
      </c>
      <c r="F82" s="114" t="s">
        <v>174</v>
      </c>
      <c r="G82" s="668"/>
      <c r="H82" s="646" t="s">
        <v>175</v>
      </c>
    </row>
    <row r="83" spans="1:8" s="40" customFormat="1" ht="27">
      <c r="A83" s="666"/>
      <c r="B83" s="667"/>
      <c r="C83" s="647"/>
      <c r="D83" s="110"/>
      <c r="E83" s="667"/>
      <c r="F83" s="115" t="s">
        <v>223</v>
      </c>
      <c r="G83" s="668"/>
      <c r="H83" s="646"/>
    </row>
    <row r="84" spans="1:8" s="40" customFormat="1">
      <c r="A84" s="666"/>
      <c r="B84" s="667"/>
      <c r="C84" s="647"/>
      <c r="D84" s="110"/>
      <c r="E84" s="667"/>
      <c r="F84" s="115" t="s">
        <v>165</v>
      </c>
      <c r="G84" s="668"/>
      <c r="H84" s="646"/>
    </row>
    <row r="85" spans="1:8" s="40" customFormat="1">
      <c r="A85" s="666"/>
      <c r="B85" s="667"/>
      <c r="C85" s="647"/>
      <c r="D85" s="110"/>
      <c r="E85" s="667"/>
      <c r="F85" s="115" t="s">
        <v>137</v>
      </c>
      <c r="G85" s="668"/>
      <c r="H85" s="646"/>
    </row>
    <row r="86" spans="1:8" s="40" customFormat="1">
      <c r="A86" s="666"/>
      <c r="B86" s="667"/>
      <c r="C86" s="647"/>
      <c r="D86" s="111"/>
      <c r="E86" s="667"/>
      <c r="F86" s="146" t="s">
        <v>110</v>
      </c>
      <c r="G86" s="668"/>
      <c r="H86" s="646"/>
    </row>
    <row r="87" spans="1:8" s="40" customFormat="1" ht="15" customHeight="1">
      <c r="A87" s="640" t="s">
        <v>178</v>
      </c>
      <c r="B87" s="667">
        <v>1</v>
      </c>
      <c r="C87" s="647" t="s">
        <v>238</v>
      </c>
      <c r="D87" s="144">
        <v>3</v>
      </c>
      <c r="E87" s="667">
        <f>SUM(D87:D88)</f>
        <v>3</v>
      </c>
      <c r="F87" s="115" t="s">
        <v>179</v>
      </c>
      <c r="G87" s="147"/>
      <c r="H87" s="148" t="s">
        <v>82</v>
      </c>
    </row>
    <row r="88" spans="1:8" s="40" customFormat="1">
      <c r="A88" s="640"/>
      <c r="B88" s="667"/>
      <c r="C88" s="647"/>
      <c r="D88" s="120"/>
      <c r="E88" s="667"/>
      <c r="F88" s="149" t="s">
        <v>180</v>
      </c>
      <c r="G88" s="150"/>
      <c r="H88" s="122"/>
    </row>
    <row r="89" spans="1:8" s="40" customFormat="1" ht="15" customHeight="1">
      <c r="A89" s="640" t="s">
        <v>181</v>
      </c>
      <c r="B89" s="667">
        <v>1</v>
      </c>
      <c r="C89" s="647" t="s">
        <v>238</v>
      </c>
      <c r="D89" s="144">
        <v>3</v>
      </c>
      <c r="E89" s="667">
        <f>SUM(D89:D91)</f>
        <v>3</v>
      </c>
      <c r="F89" s="115" t="s">
        <v>182</v>
      </c>
      <c r="G89" s="147"/>
      <c r="H89" s="148" t="s">
        <v>239</v>
      </c>
    </row>
    <row r="90" spans="1:8" s="40" customFormat="1">
      <c r="A90" s="640"/>
      <c r="B90" s="667"/>
      <c r="C90" s="647"/>
      <c r="D90" s="138"/>
      <c r="E90" s="667"/>
      <c r="F90" s="149" t="s">
        <v>157</v>
      </c>
      <c r="G90" s="123"/>
      <c r="H90" s="145"/>
    </row>
    <row r="91" spans="1:8" s="40" customFormat="1">
      <c r="A91" s="640"/>
      <c r="B91" s="667"/>
      <c r="C91" s="647"/>
      <c r="D91" s="120"/>
      <c r="E91" s="667"/>
      <c r="F91" s="115" t="s">
        <v>110</v>
      </c>
      <c r="G91" s="151"/>
      <c r="H91" s="122"/>
    </row>
    <row r="92" spans="1:8" s="40" customFormat="1" ht="15" customHeight="1">
      <c r="A92" s="672" t="s">
        <v>139</v>
      </c>
      <c r="B92" s="673">
        <v>1</v>
      </c>
      <c r="C92" s="674" t="s">
        <v>188</v>
      </c>
      <c r="D92" s="144">
        <v>4</v>
      </c>
      <c r="E92" s="673">
        <f>SUM(D92:D94)</f>
        <v>4</v>
      </c>
      <c r="F92" s="139" t="s">
        <v>240</v>
      </c>
      <c r="G92" s="152"/>
      <c r="H92" s="675" t="s">
        <v>98</v>
      </c>
    </row>
    <row r="93" spans="1:8" s="40" customFormat="1">
      <c r="A93" s="672"/>
      <c r="B93" s="673"/>
      <c r="C93" s="674"/>
      <c r="D93" s="138"/>
      <c r="E93" s="673"/>
      <c r="F93" s="110" t="s">
        <v>111</v>
      </c>
      <c r="G93" s="153"/>
      <c r="H93" s="675"/>
    </row>
    <row r="94" spans="1:8" s="40" customFormat="1">
      <c r="A94" s="672"/>
      <c r="B94" s="673"/>
      <c r="C94" s="674"/>
      <c r="D94" s="138"/>
      <c r="E94" s="673"/>
      <c r="F94" s="146" t="s">
        <v>110</v>
      </c>
      <c r="G94" s="154"/>
      <c r="H94" s="675"/>
    </row>
    <row r="95" spans="1:8" s="40" customFormat="1" ht="15" customHeight="1">
      <c r="A95" s="640" t="s">
        <v>139</v>
      </c>
      <c r="B95" s="667">
        <v>1</v>
      </c>
      <c r="C95" s="155" t="s">
        <v>241</v>
      </c>
      <c r="D95" s="144">
        <v>5</v>
      </c>
      <c r="E95" s="667">
        <f>SUM(D95:D97)</f>
        <v>14</v>
      </c>
      <c r="F95" s="114" t="s">
        <v>242</v>
      </c>
      <c r="G95" s="156"/>
      <c r="H95" s="648" t="s">
        <v>141</v>
      </c>
    </row>
    <row r="96" spans="1:8" s="40" customFormat="1">
      <c r="A96" s="640"/>
      <c r="B96" s="667"/>
      <c r="C96" s="157" t="s">
        <v>243</v>
      </c>
      <c r="D96" s="138">
        <v>6</v>
      </c>
      <c r="E96" s="667"/>
      <c r="F96" s="110" t="s">
        <v>244</v>
      </c>
      <c r="G96" s="153"/>
      <c r="H96" s="648"/>
    </row>
    <row r="97" spans="1:8" s="40" customFormat="1">
      <c r="A97" s="640"/>
      <c r="B97" s="667"/>
      <c r="C97" s="158" t="s">
        <v>245</v>
      </c>
      <c r="D97" s="120">
        <v>3</v>
      </c>
      <c r="E97" s="667"/>
      <c r="F97" s="116" t="s">
        <v>110</v>
      </c>
      <c r="G97" s="159"/>
      <c r="H97" s="648"/>
    </row>
    <row r="98" spans="1:8" s="40" customFormat="1" ht="15" customHeight="1">
      <c r="A98" s="676" t="s">
        <v>99</v>
      </c>
      <c r="B98" s="670">
        <v>2</v>
      </c>
      <c r="C98" s="677" t="s">
        <v>188</v>
      </c>
      <c r="D98" s="138">
        <v>8</v>
      </c>
      <c r="E98" s="670">
        <f>SUM(D98:D99)</f>
        <v>8</v>
      </c>
      <c r="F98" s="139" t="s">
        <v>192</v>
      </c>
      <c r="G98" s="665"/>
      <c r="H98" s="678" t="s">
        <v>246</v>
      </c>
    </row>
    <row r="99" spans="1:8" s="40" customFormat="1">
      <c r="A99" s="676"/>
      <c r="B99" s="670"/>
      <c r="C99" s="677"/>
      <c r="D99" s="138"/>
      <c r="E99" s="670"/>
      <c r="F99" s="161" t="s">
        <v>194</v>
      </c>
      <c r="G99" s="665"/>
      <c r="H99" s="678"/>
    </row>
    <row r="100" spans="1:8" s="40" customFormat="1" ht="15" customHeight="1">
      <c r="A100" s="666" t="s">
        <v>74</v>
      </c>
      <c r="B100" s="667">
        <v>2</v>
      </c>
      <c r="C100" s="109" t="s">
        <v>241</v>
      </c>
      <c r="D100" s="109">
        <v>10</v>
      </c>
      <c r="E100" s="667">
        <f>SUM(D100:D102)</f>
        <v>106</v>
      </c>
      <c r="F100" s="114" t="s">
        <v>196</v>
      </c>
      <c r="G100" s="668"/>
      <c r="H100" s="646" t="s">
        <v>76</v>
      </c>
    </row>
    <row r="101" spans="1:8" s="40" customFormat="1" ht="38.25">
      <c r="A101" s="666"/>
      <c r="B101" s="667"/>
      <c r="C101" s="110" t="s">
        <v>247</v>
      </c>
      <c r="D101" s="110">
        <v>84</v>
      </c>
      <c r="E101" s="667"/>
      <c r="F101" s="115" t="s">
        <v>110</v>
      </c>
      <c r="G101" s="668"/>
      <c r="H101" s="646"/>
    </row>
    <row r="102" spans="1:8" s="40" customFormat="1">
      <c r="A102" s="666"/>
      <c r="B102" s="667"/>
      <c r="C102" s="111" t="s">
        <v>243</v>
      </c>
      <c r="D102" s="111">
        <v>12</v>
      </c>
      <c r="E102" s="667"/>
      <c r="F102" s="162"/>
      <c r="G102" s="668"/>
      <c r="H102" s="646"/>
    </row>
    <row r="103" spans="1:8" s="40" customFormat="1" ht="12.75" customHeight="1">
      <c r="A103" s="676" t="s">
        <v>77</v>
      </c>
      <c r="B103" s="667">
        <v>3</v>
      </c>
      <c r="C103" s="139" t="s">
        <v>241</v>
      </c>
      <c r="D103" s="163">
        <v>15</v>
      </c>
      <c r="E103" s="681">
        <f>SUM(D103:D104)</f>
        <v>39</v>
      </c>
      <c r="F103" s="165" t="s">
        <v>248</v>
      </c>
      <c r="G103" s="682"/>
      <c r="H103" s="166" t="s">
        <v>141</v>
      </c>
    </row>
    <row r="104" spans="1:8" s="40" customFormat="1" ht="12.75" customHeight="1">
      <c r="A104" s="676"/>
      <c r="B104" s="667"/>
      <c r="C104" s="161" t="s">
        <v>243</v>
      </c>
      <c r="D104" s="167">
        <v>24</v>
      </c>
      <c r="E104" s="681"/>
      <c r="F104" s="168"/>
      <c r="G104" s="682"/>
      <c r="H104" s="169"/>
    </row>
    <row r="105" spans="1:8" s="40" customFormat="1" ht="38.25">
      <c r="A105" s="160"/>
      <c r="B105" s="667"/>
      <c r="C105" s="137" t="s">
        <v>249</v>
      </c>
      <c r="D105" s="170"/>
      <c r="E105" s="164"/>
      <c r="F105" s="171"/>
      <c r="G105" s="682"/>
      <c r="H105" s="172"/>
    </row>
    <row r="106" spans="1:8" s="40" customFormat="1" ht="15" customHeight="1">
      <c r="A106" s="666" t="s">
        <v>162</v>
      </c>
      <c r="B106" s="143">
        <v>2</v>
      </c>
      <c r="C106" s="143" t="s">
        <v>173</v>
      </c>
      <c r="D106" s="144">
        <v>2</v>
      </c>
      <c r="E106" s="667">
        <f>SUM(D106:D109)</f>
        <v>14</v>
      </c>
      <c r="F106" s="114" t="s">
        <v>163</v>
      </c>
      <c r="G106" s="668"/>
      <c r="H106" s="646" t="s">
        <v>82</v>
      </c>
    </row>
    <row r="107" spans="1:8" s="40" customFormat="1" ht="27">
      <c r="A107" s="666"/>
      <c r="B107" s="137"/>
      <c r="C107" s="137" t="s">
        <v>237</v>
      </c>
      <c r="D107" s="138">
        <v>6</v>
      </c>
      <c r="E107" s="667"/>
      <c r="F107" s="115" t="s">
        <v>153</v>
      </c>
      <c r="G107" s="668"/>
      <c r="H107" s="646"/>
    </row>
    <row r="108" spans="1:8" s="40" customFormat="1">
      <c r="A108" s="666"/>
      <c r="B108" s="137"/>
      <c r="C108" s="137" t="s">
        <v>238</v>
      </c>
      <c r="D108" s="138">
        <v>6</v>
      </c>
      <c r="E108" s="667"/>
      <c r="F108" s="115" t="s">
        <v>233</v>
      </c>
      <c r="G108" s="668"/>
      <c r="H108" s="646"/>
    </row>
    <row r="109" spans="1:8" s="40" customFormat="1">
      <c r="A109" s="666"/>
      <c r="B109" s="140"/>
      <c r="C109" s="140"/>
      <c r="D109" s="120"/>
      <c r="E109" s="667"/>
      <c r="F109" s="116" t="s">
        <v>110</v>
      </c>
      <c r="G109" s="668"/>
      <c r="H109" s="646"/>
    </row>
    <row r="110" spans="1:8" s="40" customFormat="1" ht="25.5">
      <c r="A110" s="141" t="s">
        <v>77</v>
      </c>
      <c r="B110" s="112">
        <v>2</v>
      </c>
      <c r="C110" s="112" t="s">
        <v>237</v>
      </c>
      <c r="D110" s="173">
        <v>6</v>
      </c>
      <c r="E110" s="174">
        <f>D110</f>
        <v>6</v>
      </c>
      <c r="F110" s="175" t="s">
        <v>248</v>
      </c>
      <c r="G110" s="176"/>
      <c r="H110" s="113" t="s">
        <v>82</v>
      </c>
    </row>
    <row r="111" spans="1:8" s="40" customFormat="1">
      <c r="A111" s="679" t="s">
        <v>60</v>
      </c>
      <c r="B111" s="679"/>
      <c r="C111" s="679"/>
      <c r="D111" s="679"/>
      <c r="E111" s="679"/>
      <c r="F111" s="679"/>
      <c r="G111" s="679"/>
      <c r="H111" s="679"/>
    </row>
    <row r="112" spans="1:8" s="40" customFormat="1">
      <c r="A112" s="177" t="s">
        <v>201</v>
      </c>
      <c r="B112" s="178"/>
      <c r="C112" s="178"/>
      <c r="D112" s="178"/>
      <c r="E112" s="178"/>
      <c r="F112" s="178"/>
      <c r="G112" s="178"/>
      <c r="H112" s="179"/>
    </row>
    <row r="113" spans="1:8" s="40" customFormat="1">
      <c r="A113" s="177" t="s">
        <v>202</v>
      </c>
      <c r="B113" s="178"/>
      <c r="C113" s="178"/>
      <c r="D113" s="178"/>
      <c r="E113" s="178"/>
      <c r="F113" s="178"/>
      <c r="G113" s="178"/>
      <c r="H113" s="179"/>
    </row>
    <row r="114" spans="1:8" s="40" customFormat="1">
      <c r="A114" s="177" t="s">
        <v>250</v>
      </c>
      <c r="B114" s="178"/>
      <c r="C114" s="178"/>
      <c r="D114" s="178"/>
      <c r="E114" s="178"/>
      <c r="F114" s="178"/>
      <c r="G114" s="178"/>
      <c r="H114" s="179"/>
    </row>
    <row r="115" spans="1:8" s="40" customFormat="1">
      <c r="A115" s="177" t="s">
        <v>204</v>
      </c>
      <c r="B115" s="178"/>
      <c r="C115" s="178"/>
      <c r="D115" s="178"/>
      <c r="E115" s="178"/>
      <c r="F115" s="178"/>
      <c r="G115" s="178"/>
      <c r="H115" s="179"/>
    </row>
    <row r="116" spans="1:8" s="40" customFormat="1">
      <c r="A116" s="177" t="s">
        <v>251</v>
      </c>
      <c r="B116" s="178"/>
      <c r="C116" s="178"/>
      <c r="D116" s="178"/>
      <c r="E116" s="178"/>
      <c r="F116" s="178"/>
      <c r="G116" s="178"/>
      <c r="H116" s="179"/>
    </row>
    <row r="117" spans="1:8" s="40" customFormat="1">
      <c r="A117" s="177" t="s">
        <v>206</v>
      </c>
      <c r="B117" s="178"/>
      <c r="C117" s="178"/>
      <c r="D117" s="178"/>
      <c r="E117" s="178"/>
      <c r="F117" s="178"/>
      <c r="G117" s="178"/>
      <c r="H117" s="179"/>
    </row>
    <row r="118" spans="1:8" s="40" customFormat="1" ht="15" customHeight="1">
      <c r="A118" s="680" t="s">
        <v>207</v>
      </c>
      <c r="B118" s="680"/>
      <c r="C118" s="680"/>
      <c r="D118" s="680"/>
      <c r="E118" s="680"/>
      <c r="F118" s="680"/>
      <c r="G118" s="680"/>
      <c r="H118" s="680"/>
    </row>
    <row r="119" spans="1:8" s="40" customFormat="1">
      <c r="A119" s="177" t="s">
        <v>252</v>
      </c>
      <c r="B119" s="178"/>
      <c r="C119" s="178"/>
      <c r="D119" s="178"/>
      <c r="E119" s="178"/>
      <c r="F119" s="178"/>
      <c r="G119" s="178"/>
      <c r="H119" s="179"/>
    </row>
    <row r="120" spans="1:8" s="40" customFormat="1">
      <c r="A120" s="177" t="s">
        <v>253</v>
      </c>
      <c r="B120" s="178"/>
      <c r="C120" s="178"/>
      <c r="D120" s="178"/>
      <c r="E120" s="178"/>
      <c r="F120" s="178"/>
      <c r="G120" s="178"/>
      <c r="H120" s="179"/>
    </row>
    <row r="121" spans="1:8" s="40" customFormat="1">
      <c r="A121" s="177" t="s">
        <v>254</v>
      </c>
      <c r="B121" s="178"/>
      <c r="C121" s="178"/>
      <c r="D121" s="178"/>
      <c r="E121" s="178"/>
      <c r="F121" s="178"/>
      <c r="G121" s="178"/>
      <c r="H121" s="179"/>
    </row>
    <row r="122" spans="1:8" s="40" customFormat="1">
      <c r="A122" s="180" t="s">
        <v>255</v>
      </c>
      <c r="B122" s="181"/>
      <c r="C122" s="181"/>
      <c r="D122" s="181"/>
      <c r="E122" s="181"/>
      <c r="F122" s="181"/>
      <c r="G122" s="181"/>
      <c r="H122" s="182"/>
    </row>
    <row r="123" spans="1:8" s="40" customFormat="1">
      <c r="A123" s="183" t="s">
        <v>256</v>
      </c>
      <c r="B123" s="184"/>
      <c r="C123" s="184"/>
      <c r="D123" s="184"/>
      <c r="E123" s="184"/>
      <c r="F123" s="184"/>
      <c r="G123" s="184"/>
      <c r="H123" s="185"/>
    </row>
  </sheetData>
  <mergeCells count="133">
    <mergeCell ref="A106:A109"/>
    <mergeCell ref="E106:E109"/>
    <mergeCell ref="G106:G109"/>
    <mergeCell ref="H106:H109"/>
    <mergeCell ref="A111:H111"/>
    <mergeCell ref="A118:H118"/>
    <mergeCell ref="A100:A102"/>
    <mergeCell ref="B100:B102"/>
    <mergeCell ref="E100:E102"/>
    <mergeCell ref="G100:G102"/>
    <mergeCell ref="H100:H102"/>
    <mergeCell ref="A103:A104"/>
    <mergeCell ref="B103:B105"/>
    <mergeCell ref="E103:E104"/>
    <mergeCell ref="G103:G105"/>
    <mergeCell ref="A95:A97"/>
    <mergeCell ref="B95:B97"/>
    <mergeCell ref="E95:E97"/>
    <mergeCell ref="H95:H97"/>
    <mergeCell ref="A98:A99"/>
    <mergeCell ref="B98:B99"/>
    <mergeCell ref="C98:C99"/>
    <mergeCell ref="E98:E99"/>
    <mergeCell ref="G98:G99"/>
    <mergeCell ref="H98:H99"/>
    <mergeCell ref="A89:A91"/>
    <mergeCell ref="B89:B91"/>
    <mergeCell ref="C89:C91"/>
    <mergeCell ref="E89:E91"/>
    <mergeCell ref="A92:A94"/>
    <mergeCell ref="B92:B94"/>
    <mergeCell ref="C92:C94"/>
    <mergeCell ref="E92:E94"/>
    <mergeCell ref="H92:H94"/>
    <mergeCell ref="A82:A86"/>
    <mergeCell ref="B82:B86"/>
    <mergeCell ref="C82:C86"/>
    <mergeCell ref="E82:E86"/>
    <mergeCell ref="G82:G86"/>
    <mergeCell ref="H82:H86"/>
    <mergeCell ref="A87:A88"/>
    <mergeCell ref="B87:B88"/>
    <mergeCell ref="C87:C88"/>
    <mergeCell ref="E87:E88"/>
    <mergeCell ref="A72:A76"/>
    <mergeCell ref="B72:B76"/>
    <mergeCell ref="C72:C76"/>
    <mergeCell ref="E72:E76"/>
    <mergeCell ref="G72:G76"/>
    <mergeCell ref="H72:H76"/>
    <mergeCell ref="A77:A81"/>
    <mergeCell ref="B77:B81"/>
    <mergeCell ref="C77:C81"/>
    <mergeCell ref="E77:E81"/>
    <mergeCell ref="G77:G81"/>
    <mergeCell ref="H77:H81"/>
    <mergeCell ref="A61:A66"/>
    <mergeCell ref="B61:B66"/>
    <mergeCell ref="C61:C66"/>
    <mergeCell ref="E61:E66"/>
    <mergeCell ref="G61:G66"/>
    <mergeCell ref="H61:H66"/>
    <mergeCell ref="A67:A71"/>
    <mergeCell ref="B67:B71"/>
    <mergeCell ref="C67:C71"/>
    <mergeCell ref="E67:E71"/>
    <mergeCell ref="G67:G71"/>
    <mergeCell ref="H67:H71"/>
    <mergeCell ref="A51:A54"/>
    <mergeCell ref="B51:B54"/>
    <mergeCell ref="E51:E54"/>
    <mergeCell ref="G51:G54"/>
    <mergeCell ref="H51:H54"/>
    <mergeCell ref="A55:A60"/>
    <mergeCell ref="B55:B60"/>
    <mergeCell ref="C55:C60"/>
    <mergeCell ref="E55:E60"/>
    <mergeCell ref="G55:G60"/>
    <mergeCell ref="H55:H60"/>
    <mergeCell ref="A41:A44"/>
    <mergeCell ref="B41:B44"/>
    <mergeCell ref="E41:E44"/>
    <mergeCell ref="G41:G44"/>
    <mergeCell ref="H41:H44"/>
    <mergeCell ref="A45:A50"/>
    <mergeCell ref="B45:B50"/>
    <mergeCell ref="E45:E50"/>
    <mergeCell ref="G45:G50"/>
    <mergeCell ref="H45:H50"/>
    <mergeCell ref="A31:A35"/>
    <mergeCell ref="B31:B35"/>
    <mergeCell ref="E31:E35"/>
    <mergeCell ref="G31:G35"/>
    <mergeCell ref="H31:H35"/>
    <mergeCell ref="A36:A40"/>
    <mergeCell ref="B36:B40"/>
    <mergeCell ref="E36:E40"/>
    <mergeCell ref="G36:G40"/>
    <mergeCell ref="H36:H40"/>
    <mergeCell ref="G19:G20"/>
    <mergeCell ref="A21:A25"/>
    <mergeCell ref="B21:B25"/>
    <mergeCell ref="E21:E25"/>
    <mergeCell ref="G21:G25"/>
    <mergeCell ref="H21:H25"/>
    <mergeCell ref="A26:A30"/>
    <mergeCell ref="B26:B30"/>
    <mergeCell ref="E26:E30"/>
    <mergeCell ref="G26:G30"/>
    <mergeCell ref="H26:H30"/>
    <mergeCell ref="A13:A15"/>
    <mergeCell ref="B13:B15"/>
    <mergeCell ref="E13:E15"/>
    <mergeCell ref="G13:G15"/>
    <mergeCell ref="H13:H15"/>
    <mergeCell ref="A16:A18"/>
    <mergeCell ref="B16:B18"/>
    <mergeCell ref="E16:E18"/>
    <mergeCell ref="G16:G18"/>
    <mergeCell ref="H16:H18"/>
    <mergeCell ref="A4:H4"/>
    <mergeCell ref="A5:H5"/>
    <mergeCell ref="B6:C6"/>
    <mergeCell ref="A7:A9"/>
    <mergeCell ref="B7:B9"/>
    <mergeCell ref="E7:E9"/>
    <mergeCell ref="G7:G9"/>
    <mergeCell ref="H7:H9"/>
    <mergeCell ref="A10:A12"/>
    <mergeCell ref="B10:B12"/>
    <mergeCell ref="E10:E12"/>
    <mergeCell ref="G10:G12"/>
    <mergeCell ref="H10:H12"/>
  </mergeCells>
  <pageMargins left="0.51180555555555496" right="0.51180555555555496" top="0.78749999999999998" bottom="0.78749999999999998" header="0.51180555555555496" footer="0.51180555555555496"/>
  <pageSetup paperSize="9" scale="65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9933"/>
  </sheetPr>
  <dimension ref="A1:F31"/>
  <sheetViews>
    <sheetView zoomScaleNormal="100" workbookViewId="0">
      <selection activeCell="C19" sqref="C19:C20"/>
    </sheetView>
  </sheetViews>
  <sheetFormatPr defaultColWidth="11.42578125" defaultRowHeight="12.75"/>
  <cols>
    <col min="3" max="3" width="18.5703125" customWidth="1"/>
    <col min="4" max="4" width="38.7109375" customWidth="1"/>
    <col min="5" max="5" width="16.28515625" customWidth="1"/>
    <col min="6" max="6" width="33.42578125" customWidth="1"/>
  </cols>
  <sheetData>
    <row r="1" spans="1:6" ht="15">
      <c r="B1" s="186" t="s">
        <v>0</v>
      </c>
      <c r="C1" s="187"/>
      <c r="D1" s="187"/>
      <c r="E1" s="188"/>
      <c r="F1" s="188"/>
    </row>
    <row r="2" spans="1:6" ht="15">
      <c r="B2" s="189" t="s">
        <v>1</v>
      </c>
      <c r="C2" s="190"/>
      <c r="D2" s="190"/>
      <c r="E2" s="191"/>
      <c r="F2" s="191"/>
    </row>
    <row r="3" spans="1:6" ht="15">
      <c r="B3" s="189" t="s">
        <v>257</v>
      </c>
      <c r="C3" s="190"/>
      <c r="D3" s="190"/>
      <c r="E3" s="191"/>
      <c r="F3" s="191"/>
    </row>
    <row r="4" spans="1:6" ht="22.5">
      <c r="A4" s="683" t="s">
        <v>258</v>
      </c>
      <c r="B4" s="683"/>
      <c r="C4" s="683"/>
      <c r="D4" s="683"/>
      <c r="E4" s="683"/>
      <c r="F4" s="683"/>
    </row>
    <row r="5" spans="1:6" ht="22.5">
      <c r="A5" s="684" t="s">
        <v>212</v>
      </c>
      <c r="B5" s="684"/>
      <c r="C5" s="684"/>
      <c r="D5" s="684"/>
      <c r="E5" s="684"/>
      <c r="F5" s="684"/>
    </row>
    <row r="6" spans="1:6" ht="32.85" customHeight="1">
      <c r="A6" s="192" t="s">
        <v>66</v>
      </c>
      <c r="B6" s="685" t="s">
        <v>8</v>
      </c>
      <c r="C6" s="685"/>
      <c r="D6" s="193" t="s">
        <v>105</v>
      </c>
      <c r="E6" s="194" t="s">
        <v>214</v>
      </c>
      <c r="F6" s="195" t="s">
        <v>106</v>
      </c>
    </row>
    <row r="7" spans="1:6" ht="44.1" customHeight="1">
      <c r="A7" s="686" t="s">
        <v>108</v>
      </c>
      <c r="B7" s="687">
        <v>3</v>
      </c>
      <c r="C7" s="198" t="s">
        <v>259</v>
      </c>
      <c r="D7" s="199" t="s">
        <v>109</v>
      </c>
      <c r="E7" s="687"/>
      <c r="F7" s="688" t="s">
        <v>76</v>
      </c>
    </row>
    <row r="8" spans="1:6" ht="44.1" customHeight="1">
      <c r="A8" s="686"/>
      <c r="B8" s="687"/>
      <c r="C8" s="198" t="s">
        <v>260</v>
      </c>
      <c r="D8" s="200" t="s">
        <v>110</v>
      </c>
      <c r="E8" s="687"/>
      <c r="F8" s="688"/>
    </row>
    <row r="9" spans="1:6" ht="44.1" customHeight="1">
      <c r="A9" s="686"/>
      <c r="B9" s="687"/>
      <c r="C9" s="201"/>
      <c r="D9" s="202" t="s">
        <v>261</v>
      </c>
      <c r="E9" s="687"/>
      <c r="F9" s="688"/>
    </row>
    <row r="10" spans="1:6" ht="44.1" customHeight="1">
      <c r="A10" s="689" t="s">
        <v>112</v>
      </c>
      <c r="B10" s="690">
        <v>3</v>
      </c>
      <c r="C10" s="198" t="s">
        <v>259</v>
      </c>
      <c r="D10" s="199" t="s">
        <v>262</v>
      </c>
      <c r="E10" s="690"/>
      <c r="F10" s="691" t="s">
        <v>79</v>
      </c>
    </row>
    <row r="11" spans="1:6" ht="44.1" customHeight="1">
      <c r="A11" s="689"/>
      <c r="B11" s="690"/>
      <c r="C11" s="198" t="s">
        <v>260</v>
      </c>
      <c r="D11" s="200" t="s">
        <v>110</v>
      </c>
      <c r="E11" s="690"/>
      <c r="F11" s="691"/>
    </row>
    <row r="12" spans="1:6" ht="44.1" customHeight="1">
      <c r="A12" s="689"/>
      <c r="B12" s="690"/>
      <c r="C12" s="197"/>
      <c r="D12" s="203" t="s">
        <v>263</v>
      </c>
      <c r="E12" s="690"/>
      <c r="F12" s="691"/>
    </row>
    <row r="13" spans="1:6" ht="57" customHeight="1">
      <c r="A13" s="204" t="s">
        <v>96</v>
      </c>
      <c r="B13" s="205">
        <v>2</v>
      </c>
      <c r="C13" s="206" t="s">
        <v>260</v>
      </c>
      <c r="D13" s="205" t="s">
        <v>97</v>
      </c>
      <c r="E13" s="690"/>
      <c r="F13" s="692" t="s">
        <v>175</v>
      </c>
    </row>
    <row r="14" spans="1:6" ht="60.75" customHeight="1">
      <c r="A14" s="196"/>
      <c r="B14" s="197"/>
      <c r="C14" s="197"/>
      <c r="D14" s="197"/>
      <c r="E14" s="690"/>
      <c r="F14" s="692"/>
    </row>
    <row r="15" spans="1:6" ht="44.1" customHeight="1">
      <c r="A15" s="693" t="s">
        <v>99</v>
      </c>
      <c r="B15" s="694">
        <v>3</v>
      </c>
      <c r="C15" s="694" t="s">
        <v>260</v>
      </c>
      <c r="D15" s="207" t="s">
        <v>192</v>
      </c>
      <c r="E15" s="695"/>
      <c r="F15" s="696" t="s">
        <v>175</v>
      </c>
    </row>
    <row r="16" spans="1:6" ht="44.1" customHeight="1">
      <c r="A16" s="693"/>
      <c r="B16" s="694"/>
      <c r="C16" s="694"/>
      <c r="D16" s="200" t="s">
        <v>194</v>
      </c>
      <c r="E16" s="695"/>
      <c r="F16" s="696"/>
    </row>
    <row r="17" spans="1:6" ht="44.1" customHeight="1">
      <c r="A17" s="697" t="s">
        <v>74</v>
      </c>
      <c r="B17" s="696">
        <v>3</v>
      </c>
      <c r="C17" s="696" t="s">
        <v>264</v>
      </c>
      <c r="D17" s="208" t="s">
        <v>196</v>
      </c>
      <c r="E17" s="698"/>
      <c r="F17" s="696" t="s">
        <v>76</v>
      </c>
    </row>
    <row r="18" spans="1:6" ht="44.1" customHeight="1">
      <c r="A18" s="697"/>
      <c r="B18" s="696"/>
      <c r="C18" s="696"/>
      <c r="D18" s="209" t="s">
        <v>110</v>
      </c>
      <c r="E18" s="698"/>
      <c r="F18" s="696"/>
    </row>
    <row r="19" spans="1:6" ht="44.1" customHeight="1">
      <c r="A19" s="700" t="s">
        <v>74</v>
      </c>
      <c r="B19" s="701">
        <v>3</v>
      </c>
      <c r="C19" s="701" t="s">
        <v>93</v>
      </c>
      <c r="D19" s="208" t="s">
        <v>265</v>
      </c>
      <c r="E19" s="702"/>
      <c r="F19" s="696" t="s">
        <v>76</v>
      </c>
    </row>
    <row r="20" spans="1:6" ht="84.75" customHeight="1">
      <c r="A20" s="700"/>
      <c r="B20" s="701"/>
      <c r="C20" s="701"/>
      <c r="D20" s="210" t="s">
        <v>110</v>
      </c>
      <c r="E20" s="702"/>
      <c r="F20" s="696"/>
    </row>
    <row r="21" spans="1:6" ht="84.75" customHeight="1">
      <c r="A21" s="200" t="s">
        <v>77</v>
      </c>
      <c r="B21" s="200">
        <v>3</v>
      </c>
      <c r="C21" s="200" t="s">
        <v>266</v>
      </c>
      <c r="D21" s="211" t="s">
        <v>248</v>
      </c>
      <c r="E21" s="211"/>
      <c r="F21" s="211" t="s">
        <v>267</v>
      </c>
    </row>
    <row r="22" spans="1:6" ht="115.5" customHeight="1"/>
    <row r="23" spans="1:6" ht="44.1" customHeight="1">
      <c r="A23" s="699" t="s">
        <v>60</v>
      </c>
      <c r="B23" s="699"/>
      <c r="C23" s="699"/>
      <c r="D23" s="699"/>
      <c r="E23" s="699"/>
      <c r="F23" s="699"/>
    </row>
    <row r="24" spans="1:6" ht="41.25" customHeight="1">
      <c r="A24" s="212" t="s">
        <v>201</v>
      </c>
      <c r="B24" s="213"/>
      <c r="C24" s="213"/>
      <c r="D24" s="213"/>
      <c r="E24" s="213"/>
      <c r="F24" s="214"/>
    </row>
    <row r="25" spans="1:6" ht="41.25" customHeight="1">
      <c r="A25" s="212" t="s">
        <v>202</v>
      </c>
      <c r="B25" s="213"/>
      <c r="C25" s="213"/>
      <c r="D25" s="213"/>
      <c r="E25" s="213"/>
      <c r="F25" s="214"/>
    </row>
    <row r="26" spans="1:6" ht="41.25" customHeight="1">
      <c r="A26" s="212" t="s">
        <v>250</v>
      </c>
      <c r="B26" s="213"/>
      <c r="C26" s="213"/>
      <c r="D26" s="213"/>
      <c r="E26" s="213"/>
      <c r="F26" s="214"/>
    </row>
    <row r="27" spans="1:6" ht="41.25" customHeight="1">
      <c r="A27" s="212" t="s">
        <v>268</v>
      </c>
      <c r="B27" s="213"/>
      <c r="C27" s="213"/>
      <c r="D27" s="213"/>
      <c r="E27" s="213"/>
      <c r="F27" s="214"/>
    </row>
    <row r="28" spans="1:6" ht="41.25" customHeight="1">
      <c r="A28" s="212" t="s">
        <v>269</v>
      </c>
      <c r="B28" s="213"/>
      <c r="C28" s="213"/>
      <c r="D28" s="213"/>
      <c r="E28" s="213"/>
      <c r="F28" s="214"/>
    </row>
    <row r="29" spans="1:6" ht="41.25" customHeight="1">
      <c r="A29" s="215" t="s">
        <v>270</v>
      </c>
      <c r="B29" s="216"/>
      <c r="C29" s="216"/>
      <c r="D29" s="216"/>
      <c r="E29" s="216"/>
      <c r="F29" s="217"/>
    </row>
    <row r="30" spans="1:6" ht="41.25" customHeight="1">
      <c r="A30" s="215" t="s">
        <v>271</v>
      </c>
      <c r="B30" s="216"/>
      <c r="C30" s="216"/>
      <c r="D30" s="216"/>
      <c r="E30" s="216"/>
      <c r="F30" s="217"/>
    </row>
    <row r="31" spans="1:6" ht="41.25" customHeight="1">
      <c r="A31" s="218" t="s">
        <v>272</v>
      </c>
      <c r="B31" s="219"/>
      <c r="C31" s="219"/>
      <c r="D31" s="219"/>
      <c r="E31" s="219"/>
      <c r="F31" s="220"/>
    </row>
  </sheetData>
  <mergeCells count="29">
    <mergeCell ref="A23:F23"/>
    <mergeCell ref="A19:A20"/>
    <mergeCell ref="B19:B20"/>
    <mergeCell ref="C19:C20"/>
    <mergeCell ref="E19:E20"/>
    <mergeCell ref="F19:F20"/>
    <mergeCell ref="A17:A18"/>
    <mergeCell ref="B17:B18"/>
    <mergeCell ref="C17:C18"/>
    <mergeCell ref="E17:E18"/>
    <mergeCell ref="F17:F18"/>
    <mergeCell ref="A15:A16"/>
    <mergeCell ref="B15:B16"/>
    <mergeCell ref="C15:C16"/>
    <mergeCell ref="E15:E16"/>
    <mergeCell ref="F15:F16"/>
    <mergeCell ref="A10:A12"/>
    <mergeCell ref="B10:B12"/>
    <mergeCell ref="E10:E12"/>
    <mergeCell ref="F10:F12"/>
    <mergeCell ref="E13:E14"/>
    <mergeCell ref="F13:F14"/>
    <mergeCell ref="A4:F4"/>
    <mergeCell ref="A5:F5"/>
    <mergeCell ref="B6:C6"/>
    <mergeCell ref="A7:A9"/>
    <mergeCell ref="B7:B9"/>
    <mergeCell ref="E7:E9"/>
    <mergeCell ref="F7:F9"/>
  </mergeCells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>
    <oddHeader>&amp;C&amp;"Times New Roman,Normal"&amp;12&amp;A</oddHeader>
    <oddFooter>&amp;C&amp;"Times New Roman,Normal"&amp;12Página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6600"/>
    <pageSetUpPr fitToPage="1"/>
  </sheetPr>
  <dimension ref="A1:N61"/>
  <sheetViews>
    <sheetView topLeftCell="M48" zoomScaleNormal="100" workbookViewId="0">
      <selection activeCell="B1" sqref="A1:N61"/>
    </sheetView>
  </sheetViews>
  <sheetFormatPr defaultColWidth="9" defaultRowHeight="12.75"/>
  <cols>
    <col min="1" max="1" width="7.140625" style="221" customWidth="1"/>
    <col min="2" max="2" width="58.42578125" style="102" customWidth="1"/>
    <col min="3" max="3" width="7.85546875" style="222" customWidth="1"/>
    <col min="4" max="4" width="13" style="102" customWidth="1"/>
    <col min="5" max="7" width="7.28515625" style="102" hidden="1" customWidth="1"/>
    <col min="8" max="8" width="19.140625" style="223" customWidth="1"/>
    <col min="9" max="9" width="10.5703125" style="102" customWidth="1"/>
    <col min="10" max="10" width="14.42578125" style="102" customWidth="1"/>
    <col min="11" max="11" width="39.42578125" customWidth="1"/>
    <col min="13" max="13" width="11.7109375" customWidth="1"/>
    <col min="14" max="14" width="13.7109375" customWidth="1"/>
    <col min="1022" max="1024" width="8.7109375" customWidth="1"/>
  </cols>
  <sheetData>
    <row r="1" spans="1:14" s="102" customFormat="1" ht="15">
      <c r="A1" s="43" t="s">
        <v>0</v>
      </c>
      <c r="B1" s="44"/>
      <c r="C1" s="224"/>
      <c r="D1" s="100"/>
      <c r="E1" s="100"/>
      <c r="F1" s="100"/>
      <c r="G1" s="100"/>
      <c r="H1" s="100"/>
      <c r="I1" s="100"/>
      <c r="J1" s="100"/>
      <c r="K1" s="225"/>
    </row>
    <row r="2" spans="1:14" s="102" customFormat="1" ht="15">
      <c r="A2" s="48" t="s">
        <v>1</v>
      </c>
      <c r="B2" s="41"/>
      <c r="C2" s="222"/>
      <c r="K2" s="226"/>
    </row>
    <row r="3" spans="1:14" s="102" customFormat="1" ht="22.5" customHeight="1">
      <c r="A3" s="48" t="s">
        <v>273</v>
      </c>
      <c r="B3" s="227" t="s">
        <v>274</v>
      </c>
      <c r="C3" s="222"/>
      <c r="K3" s="226"/>
    </row>
    <row r="4" spans="1:14" s="102" customFormat="1" ht="31.5" customHeight="1">
      <c r="A4" s="703" t="s">
        <v>275</v>
      </c>
      <c r="B4" s="703"/>
      <c r="C4" s="703"/>
      <c r="D4" s="703"/>
      <c r="E4" s="703"/>
      <c r="F4" s="703"/>
      <c r="G4" s="703"/>
      <c r="H4" s="703"/>
      <c r="I4" s="703"/>
      <c r="J4" s="703"/>
      <c r="K4" s="703"/>
    </row>
    <row r="5" spans="1:14" s="102" customFormat="1" ht="20.100000000000001" customHeight="1">
      <c r="A5" s="228"/>
      <c r="B5" s="229"/>
      <c r="C5" s="229"/>
      <c r="D5" s="229"/>
      <c r="F5" s="229"/>
      <c r="G5" s="229"/>
      <c r="H5" s="229"/>
      <c r="I5" s="229"/>
      <c r="J5" s="229"/>
      <c r="K5" s="226"/>
    </row>
    <row r="6" spans="1:14" s="102" customFormat="1" ht="28.5" customHeight="1">
      <c r="A6" s="704" t="s">
        <v>7</v>
      </c>
      <c r="B6" s="705" t="s">
        <v>276</v>
      </c>
      <c r="C6" s="705"/>
      <c r="D6" s="705"/>
      <c r="E6" s="230"/>
      <c r="F6" s="231"/>
      <c r="G6" s="231"/>
      <c r="H6" s="706" t="s">
        <v>277</v>
      </c>
      <c r="I6" s="706"/>
      <c r="J6" s="706"/>
      <c r="K6" s="707" t="s">
        <v>278</v>
      </c>
    </row>
    <row r="7" spans="1:14" s="102" customFormat="1" ht="27" customHeight="1">
      <c r="A7" s="704"/>
      <c r="B7" s="705"/>
      <c r="C7" s="705"/>
      <c r="D7" s="705"/>
      <c r="E7" s="708" t="s">
        <v>279</v>
      </c>
      <c r="F7" s="709" t="s">
        <v>5</v>
      </c>
      <c r="G7" s="710" t="s">
        <v>280</v>
      </c>
      <c r="H7" s="711" t="s">
        <v>281</v>
      </c>
      <c r="I7" s="709" t="s">
        <v>71</v>
      </c>
      <c r="J7" s="712" t="s">
        <v>282</v>
      </c>
      <c r="K7" s="707"/>
      <c r="M7" s="714" t="s">
        <v>283</v>
      </c>
      <c r="N7" s="714"/>
    </row>
    <row r="8" spans="1:14" s="102" customFormat="1" ht="50.25" customHeight="1">
      <c r="A8" s="704"/>
      <c r="B8" s="232" t="s">
        <v>284</v>
      </c>
      <c r="C8" s="233" t="s">
        <v>285</v>
      </c>
      <c r="D8" s="233" t="s">
        <v>286</v>
      </c>
      <c r="E8" s="708"/>
      <c r="F8" s="708"/>
      <c r="G8" s="710"/>
      <c r="H8" s="711"/>
      <c r="I8" s="709"/>
      <c r="J8" s="712"/>
      <c r="K8" s="707"/>
      <c r="M8" s="234" t="s">
        <v>287</v>
      </c>
      <c r="N8" s="234" t="s">
        <v>288</v>
      </c>
    </row>
    <row r="9" spans="1:14" s="102" customFormat="1" ht="30" customHeight="1">
      <c r="A9" s="235">
        <v>1</v>
      </c>
      <c r="B9" s="236" t="s">
        <v>289</v>
      </c>
      <c r="C9" s="200" t="s">
        <v>290</v>
      </c>
      <c r="D9" s="200" t="s">
        <v>291</v>
      </c>
      <c r="E9" s="124"/>
      <c r="F9" s="124"/>
      <c r="G9" s="237"/>
      <c r="H9" s="238">
        <v>3</v>
      </c>
      <c r="I9" s="239">
        <v>38.83</v>
      </c>
      <c r="J9" s="240">
        <f t="shared" ref="J9:J53" si="0">I9*H9</f>
        <v>116.49</v>
      </c>
      <c r="K9" s="241"/>
      <c r="M9" s="200">
        <v>3</v>
      </c>
      <c r="N9" s="200" t="s">
        <v>292</v>
      </c>
    </row>
    <row r="10" spans="1:14" s="102" customFormat="1" ht="26.25" customHeight="1">
      <c r="A10" s="235">
        <v>2</v>
      </c>
      <c r="B10" s="236" t="s">
        <v>293</v>
      </c>
      <c r="C10" s="200" t="s">
        <v>294</v>
      </c>
      <c r="D10" s="242" t="s">
        <v>291</v>
      </c>
      <c r="E10" s="124"/>
      <c r="F10" s="124"/>
      <c r="G10" s="237"/>
      <c r="H10" s="238">
        <v>2</v>
      </c>
      <c r="I10" s="239">
        <v>7.38</v>
      </c>
      <c r="J10" s="240">
        <f t="shared" si="0"/>
        <v>14.76</v>
      </c>
      <c r="K10" s="241"/>
      <c r="M10" s="200">
        <v>2</v>
      </c>
      <c r="N10" s="200" t="s">
        <v>292</v>
      </c>
    </row>
    <row r="11" spans="1:14" s="102" customFormat="1" ht="30" customHeight="1">
      <c r="A11" s="235">
        <v>3</v>
      </c>
      <c r="B11" s="236" t="s">
        <v>295</v>
      </c>
      <c r="C11" s="200" t="s">
        <v>294</v>
      </c>
      <c r="D11" s="200" t="s">
        <v>296</v>
      </c>
      <c r="E11" s="124"/>
      <c r="F11" s="124"/>
      <c r="G11" s="237"/>
      <c r="H11" s="238">
        <v>15</v>
      </c>
      <c r="I11" s="239">
        <v>12.89</v>
      </c>
      <c r="J11" s="240">
        <f t="shared" si="0"/>
        <v>193.35000000000002</v>
      </c>
      <c r="K11" s="241"/>
      <c r="M11" s="200">
        <v>15</v>
      </c>
      <c r="N11" s="200" t="s">
        <v>292</v>
      </c>
    </row>
    <row r="12" spans="1:14" s="102" customFormat="1" ht="30" customHeight="1">
      <c r="A12" s="235">
        <v>4</v>
      </c>
      <c r="B12" s="236" t="s">
        <v>297</v>
      </c>
      <c r="C12" s="200" t="s">
        <v>294</v>
      </c>
      <c r="D12" s="200"/>
      <c r="E12" s="124"/>
      <c r="F12" s="124"/>
      <c r="G12" s="237"/>
      <c r="H12" s="238">
        <f>M12/6</f>
        <v>0.33333333333333331</v>
      </c>
      <c r="I12" s="239">
        <v>10.039999999999999</v>
      </c>
      <c r="J12" s="240">
        <f t="shared" si="0"/>
        <v>3.3466666666666662</v>
      </c>
      <c r="K12" s="241"/>
      <c r="M12" s="200">
        <v>2</v>
      </c>
      <c r="N12" s="200" t="s">
        <v>298</v>
      </c>
    </row>
    <row r="13" spans="1:14" s="102" customFormat="1" ht="30" customHeight="1">
      <c r="A13" s="235">
        <v>5</v>
      </c>
      <c r="B13" s="236" t="s">
        <v>299</v>
      </c>
      <c r="C13" s="200" t="s">
        <v>294</v>
      </c>
      <c r="D13" s="200"/>
      <c r="E13" s="124"/>
      <c r="F13" s="124"/>
      <c r="G13" s="237"/>
      <c r="H13" s="238">
        <f>M13/6</f>
        <v>0.33333333333333331</v>
      </c>
      <c r="I13" s="239">
        <v>15.81</v>
      </c>
      <c r="J13" s="240">
        <f t="shared" si="0"/>
        <v>5.27</v>
      </c>
      <c r="K13" s="243"/>
      <c r="M13" s="200">
        <v>2</v>
      </c>
      <c r="N13" s="200" t="s">
        <v>298</v>
      </c>
    </row>
    <row r="14" spans="1:14" s="102" customFormat="1" ht="30" customHeight="1">
      <c r="A14" s="235">
        <v>6</v>
      </c>
      <c r="B14" s="236" t="s">
        <v>300</v>
      </c>
      <c r="C14" s="200" t="s">
        <v>294</v>
      </c>
      <c r="D14" s="244"/>
      <c r="E14" s="124"/>
      <c r="F14" s="124"/>
      <c r="G14" s="237"/>
      <c r="H14" s="238">
        <f>M14/6</f>
        <v>0.5</v>
      </c>
      <c r="I14" s="239">
        <v>42.09</v>
      </c>
      <c r="J14" s="240">
        <f t="shared" si="0"/>
        <v>21.045000000000002</v>
      </c>
      <c r="K14" s="243"/>
      <c r="M14" s="200">
        <v>3</v>
      </c>
      <c r="N14" s="200" t="s">
        <v>298</v>
      </c>
    </row>
    <row r="15" spans="1:14" s="102" customFormat="1" ht="30" customHeight="1">
      <c r="A15" s="235">
        <v>7</v>
      </c>
      <c r="B15" s="236" t="s">
        <v>301</v>
      </c>
      <c r="C15" s="200" t="s">
        <v>290</v>
      </c>
      <c r="D15" s="245"/>
      <c r="E15" s="124"/>
      <c r="F15" s="124"/>
      <c r="G15" s="237"/>
      <c r="H15" s="238">
        <v>8</v>
      </c>
      <c r="I15" s="239">
        <v>37.590000000000003</v>
      </c>
      <c r="J15" s="240">
        <f t="shared" si="0"/>
        <v>300.72000000000003</v>
      </c>
      <c r="K15" s="241"/>
      <c r="M15" s="200">
        <v>8</v>
      </c>
      <c r="N15" s="200" t="s">
        <v>292</v>
      </c>
    </row>
    <row r="16" spans="1:14" s="102" customFormat="1" ht="30" customHeight="1">
      <c r="A16" s="235">
        <v>8</v>
      </c>
      <c r="B16" s="236" t="s">
        <v>302</v>
      </c>
      <c r="C16" s="200" t="s">
        <v>294</v>
      </c>
      <c r="D16" s="200" t="s">
        <v>303</v>
      </c>
      <c r="E16" s="124"/>
      <c r="F16" s="124"/>
      <c r="G16" s="237"/>
      <c r="H16" s="238">
        <f>M16/6</f>
        <v>0.33333333333333331</v>
      </c>
      <c r="I16" s="239">
        <v>14.31</v>
      </c>
      <c r="J16" s="240">
        <f t="shared" si="0"/>
        <v>4.7699999999999996</v>
      </c>
      <c r="K16" s="243"/>
      <c r="M16" s="200">
        <v>2</v>
      </c>
      <c r="N16" s="200" t="s">
        <v>298</v>
      </c>
    </row>
    <row r="17" spans="1:14" s="102" customFormat="1" ht="33" customHeight="1">
      <c r="A17" s="235">
        <v>9</v>
      </c>
      <c r="B17" s="236" t="s">
        <v>304</v>
      </c>
      <c r="C17" s="200" t="s">
        <v>294</v>
      </c>
      <c r="D17" s="200" t="s">
        <v>305</v>
      </c>
      <c r="E17" s="124"/>
      <c r="F17" s="246"/>
      <c r="G17" s="247"/>
      <c r="H17" s="238">
        <f>M17/6</f>
        <v>0.16666666666666666</v>
      </c>
      <c r="I17" s="239">
        <v>7.77</v>
      </c>
      <c r="J17" s="240">
        <f t="shared" si="0"/>
        <v>1.2949999999999999</v>
      </c>
      <c r="K17" s="243"/>
      <c r="M17" s="200">
        <v>1</v>
      </c>
      <c r="N17" s="200" t="s">
        <v>298</v>
      </c>
    </row>
    <row r="18" spans="1:14" s="102" customFormat="1" ht="33" customHeight="1">
      <c r="A18" s="235">
        <v>10</v>
      </c>
      <c r="B18" s="236" t="s">
        <v>306</v>
      </c>
      <c r="C18" s="200" t="s">
        <v>294</v>
      </c>
      <c r="D18" s="200" t="s">
        <v>307</v>
      </c>
      <c r="E18" s="124"/>
      <c r="F18" s="246"/>
      <c r="G18" s="247"/>
      <c r="H18" s="238">
        <v>8</v>
      </c>
      <c r="I18" s="239">
        <v>11.06</v>
      </c>
      <c r="J18" s="240">
        <f t="shared" si="0"/>
        <v>88.48</v>
      </c>
      <c r="K18" s="243"/>
      <c r="M18" s="200">
        <v>8</v>
      </c>
      <c r="N18" s="200" t="s">
        <v>292</v>
      </c>
    </row>
    <row r="19" spans="1:14" s="102" customFormat="1" ht="28.5" customHeight="1">
      <c r="A19" s="235">
        <v>11</v>
      </c>
      <c r="B19" s="248" t="s">
        <v>308</v>
      </c>
      <c r="C19" s="200" t="s">
        <v>294</v>
      </c>
      <c r="D19" s="200" t="s">
        <v>307</v>
      </c>
      <c r="E19" s="124"/>
      <c r="F19" s="124"/>
      <c r="G19" s="237"/>
      <c r="H19" s="238">
        <v>10</v>
      </c>
      <c r="I19" s="239">
        <v>2.35</v>
      </c>
      <c r="J19" s="240">
        <f t="shared" si="0"/>
        <v>23.5</v>
      </c>
      <c r="K19" s="241"/>
      <c r="M19" s="200">
        <v>10</v>
      </c>
      <c r="N19" s="200" t="s">
        <v>292</v>
      </c>
    </row>
    <row r="20" spans="1:14" s="102" customFormat="1" ht="27.75" customHeight="1">
      <c r="A20" s="235">
        <v>12</v>
      </c>
      <c r="B20" s="248" t="s">
        <v>309</v>
      </c>
      <c r="C20" s="200" t="s">
        <v>294</v>
      </c>
      <c r="D20" s="200" t="s">
        <v>303</v>
      </c>
      <c r="E20" s="124"/>
      <c r="F20" s="124"/>
      <c r="G20" s="237"/>
      <c r="H20" s="238">
        <f>M20/3</f>
        <v>0.66666666666666663</v>
      </c>
      <c r="I20" s="239">
        <v>3.74</v>
      </c>
      <c r="J20" s="240">
        <f t="shared" si="0"/>
        <v>2.4933333333333332</v>
      </c>
      <c r="K20" s="241"/>
      <c r="M20" s="200">
        <v>2</v>
      </c>
      <c r="N20" s="200" t="s">
        <v>310</v>
      </c>
    </row>
    <row r="21" spans="1:14" s="102" customFormat="1" ht="30" customHeight="1">
      <c r="A21" s="235">
        <v>13</v>
      </c>
      <c r="B21" s="249" t="s">
        <v>311</v>
      </c>
      <c r="C21" s="250" t="s">
        <v>294</v>
      </c>
      <c r="D21" s="250"/>
      <c r="E21" s="250"/>
      <c r="F21" s="250"/>
      <c r="G21" s="251"/>
      <c r="H21" s="252">
        <f>M21/2</f>
        <v>1.5</v>
      </c>
      <c r="I21" s="239">
        <v>19.39</v>
      </c>
      <c r="J21" s="240">
        <f t="shared" si="0"/>
        <v>29.085000000000001</v>
      </c>
      <c r="K21" s="241"/>
      <c r="M21" s="250">
        <v>3</v>
      </c>
      <c r="N21" s="250" t="s">
        <v>312</v>
      </c>
    </row>
    <row r="22" spans="1:14" s="102" customFormat="1" ht="30" customHeight="1">
      <c r="A22" s="235">
        <v>14</v>
      </c>
      <c r="B22" s="248" t="s">
        <v>313</v>
      </c>
      <c r="C22" s="200" t="s">
        <v>294</v>
      </c>
      <c r="D22" s="200" t="s">
        <v>305</v>
      </c>
      <c r="E22" s="124"/>
      <c r="F22" s="124"/>
      <c r="G22" s="237"/>
      <c r="H22" s="238">
        <v>20</v>
      </c>
      <c r="I22" s="239">
        <v>0.79</v>
      </c>
      <c r="J22" s="240">
        <f t="shared" si="0"/>
        <v>15.8</v>
      </c>
      <c r="K22" s="241"/>
      <c r="M22" s="200">
        <v>20</v>
      </c>
      <c r="N22" s="200" t="s">
        <v>292</v>
      </c>
    </row>
    <row r="23" spans="1:14" s="102" customFormat="1" ht="30" customHeight="1">
      <c r="A23" s="235">
        <v>15</v>
      </c>
      <c r="B23" s="248" t="s">
        <v>314</v>
      </c>
      <c r="C23" s="200" t="s">
        <v>294</v>
      </c>
      <c r="D23" s="200"/>
      <c r="E23" s="124"/>
      <c r="F23" s="124"/>
      <c r="G23" s="237"/>
      <c r="H23" s="238">
        <v>15</v>
      </c>
      <c r="I23" s="239">
        <v>2.5499999999999998</v>
      </c>
      <c r="J23" s="240">
        <f t="shared" si="0"/>
        <v>38.25</v>
      </c>
      <c r="K23" s="241"/>
      <c r="M23" s="200">
        <v>15</v>
      </c>
      <c r="N23" s="200" t="s">
        <v>292</v>
      </c>
    </row>
    <row r="24" spans="1:14" s="102" customFormat="1" ht="30" customHeight="1">
      <c r="A24" s="235">
        <v>16</v>
      </c>
      <c r="B24" s="236" t="s">
        <v>315</v>
      </c>
      <c r="C24" s="200" t="s">
        <v>294</v>
      </c>
      <c r="D24" s="200" t="s">
        <v>316</v>
      </c>
      <c r="E24" s="124"/>
      <c r="F24" s="124"/>
      <c r="G24" s="237"/>
      <c r="H24" s="238">
        <v>1</v>
      </c>
      <c r="I24" s="239">
        <v>9.1300000000000008</v>
      </c>
      <c r="J24" s="240">
        <f t="shared" si="0"/>
        <v>9.1300000000000008</v>
      </c>
      <c r="K24" s="243"/>
      <c r="M24" s="200">
        <v>1</v>
      </c>
      <c r="N24" s="200" t="s">
        <v>292</v>
      </c>
    </row>
    <row r="25" spans="1:14" s="102" customFormat="1" ht="30" customHeight="1">
      <c r="A25" s="235">
        <v>17</v>
      </c>
      <c r="B25" s="236" t="s">
        <v>317</v>
      </c>
      <c r="C25" s="200" t="s">
        <v>294</v>
      </c>
      <c r="D25" s="200" t="s">
        <v>318</v>
      </c>
      <c r="E25" s="124"/>
      <c r="F25" s="124"/>
      <c r="G25" s="237"/>
      <c r="H25" s="238">
        <v>5</v>
      </c>
      <c r="I25" s="239">
        <v>2.12</v>
      </c>
      <c r="J25" s="240">
        <f t="shared" si="0"/>
        <v>10.600000000000001</v>
      </c>
      <c r="K25" s="243"/>
      <c r="M25" s="200">
        <v>5</v>
      </c>
      <c r="N25" s="200" t="s">
        <v>292</v>
      </c>
    </row>
    <row r="26" spans="1:14" s="102" customFormat="1" ht="30" customHeight="1">
      <c r="A26" s="235">
        <v>18</v>
      </c>
      <c r="B26" s="253" t="s">
        <v>319</v>
      </c>
      <c r="C26" s="200" t="s">
        <v>294</v>
      </c>
      <c r="D26" s="200" t="s">
        <v>320</v>
      </c>
      <c r="E26" s="124"/>
      <c r="F26" s="124"/>
      <c r="G26" s="237"/>
      <c r="H26" s="238">
        <v>2</v>
      </c>
      <c r="I26" s="239">
        <v>1.78</v>
      </c>
      <c r="J26" s="240">
        <f t="shared" si="0"/>
        <v>3.56</v>
      </c>
      <c r="K26" s="243"/>
      <c r="M26" s="200">
        <v>2</v>
      </c>
      <c r="N26" s="200" t="s">
        <v>292</v>
      </c>
    </row>
    <row r="27" spans="1:14" s="102" customFormat="1" ht="30" customHeight="1">
      <c r="A27" s="235">
        <v>19</v>
      </c>
      <c r="B27" s="253" t="s">
        <v>321</v>
      </c>
      <c r="C27" s="200" t="s">
        <v>322</v>
      </c>
      <c r="D27" s="200"/>
      <c r="E27" s="124"/>
      <c r="F27" s="124"/>
      <c r="G27" s="237"/>
      <c r="H27" s="238">
        <v>10</v>
      </c>
      <c r="I27" s="239">
        <v>6.32</v>
      </c>
      <c r="J27" s="240">
        <f t="shared" si="0"/>
        <v>63.2</v>
      </c>
      <c r="K27" s="243"/>
      <c r="M27" s="200">
        <v>10</v>
      </c>
      <c r="N27" s="200" t="s">
        <v>292</v>
      </c>
    </row>
    <row r="28" spans="1:14" s="102" customFormat="1" ht="27" customHeight="1">
      <c r="A28" s="235">
        <v>20</v>
      </c>
      <c r="B28" s="248" t="s">
        <v>323</v>
      </c>
      <c r="C28" s="200" t="s">
        <v>294</v>
      </c>
      <c r="D28" s="200" t="s">
        <v>324</v>
      </c>
      <c r="E28" s="124"/>
      <c r="F28" s="124"/>
      <c r="G28" s="237"/>
      <c r="H28" s="238">
        <v>20</v>
      </c>
      <c r="I28" s="239">
        <v>10.42</v>
      </c>
      <c r="J28" s="240">
        <f t="shared" si="0"/>
        <v>208.4</v>
      </c>
      <c r="K28" s="243"/>
      <c r="M28" s="200">
        <v>20</v>
      </c>
      <c r="N28" s="200" t="s">
        <v>292</v>
      </c>
    </row>
    <row r="29" spans="1:14" s="102" customFormat="1" ht="24.75" customHeight="1">
      <c r="A29" s="235">
        <v>21</v>
      </c>
      <c r="B29" s="248" t="s">
        <v>325</v>
      </c>
      <c r="C29" s="200" t="s">
        <v>294</v>
      </c>
      <c r="D29" s="200" t="s">
        <v>326</v>
      </c>
      <c r="E29" s="124"/>
      <c r="F29" s="124"/>
      <c r="G29" s="237"/>
      <c r="H29" s="238">
        <v>3</v>
      </c>
      <c r="I29" s="239">
        <v>4.2699999999999996</v>
      </c>
      <c r="J29" s="240">
        <f t="shared" si="0"/>
        <v>12.809999999999999</v>
      </c>
      <c r="K29" s="243"/>
      <c r="M29" s="200">
        <v>3</v>
      </c>
      <c r="N29" s="200" t="s">
        <v>292</v>
      </c>
    </row>
    <row r="30" spans="1:14" s="102" customFormat="1" ht="30" customHeight="1">
      <c r="A30" s="235">
        <v>22</v>
      </c>
      <c r="B30" s="248" t="s">
        <v>327</v>
      </c>
      <c r="C30" s="200" t="s">
        <v>328</v>
      </c>
      <c r="D30" s="200"/>
      <c r="E30" s="124"/>
      <c r="F30" s="124"/>
      <c r="G30" s="237"/>
      <c r="H30" s="238">
        <v>10</v>
      </c>
      <c r="I30" s="239">
        <v>5.92</v>
      </c>
      <c r="J30" s="240">
        <f t="shared" si="0"/>
        <v>59.2</v>
      </c>
      <c r="K30" s="241"/>
      <c r="M30" s="200">
        <v>10</v>
      </c>
      <c r="N30" s="200" t="s">
        <v>292</v>
      </c>
    </row>
    <row r="31" spans="1:14" s="102" customFormat="1" ht="30" customHeight="1">
      <c r="A31" s="235">
        <v>23</v>
      </c>
      <c r="B31" s="248" t="s">
        <v>329</v>
      </c>
      <c r="C31" s="200" t="s">
        <v>294</v>
      </c>
      <c r="D31" s="200" t="s">
        <v>324</v>
      </c>
      <c r="E31" s="124"/>
      <c r="F31" s="124"/>
      <c r="G31" s="237"/>
      <c r="H31" s="238">
        <v>8</v>
      </c>
      <c r="I31" s="239">
        <v>3.5</v>
      </c>
      <c r="J31" s="240">
        <f t="shared" si="0"/>
        <v>28</v>
      </c>
      <c r="K31" s="241"/>
      <c r="M31" s="200">
        <v>8</v>
      </c>
      <c r="N31" s="200" t="s">
        <v>292</v>
      </c>
    </row>
    <row r="32" spans="1:14" s="102" customFormat="1" ht="30" customHeight="1">
      <c r="A32" s="235">
        <v>24</v>
      </c>
      <c r="B32" s="248" t="s">
        <v>330</v>
      </c>
      <c r="C32" s="200" t="s">
        <v>294</v>
      </c>
      <c r="D32" s="200"/>
      <c r="E32" s="124"/>
      <c r="F32" s="124"/>
      <c r="G32" s="237"/>
      <c r="H32" s="238">
        <f>M32/6</f>
        <v>1</v>
      </c>
      <c r="I32" s="239">
        <v>9.42</v>
      </c>
      <c r="J32" s="240">
        <f t="shared" si="0"/>
        <v>9.42</v>
      </c>
      <c r="K32" s="241"/>
      <c r="M32" s="200">
        <v>6</v>
      </c>
      <c r="N32" s="200" t="s">
        <v>298</v>
      </c>
    </row>
    <row r="33" spans="1:14" s="102" customFormat="1" ht="30" customHeight="1">
      <c r="A33" s="235">
        <v>25</v>
      </c>
      <c r="B33" s="248" t="s">
        <v>331</v>
      </c>
      <c r="C33" s="200" t="s">
        <v>294</v>
      </c>
      <c r="D33" s="200"/>
      <c r="E33" s="124"/>
      <c r="F33" s="124"/>
      <c r="G33" s="237"/>
      <c r="H33" s="238">
        <f>M33/2</f>
        <v>3</v>
      </c>
      <c r="I33" s="239">
        <v>4.5599999999999996</v>
      </c>
      <c r="J33" s="240">
        <f t="shared" si="0"/>
        <v>13.68</v>
      </c>
      <c r="K33" s="241"/>
      <c r="M33" s="200">
        <v>6</v>
      </c>
      <c r="N33" s="200" t="s">
        <v>312</v>
      </c>
    </row>
    <row r="34" spans="1:14" s="102" customFormat="1" ht="86.25" customHeight="1">
      <c r="A34" s="235">
        <v>26</v>
      </c>
      <c r="B34" s="248" t="s">
        <v>332</v>
      </c>
      <c r="C34" s="200" t="s">
        <v>333</v>
      </c>
      <c r="D34" s="200" t="s">
        <v>334</v>
      </c>
      <c r="E34" s="124"/>
      <c r="F34" s="124"/>
      <c r="G34" s="237"/>
      <c r="H34" s="238">
        <v>3</v>
      </c>
      <c r="I34" s="239">
        <v>97.03</v>
      </c>
      <c r="J34" s="240">
        <f t="shared" si="0"/>
        <v>291.09000000000003</v>
      </c>
      <c r="K34" s="241"/>
      <c r="M34" s="200">
        <v>3</v>
      </c>
      <c r="N34" s="200" t="s">
        <v>292</v>
      </c>
    </row>
    <row r="35" spans="1:14" s="102" customFormat="1" ht="15">
      <c r="A35" s="235">
        <v>27</v>
      </c>
      <c r="B35" s="254" t="s">
        <v>335</v>
      </c>
      <c r="C35" s="200" t="s">
        <v>333</v>
      </c>
      <c r="D35" s="200" t="s">
        <v>336</v>
      </c>
      <c r="E35" s="124"/>
      <c r="F35" s="124"/>
      <c r="G35" s="237"/>
      <c r="H35" s="238">
        <v>40</v>
      </c>
      <c r="I35" s="239">
        <v>6.59</v>
      </c>
      <c r="J35" s="240">
        <f t="shared" si="0"/>
        <v>263.60000000000002</v>
      </c>
      <c r="K35" s="241"/>
      <c r="M35" s="200">
        <v>40</v>
      </c>
      <c r="N35" s="200" t="s">
        <v>292</v>
      </c>
    </row>
    <row r="36" spans="1:14" s="102" customFormat="1" ht="34.5" customHeight="1">
      <c r="A36" s="235">
        <v>28</v>
      </c>
      <c r="B36" s="248" t="s">
        <v>337</v>
      </c>
      <c r="C36" s="200" t="s">
        <v>294</v>
      </c>
      <c r="D36" s="200" t="s">
        <v>338</v>
      </c>
      <c r="E36" s="124"/>
      <c r="F36" s="124"/>
      <c r="G36" s="237"/>
      <c r="H36" s="238">
        <v>180</v>
      </c>
      <c r="I36" s="239">
        <v>1.34</v>
      </c>
      <c r="J36" s="240">
        <f t="shared" si="0"/>
        <v>241.20000000000002</v>
      </c>
      <c r="K36" s="243"/>
      <c r="M36" s="200">
        <v>180</v>
      </c>
      <c r="N36" s="200" t="s">
        <v>292</v>
      </c>
    </row>
    <row r="37" spans="1:14" s="102" customFormat="1" ht="36" customHeight="1">
      <c r="A37" s="235">
        <v>29</v>
      </c>
      <c r="B37" s="248" t="s">
        <v>339</v>
      </c>
      <c r="C37" s="200" t="s">
        <v>294</v>
      </c>
      <c r="D37" s="200" t="s">
        <v>305</v>
      </c>
      <c r="E37" s="124"/>
      <c r="F37" s="124"/>
      <c r="G37" s="237"/>
      <c r="H37" s="238">
        <f>M37/4</f>
        <v>1</v>
      </c>
      <c r="I37" s="239">
        <v>6.77</v>
      </c>
      <c r="J37" s="240">
        <f t="shared" si="0"/>
        <v>6.77</v>
      </c>
      <c r="K37" s="243"/>
      <c r="M37" s="200">
        <v>4</v>
      </c>
      <c r="N37" s="200" t="s">
        <v>340</v>
      </c>
    </row>
    <row r="38" spans="1:14" s="102" customFormat="1" ht="30" customHeight="1">
      <c r="A38" s="235">
        <v>30</v>
      </c>
      <c r="B38" s="248" t="s">
        <v>341</v>
      </c>
      <c r="C38" s="200" t="s">
        <v>294</v>
      </c>
      <c r="D38" s="200" t="s">
        <v>305</v>
      </c>
      <c r="E38" s="124"/>
      <c r="F38" s="124"/>
      <c r="G38" s="237"/>
      <c r="H38" s="238">
        <f>M38/4</f>
        <v>1</v>
      </c>
      <c r="I38" s="239">
        <v>13.46</v>
      </c>
      <c r="J38" s="240">
        <f t="shared" si="0"/>
        <v>13.46</v>
      </c>
      <c r="K38" s="241"/>
      <c r="M38" s="200">
        <v>4</v>
      </c>
      <c r="N38" s="200" t="s">
        <v>340</v>
      </c>
    </row>
    <row r="39" spans="1:14" s="102" customFormat="1" ht="30" customHeight="1">
      <c r="A39" s="235">
        <v>31</v>
      </c>
      <c r="B39" s="248" t="s">
        <v>342</v>
      </c>
      <c r="C39" s="200" t="s">
        <v>294</v>
      </c>
      <c r="D39" s="200"/>
      <c r="E39" s="124"/>
      <c r="F39" s="124"/>
      <c r="G39" s="237"/>
      <c r="H39" s="238">
        <f>M39/6</f>
        <v>0.16666666666666666</v>
      </c>
      <c r="I39" s="239">
        <v>43.77</v>
      </c>
      <c r="J39" s="240">
        <f t="shared" si="0"/>
        <v>7.2949999999999999</v>
      </c>
      <c r="K39" s="241"/>
      <c r="M39" s="200">
        <v>1</v>
      </c>
      <c r="N39" s="200" t="s">
        <v>298</v>
      </c>
    </row>
    <row r="40" spans="1:14" s="102" customFormat="1" ht="30" customHeight="1">
      <c r="A40" s="235">
        <v>32</v>
      </c>
      <c r="B40" s="248" t="s">
        <v>343</v>
      </c>
      <c r="C40" s="200" t="s">
        <v>294</v>
      </c>
      <c r="D40" s="200" t="s">
        <v>307</v>
      </c>
      <c r="E40" s="124"/>
      <c r="F40" s="124"/>
      <c r="G40" s="237"/>
      <c r="H40" s="238">
        <v>3</v>
      </c>
      <c r="I40" s="239">
        <v>3.15</v>
      </c>
      <c r="J40" s="240">
        <f t="shared" si="0"/>
        <v>9.4499999999999993</v>
      </c>
      <c r="K40" s="243"/>
      <c r="M40" s="200">
        <v>3</v>
      </c>
      <c r="N40" s="200" t="s">
        <v>292</v>
      </c>
    </row>
    <row r="41" spans="1:14" s="102" customFormat="1" ht="30" customHeight="1">
      <c r="A41" s="235">
        <v>33</v>
      </c>
      <c r="B41" s="248" t="s">
        <v>344</v>
      </c>
      <c r="C41" s="200" t="s">
        <v>294</v>
      </c>
      <c r="D41" s="200" t="s">
        <v>345</v>
      </c>
      <c r="E41" s="124"/>
      <c r="F41" s="124"/>
      <c r="G41" s="237"/>
      <c r="H41" s="238">
        <v>2</v>
      </c>
      <c r="I41" s="239">
        <v>8.58</v>
      </c>
      <c r="J41" s="240">
        <f t="shared" si="0"/>
        <v>17.16</v>
      </c>
      <c r="K41" s="243"/>
      <c r="M41" s="200">
        <v>2</v>
      </c>
      <c r="N41" s="200" t="s">
        <v>292</v>
      </c>
    </row>
    <row r="42" spans="1:14" s="102" customFormat="1" ht="30" customHeight="1">
      <c r="A42" s="235">
        <v>34</v>
      </c>
      <c r="B42" s="253" t="s">
        <v>346</v>
      </c>
      <c r="C42" s="200" t="s">
        <v>290</v>
      </c>
      <c r="D42" s="200"/>
      <c r="E42" s="124"/>
      <c r="F42" s="124"/>
      <c r="G42" s="237"/>
      <c r="H42" s="238">
        <v>8</v>
      </c>
      <c r="I42" s="239">
        <v>25.91</v>
      </c>
      <c r="J42" s="240">
        <f t="shared" si="0"/>
        <v>207.28</v>
      </c>
      <c r="K42" s="243"/>
      <c r="M42" s="200">
        <v>8</v>
      </c>
      <c r="N42" s="200" t="s">
        <v>292</v>
      </c>
    </row>
    <row r="43" spans="1:14" s="102" customFormat="1" ht="30" customHeight="1">
      <c r="A43" s="235">
        <v>35</v>
      </c>
      <c r="B43" s="248" t="s">
        <v>347</v>
      </c>
      <c r="C43" s="200" t="s">
        <v>348</v>
      </c>
      <c r="D43" s="200"/>
      <c r="E43" s="124"/>
      <c r="F43" s="124"/>
      <c r="G43" s="237"/>
      <c r="H43" s="238">
        <v>4</v>
      </c>
      <c r="I43" s="239">
        <v>59.9</v>
      </c>
      <c r="J43" s="240">
        <f t="shared" si="0"/>
        <v>239.6</v>
      </c>
      <c r="K43" s="243"/>
      <c r="M43" s="200">
        <v>4</v>
      </c>
      <c r="N43" s="200" t="s">
        <v>292</v>
      </c>
    </row>
    <row r="44" spans="1:14" s="102" customFormat="1" ht="30" customHeight="1">
      <c r="A44" s="235">
        <v>36</v>
      </c>
      <c r="B44" s="248" t="s">
        <v>349</v>
      </c>
      <c r="C44" s="200" t="s">
        <v>348</v>
      </c>
      <c r="D44" s="200"/>
      <c r="E44" s="124"/>
      <c r="F44" s="124"/>
      <c r="G44" s="237"/>
      <c r="H44" s="238">
        <v>4</v>
      </c>
      <c r="I44" s="239">
        <v>11.65</v>
      </c>
      <c r="J44" s="240">
        <f t="shared" si="0"/>
        <v>46.6</v>
      </c>
      <c r="K44" s="243"/>
      <c r="M44" s="200">
        <v>4</v>
      </c>
      <c r="N44" s="200" t="s">
        <v>292</v>
      </c>
    </row>
    <row r="45" spans="1:14" s="102" customFormat="1" ht="30" customHeight="1">
      <c r="A45" s="235">
        <v>37</v>
      </c>
      <c r="B45" s="248" t="s">
        <v>350</v>
      </c>
      <c r="C45" s="200" t="s">
        <v>348</v>
      </c>
      <c r="D45" s="200"/>
      <c r="E45" s="124"/>
      <c r="F45" s="124"/>
      <c r="G45" s="237"/>
      <c r="H45" s="238">
        <v>4</v>
      </c>
      <c r="I45" s="239">
        <v>14.69</v>
      </c>
      <c r="J45" s="240">
        <f t="shared" si="0"/>
        <v>58.76</v>
      </c>
      <c r="K45" s="243"/>
      <c r="M45" s="200">
        <v>4</v>
      </c>
      <c r="N45" s="200" t="s">
        <v>292</v>
      </c>
    </row>
    <row r="46" spans="1:14" s="102" customFormat="1" ht="30" customHeight="1">
      <c r="A46" s="235">
        <v>38</v>
      </c>
      <c r="B46" s="248" t="s">
        <v>351</v>
      </c>
      <c r="C46" s="200" t="s">
        <v>294</v>
      </c>
      <c r="D46" s="200"/>
      <c r="E46" s="124"/>
      <c r="F46" s="124"/>
      <c r="G46" s="237"/>
      <c r="H46" s="238">
        <v>10</v>
      </c>
      <c r="I46" s="239">
        <v>6.42</v>
      </c>
      <c r="J46" s="240">
        <f t="shared" si="0"/>
        <v>64.2</v>
      </c>
      <c r="K46" s="243"/>
      <c r="M46" s="200">
        <v>10</v>
      </c>
      <c r="N46" s="200" t="s">
        <v>292</v>
      </c>
    </row>
    <row r="47" spans="1:14" s="102" customFormat="1" ht="30" customHeight="1">
      <c r="A47" s="235">
        <v>39</v>
      </c>
      <c r="B47" s="248" t="s">
        <v>352</v>
      </c>
      <c r="C47" s="200" t="s">
        <v>294</v>
      </c>
      <c r="D47" s="200" t="s">
        <v>353</v>
      </c>
      <c r="E47" s="124"/>
      <c r="F47" s="124"/>
      <c r="G47" s="237"/>
      <c r="H47" s="238">
        <v>3</v>
      </c>
      <c r="I47" s="239">
        <v>3.16</v>
      </c>
      <c r="J47" s="240">
        <f t="shared" si="0"/>
        <v>9.48</v>
      </c>
      <c r="K47" s="243"/>
      <c r="M47" s="200">
        <v>3</v>
      </c>
      <c r="N47" s="200" t="s">
        <v>292</v>
      </c>
    </row>
    <row r="48" spans="1:14" s="102" customFormat="1" ht="30" customHeight="1">
      <c r="A48" s="235">
        <v>40</v>
      </c>
      <c r="B48" s="236" t="s">
        <v>354</v>
      </c>
      <c r="C48" s="200" t="s">
        <v>294</v>
      </c>
      <c r="D48" s="200" t="s">
        <v>355</v>
      </c>
      <c r="E48" s="124"/>
      <c r="F48" s="124"/>
      <c r="G48" s="237"/>
      <c r="H48" s="238">
        <f>M48/3</f>
        <v>0.33333333333333331</v>
      </c>
      <c r="I48" s="239">
        <v>17.170000000000002</v>
      </c>
      <c r="J48" s="240">
        <f t="shared" si="0"/>
        <v>5.7233333333333336</v>
      </c>
      <c r="K48" s="243"/>
      <c r="M48" s="200">
        <v>1</v>
      </c>
      <c r="N48" s="200" t="s">
        <v>310</v>
      </c>
    </row>
    <row r="49" spans="1:14" s="102" customFormat="1" ht="30" customHeight="1">
      <c r="A49" s="235">
        <v>41</v>
      </c>
      <c r="B49" s="248" t="s">
        <v>356</v>
      </c>
      <c r="C49" s="200" t="s">
        <v>294</v>
      </c>
      <c r="D49" s="200"/>
      <c r="E49" s="124"/>
      <c r="F49" s="124"/>
      <c r="G49" s="237"/>
      <c r="H49" s="238">
        <f>M49/6</f>
        <v>0.16666666666666666</v>
      </c>
      <c r="I49" s="239">
        <v>24.44</v>
      </c>
      <c r="J49" s="240">
        <f t="shared" si="0"/>
        <v>4.0733333333333333</v>
      </c>
      <c r="K49" s="243"/>
      <c r="M49" s="200">
        <v>1</v>
      </c>
      <c r="N49" s="200" t="s">
        <v>298</v>
      </c>
    </row>
    <row r="50" spans="1:14" s="102" customFormat="1" ht="30" customHeight="1">
      <c r="A50" s="235">
        <v>42</v>
      </c>
      <c r="B50" s="248" t="s">
        <v>357</v>
      </c>
      <c r="C50" s="200" t="s">
        <v>294</v>
      </c>
      <c r="D50" s="200"/>
      <c r="E50" s="124"/>
      <c r="F50" s="124"/>
      <c r="G50" s="237"/>
      <c r="H50" s="238">
        <f>M50/6</f>
        <v>1</v>
      </c>
      <c r="I50" s="239">
        <v>20.56</v>
      </c>
      <c r="J50" s="240">
        <f t="shared" si="0"/>
        <v>20.56</v>
      </c>
      <c r="K50" s="243"/>
      <c r="M50" s="200">
        <v>6</v>
      </c>
      <c r="N50" s="200" t="s">
        <v>298</v>
      </c>
    </row>
    <row r="51" spans="1:14" s="102" customFormat="1" ht="30" customHeight="1">
      <c r="A51" s="235">
        <v>43</v>
      </c>
      <c r="B51" s="248" t="s">
        <v>358</v>
      </c>
      <c r="C51" s="200" t="s">
        <v>294</v>
      </c>
      <c r="D51" s="200"/>
      <c r="E51" s="124"/>
      <c r="F51" s="124"/>
      <c r="G51" s="237"/>
      <c r="H51" s="238">
        <f>M51/6</f>
        <v>0.5</v>
      </c>
      <c r="I51" s="239">
        <v>18.11</v>
      </c>
      <c r="J51" s="240">
        <f t="shared" si="0"/>
        <v>9.0549999999999997</v>
      </c>
      <c r="K51" s="243"/>
      <c r="M51" s="200">
        <v>3</v>
      </c>
      <c r="N51" s="200" t="s">
        <v>298</v>
      </c>
    </row>
    <row r="52" spans="1:14" s="102" customFormat="1" ht="30" customHeight="1">
      <c r="A52" s="235">
        <v>44</v>
      </c>
      <c r="B52" s="248" t="s">
        <v>359</v>
      </c>
      <c r="C52" s="200" t="s">
        <v>294</v>
      </c>
      <c r="D52" s="200" t="s">
        <v>360</v>
      </c>
      <c r="E52" s="124"/>
      <c r="F52" s="124"/>
      <c r="G52" s="237"/>
      <c r="H52" s="238">
        <f>M52/6</f>
        <v>1</v>
      </c>
      <c r="I52" s="239">
        <v>20.95</v>
      </c>
      <c r="J52" s="240">
        <f t="shared" si="0"/>
        <v>20.95</v>
      </c>
      <c r="K52" s="243"/>
      <c r="M52" s="200">
        <v>6</v>
      </c>
      <c r="N52" s="200" t="s">
        <v>298</v>
      </c>
    </row>
    <row r="53" spans="1:14" s="102" customFormat="1" ht="30" customHeight="1">
      <c r="A53" s="235">
        <v>45</v>
      </c>
      <c r="B53" s="253" t="s">
        <v>361</v>
      </c>
      <c r="C53" s="200" t="s">
        <v>294</v>
      </c>
      <c r="D53" s="200"/>
      <c r="E53" s="124"/>
      <c r="F53" s="124"/>
      <c r="G53" s="124"/>
      <c r="H53" s="211">
        <f>M53/3</f>
        <v>1</v>
      </c>
      <c r="I53" s="239">
        <v>6.74</v>
      </c>
      <c r="J53" s="240">
        <f t="shared" si="0"/>
        <v>6.74</v>
      </c>
      <c r="K53" s="255"/>
      <c r="M53" s="200">
        <v>3</v>
      </c>
      <c r="N53" s="200" t="s">
        <v>310</v>
      </c>
    </row>
    <row r="54" spans="1:14" ht="54" customHeight="1">
      <c r="A54" s="256" t="s">
        <v>362</v>
      </c>
      <c r="B54" s="257"/>
      <c r="C54" s="258"/>
      <c r="D54" s="257"/>
      <c r="E54" s="257"/>
      <c r="F54" s="257"/>
      <c r="G54" s="257"/>
      <c r="H54" s="259"/>
      <c r="I54" s="259"/>
      <c r="J54" s="260">
        <f>SUM(J9:J53)</f>
        <v>2819.7016666666659</v>
      </c>
      <c r="K54" s="261"/>
    </row>
    <row r="57" spans="1:14" ht="12.6" customHeight="1">
      <c r="A57" s="715" t="s">
        <v>7</v>
      </c>
      <c r="B57" s="716" t="s">
        <v>276</v>
      </c>
      <c r="C57" s="716"/>
      <c r="D57" s="716"/>
      <c r="E57" s="717" t="s">
        <v>277</v>
      </c>
      <c r="F57" s="717"/>
      <c r="G57" s="717"/>
      <c r="H57" s="718" t="s">
        <v>277</v>
      </c>
      <c r="I57" s="718"/>
      <c r="J57" s="718"/>
      <c r="K57" s="719" t="s">
        <v>278</v>
      </c>
    </row>
    <row r="58" spans="1:14" ht="14.65" customHeight="1">
      <c r="A58" s="715"/>
      <c r="B58" s="716"/>
      <c r="C58" s="716"/>
      <c r="D58" s="716"/>
      <c r="E58" s="263" t="s">
        <v>287</v>
      </c>
      <c r="F58" s="720" t="s">
        <v>71</v>
      </c>
      <c r="G58" s="721" t="s">
        <v>282</v>
      </c>
      <c r="H58" s="262" t="s">
        <v>287</v>
      </c>
      <c r="I58" s="722" t="s">
        <v>71</v>
      </c>
      <c r="J58" s="722" t="s">
        <v>282</v>
      </c>
      <c r="K58" s="719"/>
    </row>
    <row r="59" spans="1:14" ht="26.1" customHeight="1">
      <c r="A59" s="715"/>
      <c r="B59" s="264" t="s">
        <v>284</v>
      </c>
      <c r="C59" s="264" t="s">
        <v>285</v>
      </c>
      <c r="D59" s="265" t="s">
        <v>286</v>
      </c>
      <c r="E59" s="266" t="s">
        <v>363</v>
      </c>
      <c r="F59" s="720"/>
      <c r="G59" s="721"/>
      <c r="H59" s="266" t="s">
        <v>363</v>
      </c>
      <c r="I59" s="722"/>
      <c r="J59" s="722"/>
      <c r="K59" s="719"/>
    </row>
    <row r="60" spans="1:14" ht="15">
      <c r="A60" s="267"/>
      <c r="B60" s="268" t="s">
        <v>364</v>
      </c>
      <c r="C60" s="268" t="s">
        <v>294</v>
      </c>
      <c r="D60" s="268"/>
      <c r="E60" s="268"/>
      <c r="F60" s="268" t="e">
        <f>#N/A</f>
        <v>#N/A</v>
      </c>
      <c r="G60" s="269" t="e">
        <f>ROUND((E60*F60),2)</f>
        <v>#N/A</v>
      </c>
      <c r="H60" s="268">
        <f>'EPI - COVID 19'!K8/12</f>
        <v>14.5</v>
      </c>
      <c r="I60" s="270">
        <f>'EPI - COVID 19'!L8</f>
        <v>3.03</v>
      </c>
      <c r="J60" s="268">
        <f>ROUND((H60*I60),2)</f>
        <v>43.94</v>
      </c>
      <c r="K60" s="271"/>
    </row>
    <row r="61" spans="1:14" ht="15.75">
      <c r="A61" s="713" t="s">
        <v>362</v>
      </c>
      <c r="B61" s="713"/>
      <c r="C61" s="713"/>
      <c r="D61" s="713"/>
      <c r="E61" s="713"/>
      <c r="F61" s="713"/>
      <c r="G61" s="713" t="e">
        <f>G60</f>
        <v>#N/A</v>
      </c>
      <c r="H61" s="713"/>
      <c r="I61" s="713"/>
      <c r="J61" s="272">
        <f>J60</f>
        <v>43.94</v>
      </c>
      <c r="K61" s="273"/>
    </row>
  </sheetData>
  <mergeCells count="22">
    <mergeCell ref="A61:I61"/>
    <mergeCell ref="M7:N7"/>
    <mergeCell ref="A57:A59"/>
    <mergeCell ref="B57:D58"/>
    <mergeCell ref="E57:G57"/>
    <mergeCell ref="H57:J57"/>
    <mergeCell ref="K57:K59"/>
    <mergeCell ref="F58:F59"/>
    <mergeCell ref="G58:G59"/>
    <mergeCell ref="I58:I59"/>
    <mergeCell ref="J58:J59"/>
    <mergeCell ref="A4:K4"/>
    <mergeCell ref="A6:A8"/>
    <mergeCell ref="B6:D7"/>
    <mergeCell ref="H6:J6"/>
    <mergeCell ref="K6:K8"/>
    <mergeCell ref="E7:E8"/>
    <mergeCell ref="F7:F8"/>
    <mergeCell ref="G7:G8"/>
    <mergeCell ref="H7:H8"/>
    <mergeCell ref="I7:I8"/>
    <mergeCell ref="J7:J8"/>
  </mergeCells>
  <printOptions horizontalCentered="1"/>
  <pageMargins left="0" right="0" top="0" bottom="0" header="0" footer="0"/>
  <pageSetup paperSize="9" scale="39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666699"/>
    <pageSetUpPr fitToPage="1"/>
  </sheetPr>
  <dimension ref="A1:O21"/>
  <sheetViews>
    <sheetView zoomScaleNormal="100" workbookViewId="0">
      <selection activeCell="B1" sqref="A1:M21"/>
    </sheetView>
  </sheetViews>
  <sheetFormatPr defaultColWidth="9" defaultRowHeight="12.75"/>
  <cols>
    <col min="3" max="3" width="59.7109375" customWidth="1"/>
    <col min="7" max="7" width="11.7109375" customWidth="1"/>
    <col min="8" max="8" width="16.140625" customWidth="1"/>
    <col min="9" max="9" width="9.5703125" customWidth="1"/>
    <col min="10" max="10" width="12.7109375" customWidth="1"/>
    <col min="11" max="11" width="10.7109375" customWidth="1"/>
  </cols>
  <sheetData>
    <row r="1" spans="1:15" ht="15">
      <c r="A1" s="274" t="s">
        <v>0</v>
      </c>
      <c r="B1" s="275"/>
      <c r="C1" s="68"/>
      <c r="D1" s="68"/>
      <c r="E1" s="68"/>
      <c r="F1" s="68"/>
      <c r="G1" s="68"/>
      <c r="H1" s="68"/>
      <c r="I1" s="68"/>
      <c r="J1" s="275"/>
      <c r="K1" s="276"/>
      <c r="L1" s="276"/>
      <c r="M1" s="102"/>
      <c r="N1" s="102"/>
    </row>
    <row r="2" spans="1:15" ht="15">
      <c r="A2" s="274" t="s">
        <v>1</v>
      </c>
      <c r="B2" s="275"/>
      <c r="C2" s="68"/>
      <c r="D2" s="68"/>
      <c r="E2" s="68"/>
      <c r="F2" s="68"/>
      <c r="G2" s="68"/>
      <c r="H2" s="68"/>
      <c r="I2" s="68"/>
      <c r="J2" s="275"/>
      <c r="K2" s="276"/>
      <c r="L2" s="276"/>
      <c r="M2" s="102"/>
      <c r="N2" s="102"/>
    </row>
    <row r="3" spans="1:15" ht="15">
      <c r="A3" s="48" t="s">
        <v>62</v>
      </c>
      <c r="B3" s="275"/>
      <c r="C3" s="68"/>
      <c r="D3" s="68"/>
      <c r="E3" s="68"/>
      <c r="F3" s="68"/>
      <c r="G3" s="68"/>
      <c r="H3" s="68"/>
      <c r="I3" s="68"/>
      <c r="J3" s="275"/>
      <c r="K3" s="276"/>
      <c r="L3" s="276"/>
      <c r="M3" s="102"/>
      <c r="N3" s="102"/>
    </row>
    <row r="4" spans="1:15" ht="20.25">
      <c r="A4" s="724" t="s">
        <v>568</v>
      </c>
      <c r="B4" s="724"/>
      <c r="C4" s="724"/>
      <c r="D4" s="724"/>
      <c r="E4" s="724"/>
      <c r="F4" s="724"/>
      <c r="G4" s="724"/>
      <c r="H4" s="724"/>
      <c r="I4" s="724"/>
      <c r="J4" s="724"/>
      <c r="K4" s="277"/>
      <c r="L4" s="277"/>
      <c r="M4" s="102"/>
      <c r="N4" s="102"/>
    </row>
    <row r="5" spans="1:15" ht="18.75">
      <c r="A5" s="725"/>
      <c r="B5" s="725"/>
      <c r="C5" s="725"/>
      <c r="D5" s="725"/>
      <c r="E5" s="725"/>
      <c r="F5" s="725"/>
      <c r="G5" s="725"/>
      <c r="H5" s="725"/>
      <c r="I5" s="725"/>
      <c r="J5" s="725"/>
      <c r="K5" s="278"/>
      <c r="L5" s="278"/>
      <c r="M5" s="102"/>
      <c r="N5" s="102"/>
    </row>
    <row r="6" spans="1:15" ht="15">
      <c r="A6" s="279" t="s">
        <v>365</v>
      </c>
      <c r="B6" s="279"/>
      <c r="C6" s="279"/>
      <c r="D6" s="279"/>
      <c r="E6" s="279"/>
      <c r="F6" s="279"/>
      <c r="G6" s="279"/>
      <c r="H6" s="279"/>
      <c r="I6" s="279" t="s">
        <v>366</v>
      </c>
      <c r="J6" s="68"/>
      <c r="K6" s="68"/>
      <c r="L6" s="68"/>
      <c r="M6" s="102"/>
      <c r="N6" s="102"/>
    </row>
    <row r="7" spans="1:15" ht="31.5">
      <c r="A7" s="726" t="s">
        <v>367</v>
      </c>
      <c r="B7" s="726"/>
      <c r="C7" s="726"/>
      <c r="D7" s="280" t="s">
        <v>368</v>
      </c>
      <c r="E7" s="281" t="s">
        <v>369</v>
      </c>
      <c r="F7" s="282" t="s">
        <v>370</v>
      </c>
      <c r="G7" s="283" t="s">
        <v>286</v>
      </c>
      <c r="H7" s="284" t="s">
        <v>371</v>
      </c>
      <c r="I7" s="285" t="s">
        <v>71</v>
      </c>
      <c r="J7" s="286" t="s">
        <v>372</v>
      </c>
      <c r="K7" s="284" t="s">
        <v>373</v>
      </c>
      <c r="L7" s="285" t="s">
        <v>366</v>
      </c>
      <c r="M7" s="286" t="s">
        <v>374</v>
      </c>
      <c r="N7" s="102"/>
    </row>
    <row r="8" spans="1:15" ht="123" customHeight="1">
      <c r="A8" s="287"/>
      <c r="B8" s="288">
        <v>24</v>
      </c>
      <c r="C8" s="289" t="s">
        <v>375</v>
      </c>
      <c r="D8" s="289" t="s">
        <v>376</v>
      </c>
      <c r="E8" s="290" t="s">
        <v>369</v>
      </c>
      <c r="F8" s="291" t="s">
        <v>340</v>
      </c>
      <c r="G8" s="292"/>
      <c r="H8" s="292"/>
      <c r="I8" s="293">
        <v>3.03</v>
      </c>
      <c r="J8" s="294">
        <f>H8*I8</f>
        <v>0</v>
      </c>
      <c r="K8" s="295">
        <f>G21</f>
        <v>174</v>
      </c>
      <c r="L8" s="296">
        <f>I8</f>
        <v>3.03</v>
      </c>
      <c r="M8" s="297">
        <f>ROUND(((K8*L8)/12),2)</f>
        <v>43.94</v>
      </c>
      <c r="N8" s="102"/>
    </row>
    <row r="9" spans="1:15" ht="46.5" customHeight="1">
      <c r="A9" s="298" t="s">
        <v>377</v>
      </c>
      <c r="B9" s="81" t="s">
        <v>378</v>
      </c>
      <c r="C9" s="299"/>
      <c r="D9" s="299"/>
      <c r="E9" s="300"/>
      <c r="F9" s="83"/>
      <c r="G9" s="301"/>
      <c r="H9" s="302"/>
      <c r="I9" s="303"/>
      <c r="J9" s="304"/>
      <c r="K9" s="305"/>
      <c r="L9" s="306"/>
      <c r="M9" s="306"/>
      <c r="N9" s="102"/>
    </row>
    <row r="10" spans="1:15">
      <c r="A10" s="298"/>
      <c r="B10" s="307"/>
      <c r="C10" s="299"/>
      <c r="D10" s="299"/>
      <c r="E10" s="300"/>
      <c r="F10" s="83"/>
      <c r="G10" s="301"/>
      <c r="H10" s="302"/>
      <c r="I10" s="303"/>
      <c r="J10" s="304"/>
      <c r="K10" s="305"/>
      <c r="L10" s="306"/>
      <c r="M10" s="306"/>
      <c r="N10" s="102"/>
    </row>
    <row r="11" spans="1:15" ht="32.25" customHeight="1">
      <c r="A11" s="102"/>
      <c r="B11" s="727" t="s">
        <v>379</v>
      </c>
      <c r="C11" s="727"/>
      <c r="D11" s="727"/>
      <c r="E11" s="727"/>
      <c r="F11" s="727"/>
      <c r="G11" s="727"/>
      <c r="H11" s="727"/>
      <c r="I11" s="727"/>
      <c r="J11" s="727"/>
      <c r="K11" s="102"/>
      <c r="L11" s="102"/>
      <c r="M11" s="102"/>
      <c r="N11" s="102"/>
    </row>
    <row r="12" spans="1:15" ht="72" customHeight="1">
      <c r="A12" s="102"/>
      <c r="B12" s="728" t="s">
        <v>7</v>
      </c>
      <c r="C12" s="728" t="s">
        <v>65</v>
      </c>
      <c r="D12" s="728" t="s">
        <v>380</v>
      </c>
      <c r="E12" s="728" t="s">
        <v>381</v>
      </c>
      <c r="F12" s="728" t="s">
        <v>382</v>
      </c>
      <c r="G12" s="308" t="s">
        <v>383</v>
      </c>
      <c r="H12" s="729" t="s">
        <v>384</v>
      </c>
      <c r="I12" s="730" t="s">
        <v>385</v>
      </c>
      <c r="J12" s="730" t="s">
        <v>386</v>
      </c>
      <c r="K12" s="223"/>
      <c r="L12" s="102"/>
      <c r="M12" s="102"/>
      <c r="N12" s="102"/>
    </row>
    <row r="13" spans="1:15" ht="15" customHeight="1">
      <c r="A13" s="102"/>
      <c r="B13" s="728"/>
      <c r="C13" s="728"/>
      <c r="D13" s="728"/>
      <c r="E13" s="728"/>
      <c r="F13" s="728"/>
      <c r="G13" s="308" t="s">
        <v>387</v>
      </c>
      <c r="H13" s="729"/>
      <c r="I13" s="730"/>
      <c r="J13" s="730"/>
      <c r="K13" s="309"/>
      <c r="L13" s="310"/>
      <c r="M13" s="310"/>
      <c r="N13" s="310"/>
      <c r="O13" s="311"/>
    </row>
    <row r="14" spans="1:15" ht="13.5" customHeight="1">
      <c r="A14" s="102"/>
      <c r="B14" s="728"/>
      <c r="C14" s="728"/>
      <c r="D14" s="728"/>
      <c r="E14" s="728"/>
      <c r="F14" s="728"/>
      <c r="G14" s="312" t="s">
        <v>340</v>
      </c>
      <c r="H14" s="729"/>
      <c r="I14" s="730"/>
      <c r="J14" s="730"/>
      <c r="K14" s="309"/>
      <c r="L14" s="310"/>
      <c r="M14" s="310"/>
      <c r="N14" s="310"/>
      <c r="O14" s="311"/>
    </row>
    <row r="15" spans="1:15" ht="12.75" customHeight="1">
      <c r="A15" s="102"/>
      <c r="B15" s="728"/>
      <c r="C15" s="728"/>
      <c r="D15" s="728"/>
      <c r="E15" s="728"/>
      <c r="F15" s="728"/>
      <c r="G15" s="312">
        <v>3</v>
      </c>
      <c r="H15" s="729"/>
      <c r="I15" s="730"/>
      <c r="J15" s="730"/>
      <c r="K15" s="309"/>
      <c r="L15" s="310"/>
      <c r="M15" s="310"/>
      <c r="N15" s="310"/>
      <c r="O15" s="311"/>
    </row>
    <row r="16" spans="1:15" ht="24" customHeight="1">
      <c r="A16" s="102"/>
      <c r="B16" s="313">
        <v>1</v>
      </c>
      <c r="C16" s="314" t="s">
        <v>388</v>
      </c>
      <c r="D16" s="315">
        <v>150</v>
      </c>
      <c r="E16" s="71">
        <f>'Resumo '!D12</f>
        <v>1</v>
      </c>
      <c r="F16" s="71">
        <f>IF(D16&lt;=150,3,IF(D16&lt;=200,4,IF(D16&lt;=220,5)))*2</f>
        <v>6</v>
      </c>
      <c r="G16" s="71">
        <f>ROUND(((E16*F16)*$G$15),2)</f>
        <v>18</v>
      </c>
      <c r="H16" s="316">
        <f>G16*$I$8</f>
        <v>54.54</v>
      </c>
      <c r="I16" s="317">
        <f>H16/12</f>
        <v>4.5449999999999999</v>
      </c>
      <c r="J16" s="723">
        <f>I21/E21</f>
        <v>4.8816666666666668</v>
      </c>
      <c r="K16" s="318"/>
      <c r="L16" s="319"/>
      <c r="M16" s="319"/>
      <c r="N16" s="319"/>
      <c r="O16" s="320"/>
    </row>
    <row r="17" spans="1:15" ht="24" customHeight="1">
      <c r="A17" s="102"/>
      <c r="B17" s="313">
        <v>2</v>
      </c>
      <c r="C17" s="314" t="s">
        <v>389</v>
      </c>
      <c r="D17" s="315">
        <v>150</v>
      </c>
      <c r="E17" s="71">
        <f>'Resumo '!D11</f>
        <v>1</v>
      </c>
      <c r="F17" s="71">
        <f>IF(D17&lt;=150,3,IF(D17&lt;=200,4,IF(D17&lt;=220,5)))*2</f>
        <v>6</v>
      </c>
      <c r="G17" s="71">
        <f>ROUND(((E17*F17)*$G$15),2)</f>
        <v>18</v>
      </c>
      <c r="H17" s="316">
        <f>G17*$I$8</f>
        <v>54.54</v>
      </c>
      <c r="I17" s="317">
        <f>H17/12</f>
        <v>4.5449999999999999</v>
      </c>
      <c r="J17" s="723"/>
      <c r="K17" s="318"/>
      <c r="L17" s="319"/>
      <c r="M17" s="319"/>
      <c r="N17" s="319"/>
      <c r="O17" s="320"/>
    </row>
    <row r="18" spans="1:15" ht="24" customHeight="1">
      <c r="A18" s="102"/>
      <c r="B18" s="313">
        <v>3</v>
      </c>
      <c r="C18" s="314" t="s">
        <v>390</v>
      </c>
      <c r="D18" s="315">
        <v>150</v>
      </c>
      <c r="E18" s="71">
        <f>'Resumo '!D13</f>
        <v>4</v>
      </c>
      <c r="F18" s="71">
        <f>IF(D18&lt;=150,3,IF(D18&lt;=200,4,IF(D18&lt;=220,5)))*2</f>
        <v>6</v>
      </c>
      <c r="G18" s="71">
        <f>ROUND(((E18*F18)*$G$15),2)</f>
        <v>72</v>
      </c>
      <c r="H18" s="316">
        <f>G18*$I$8</f>
        <v>218.16</v>
      </c>
      <c r="I18" s="317">
        <f>H18/12</f>
        <v>18.18</v>
      </c>
      <c r="J18" s="723"/>
      <c r="K18" s="318"/>
      <c r="L18" s="319"/>
      <c r="M18" s="319"/>
      <c r="N18" s="319"/>
      <c r="O18" s="320"/>
    </row>
    <row r="19" spans="1:15" ht="24" customHeight="1">
      <c r="A19" s="102"/>
      <c r="B19" s="313">
        <v>5</v>
      </c>
      <c r="C19" s="314" t="s">
        <v>264</v>
      </c>
      <c r="D19" s="315">
        <v>150</v>
      </c>
      <c r="E19" s="71">
        <f>'Resumo '!D15</f>
        <v>2</v>
      </c>
      <c r="F19" s="71">
        <f>IF(D19&lt;=150,3,IF(D19&lt;=200,4,IF(D19&lt;=220,5)))*2</f>
        <v>6</v>
      </c>
      <c r="G19" s="71">
        <f>ROUND(((E19*F19)*$G$15),2)</f>
        <v>36</v>
      </c>
      <c r="H19" s="316">
        <f>G19*$I$8</f>
        <v>109.08</v>
      </c>
      <c r="I19" s="317">
        <f>H19/12</f>
        <v>9.09</v>
      </c>
      <c r="J19" s="723"/>
      <c r="K19" s="318"/>
      <c r="L19" s="319"/>
      <c r="M19" s="319"/>
      <c r="N19" s="319"/>
      <c r="O19" s="320"/>
    </row>
    <row r="20" spans="1:15" ht="24" customHeight="1">
      <c r="A20" s="102"/>
      <c r="B20" s="313">
        <v>6</v>
      </c>
      <c r="C20" s="314" t="s">
        <v>93</v>
      </c>
      <c r="D20" s="315">
        <v>220</v>
      </c>
      <c r="E20" s="71">
        <f>'Resumo '!D14</f>
        <v>1</v>
      </c>
      <c r="F20" s="71">
        <f>IF(D20&lt;=150,3,IF(D20&lt;=200,4,IF(D20&lt;=220,5)))*2</f>
        <v>10</v>
      </c>
      <c r="G20" s="71">
        <f>ROUND(((E20*F20)*$G$15),2)</f>
        <v>30</v>
      </c>
      <c r="H20" s="316">
        <f>G20*$I$8</f>
        <v>90.899999999999991</v>
      </c>
      <c r="I20" s="317">
        <f>H20/12</f>
        <v>7.5749999999999993</v>
      </c>
      <c r="J20" s="723"/>
      <c r="K20" s="318"/>
      <c r="L20" s="319"/>
      <c r="M20" s="319"/>
      <c r="N20" s="319"/>
      <c r="O20" s="320"/>
    </row>
    <row r="21" spans="1:15" ht="39" customHeight="1">
      <c r="A21" s="102"/>
      <c r="B21" s="71"/>
      <c r="C21" s="321" t="s">
        <v>391</v>
      </c>
      <c r="D21" s="62"/>
      <c r="E21" s="322">
        <f t="shared" ref="E21:J21" si="0">SUM(E16:E20)</f>
        <v>9</v>
      </c>
      <c r="F21" s="322">
        <f t="shared" si="0"/>
        <v>34</v>
      </c>
      <c r="G21" s="322">
        <f t="shared" si="0"/>
        <v>174</v>
      </c>
      <c r="H21" s="322">
        <f t="shared" si="0"/>
        <v>527.22</v>
      </c>
      <c r="I21" s="323">
        <f t="shared" si="0"/>
        <v>43.935000000000002</v>
      </c>
      <c r="J21" s="323">
        <f t="shared" si="0"/>
        <v>4.8816666666666668</v>
      </c>
      <c r="K21" s="324"/>
      <c r="L21" s="325"/>
      <c r="M21" s="325"/>
      <c r="N21" s="325"/>
      <c r="O21" s="320"/>
    </row>
  </sheetData>
  <mergeCells count="13">
    <mergeCell ref="J16:J20"/>
    <mergeCell ref="A4:J4"/>
    <mergeCell ref="A5:J5"/>
    <mergeCell ref="A7:C7"/>
    <mergeCell ref="B11:J11"/>
    <mergeCell ref="B12:B15"/>
    <mergeCell ref="C12:C15"/>
    <mergeCell ref="D12:D15"/>
    <mergeCell ref="E12:E15"/>
    <mergeCell ref="F12:F15"/>
    <mergeCell ref="H12:H15"/>
    <mergeCell ref="I12:I15"/>
    <mergeCell ref="J12:J15"/>
  </mergeCells>
  <pageMargins left="0.7" right="0.7" top="0.75" bottom="0.75" header="0.51180555555555496" footer="0.51180555555555496"/>
  <pageSetup paperSize="9" scale="66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424242"/>
  </sheetPr>
  <dimension ref="A1:AMJ27"/>
  <sheetViews>
    <sheetView zoomScaleNormal="100" workbookViewId="0">
      <selection activeCell="N9" sqref="N9"/>
    </sheetView>
  </sheetViews>
  <sheetFormatPr defaultColWidth="9.140625" defaultRowHeight="14.25"/>
  <cols>
    <col min="1" max="1" width="8.85546875" style="326" customWidth="1"/>
    <col min="2" max="2" width="39.28515625" style="326" customWidth="1"/>
    <col min="3" max="3" width="8.42578125" style="326" customWidth="1"/>
    <col min="4" max="4" width="12.140625" style="326" customWidth="1"/>
    <col min="5" max="5" width="9.5703125" style="326" customWidth="1"/>
    <col min="6" max="6" width="12.140625" style="326" customWidth="1"/>
    <col min="7" max="7" width="11.42578125" style="326" customWidth="1"/>
    <col min="8" max="8" width="8.7109375" style="326" customWidth="1"/>
    <col min="9" max="9" width="9.28515625" style="326" customWidth="1"/>
    <col min="10" max="10" width="6" style="326" customWidth="1"/>
    <col min="11" max="11" width="11.28515625" style="326" customWidth="1"/>
    <col min="12" max="12" width="7.7109375" style="326" customWidth="1"/>
    <col min="13" max="13" width="7.28515625" style="326" customWidth="1"/>
    <col min="14" max="14" width="7" style="326" customWidth="1"/>
    <col min="15" max="15" width="11.5703125" style="326" customWidth="1"/>
    <col min="16" max="16" width="10" style="326" customWidth="1"/>
    <col min="17" max="17" width="8.28515625" style="326" customWidth="1"/>
    <col min="18" max="1024" width="9.140625" style="326"/>
  </cols>
  <sheetData>
    <row r="1" spans="1:20" ht="24.95" customHeight="1">
      <c r="A1" s="327" t="s">
        <v>0</v>
      </c>
      <c r="B1" s="328"/>
      <c r="C1" s="2"/>
      <c r="D1" s="2"/>
      <c r="E1" s="2"/>
      <c r="F1" s="2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30"/>
    </row>
    <row r="2" spans="1:20" ht="24.95" customHeight="1">
      <c r="A2" s="327" t="s">
        <v>1</v>
      </c>
      <c r="B2" s="328"/>
      <c r="C2" s="5"/>
      <c r="D2" s="5"/>
      <c r="E2" s="5"/>
      <c r="F2" s="5"/>
      <c r="Q2" s="331"/>
    </row>
    <row r="3" spans="1:20" ht="24.95" customHeight="1">
      <c r="A3" s="332" t="s">
        <v>274</v>
      </c>
      <c r="C3" s="5"/>
      <c r="D3" s="5"/>
      <c r="E3" s="5"/>
      <c r="F3" s="5"/>
      <c r="Q3" s="331"/>
    </row>
    <row r="4" spans="1:20" s="336" customFormat="1" ht="24.95" customHeight="1">
      <c r="A4" s="731" t="s">
        <v>569</v>
      </c>
      <c r="B4" s="731"/>
      <c r="C4" s="731"/>
      <c r="D4" s="731"/>
      <c r="E4" s="731"/>
      <c r="F4" s="731"/>
      <c r="G4" s="731"/>
      <c r="H4" s="731"/>
      <c r="I4" s="731"/>
      <c r="J4" s="731"/>
      <c r="K4" s="731"/>
      <c r="L4" s="731"/>
      <c r="M4" s="731"/>
      <c r="N4" s="731"/>
      <c r="O4" s="731"/>
      <c r="P4" s="333"/>
      <c r="Q4" s="334"/>
      <c r="R4" s="335"/>
    </row>
    <row r="5" spans="1:20" s="336" customFormat="1" ht="24.95" customHeight="1">
      <c r="A5" s="337"/>
      <c r="B5" s="338" t="s">
        <v>392</v>
      </c>
      <c r="C5" s="339"/>
      <c r="D5" s="732" t="s">
        <v>366</v>
      </c>
      <c r="E5" s="732"/>
      <c r="F5" s="732"/>
      <c r="G5" s="732"/>
      <c r="H5" s="732"/>
      <c r="I5" s="732"/>
      <c r="J5" s="732"/>
      <c r="K5" s="732"/>
      <c r="L5" s="732"/>
      <c r="M5" s="732"/>
      <c r="N5" s="732"/>
      <c r="O5" s="732"/>
      <c r="P5" s="340"/>
      <c r="Q5" s="341"/>
    </row>
    <row r="6" spans="1:20" s="336" customFormat="1" ht="71.25" customHeight="1">
      <c r="A6" s="342" t="s">
        <v>393</v>
      </c>
      <c r="B6" s="343" t="s">
        <v>394</v>
      </c>
      <c r="C6" s="344" t="s">
        <v>395</v>
      </c>
      <c r="D6" s="344" t="s">
        <v>396</v>
      </c>
      <c r="E6" s="344" t="s">
        <v>397</v>
      </c>
      <c r="F6" s="344" t="s">
        <v>398</v>
      </c>
      <c r="G6" s="345" t="s">
        <v>399</v>
      </c>
      <c r="H6" s="346" t="s">
        <v>400</v>
      </c>
      <c r="I6" s="346" t="s">
        <v>401</v>
      </c>
      <c r="J6" s="346" t="s">
        <v>402</v>
      </c>
      <c r="K6" s="346" t="s">
        <v>403</v>
      </c>
      <c r="L6" s="346" t="s">
        <v>404</v>
      </c>
      <c r="M6" s="346" t="s">
        <v>405</v>
      </c>
      <c r="N6" s="346" t="s">
        <v>406</v>
      </c>
      <c r="O6" s="347" t="s">
        <v>407</v>
      </c>
      <c r="P6" s="347" t="s">
        <v>408</v>
      </c>
      <c r="Q6" s="348" t="s">
        <v>409</v>
      </c>
      <c r="T6" s="349"/>
    </row>
    <row r="7" spans="1:20" s="336" customFormat="1" ht="26.25" customHeight="1">
      <c r="A7" s="733" t="s">
        <v>410</v>
      </c>
      <c r="B7" s="350" t="s">
        <v>411</v>
      </c>
      <c r="C7" s="351">
        <v>150</v>
      </c>
      <c r="D7" s="352">
        <v>1309.1500000000001</v>
      </c>
      <c r="E7" s="353">
        <f>ROUND((((D7/220*C7)*25%)*12%),2)</f>
        <v>26.78</v>
      </c>
      <c r="F7" s="352">
        <f>ROUND(((D7/220)*C7),2)</f>
        <v>892.6</v>
      </c>
      <c r="G7" s="352">
        <f>ROUND((((D7/220)*C7)+E7),2)</f>
        <v>919.38</v>
      </c>
      <c r="H7" s="352">
        <f>Uniforme!H31+Uniforme!H12</f>
        <v>43.760000000000005</v>
      </c>
      <c r="I7" s="352">
        <f>ROUND(($K$8/$O$9),2)</f>
        <v>469.95</v>
      </c>
      <c r="J7" s="352"/>
      <c r="K7" s="354"/>
      <c r="L7" s="354"/>
      <c r="M7" s="352"/>
      <c r="N7" s="354"/>
      <c r="O7" s="355"/>
      <c r="P7" s="356">
        <f>ROUND(($Q$7/$O$10),2)</f>
        <v>4.88</v>
      </c>
      <c r="Q7" s="357">
        <f>'Mat.Limpeza e EPI COVID'!J60</f>
        <v>43.94</v>
      </c>
      <c r="T7" s="349"/>
    </row>
    <row r="8" spans="1:20" s="336" customFormat="1" ht="24.95" customHeight="1">
      <c r="A8" s="733"/>
      <c r="B8" s="350" t="s">
        <v>412</v>
      </c>
      <c r="C8" s="351">
        <v>150</v>
      </c>
      <c r="D8" s="352">
        <v>1309.1500000000001</v>
      </c>
      <c r="E8" s="353">
        <f>ROUND((G24*40%),2)</f>
        <v>528</v>
      </c>
      <c r="F8" s="352">
        <f>ROUND(((D8/220)*C8),2)</f>
        <v>892.6</v>
      </c>
      <c r="G8" s="352">
        <f>ROUND((((D8/220)*C8)+E8),2)</f>
        <v>1420.6</v>
      </c>
      <c r="H8" s="352">
        <f>Uniforme!H12</f>
        <v>36.03</v>
      </c>
      <c r="I8" s="352">
        <f>ROUND(($K$8/$O$9),2)</f>
        <v>469.95</v>
      </c>
      <c r="J8" s="352"/>
      <c r="K8" s="354">
        <f>'Mat.Limpeza e EPI COVID'!J54</f>
        <v>2819.7016666666659</v>
      </c>
      <c r="L8" s="354"/>
      <c r="M8" s="352"/>
      <c r="N8" s="354"/>
      <c r="O8" s="355"/>
      <c r="P8" s="356">
        <f>ROUND(($Q$7/$O$10),2)</f>
        <v>4.88</v>
      </c>
      <c r="Q8" s="357"/>
      <c r="T8" s="349"/>
    </row>
    <row r="9" spans="1:20" s="336" customFormat="1" ht="24.95" customHeight="1">
      <c r="A9" s="733"/>
      <c r="B9" s="350" t="s">
        <v>413</v>
      </c>
      <c r="C9" s="351">
        <v>150</v>
      </c>
      <c r="D9" s="352">
        <v>1309.1500000000001</v>
      </c>
      <c r="E9" s="353"/>
      <c r="F9" s="352">
        <f>ROUND(((D9/220)*C9),2)</f>
        <v>892.6</v>
      </c>
      <c r="G9" s="352">
        <f>ROUND((((D9/220)*C9)+E9),2)</f>
        <v>892.6</v>
      </c>
      <c r="H9" s="352">
        <f>Uniforme!H12</f>
        <v>36.03</v>
      </c>
      <c r="I9" s="352">
        <f>ROUND(($K$8/$O$9),2)</f>
        <v>469.95</v>
      </c>
      <c r="J9" s="352"/>
      <c r="K9" s="354"/>
      <c r="L9" s="354"/>
      <c r="M9" s="352"/>
      <c r="N9" s="354"/>
      <c r="O9" s="355">
        <v>6</v>
      </c>
      <c r="P9" s="356">
        <f>ROUND(($Q$7/$O$10),2)</f>
        <v>4.88</v>
      </c>
      <c r="Q9" s="357"/>
      <c r="T9" s="349"/>
    </row>
    <row r="10" spans="1:20" ht="24.95" customHeight="1">
      <c r="A10" s="733"/>
      <c r="B10" s="350" t="s">
        <v>93</v>
      </c>
      <c r="C10" s="351">
        <v>220</v>
      </c>
      <c r="D10" s="352">
        <v>1858.15</v>
      </c>
      <c r="E10" s="353"/>
      <c r="F10" s="352">
        <f>ROUND(((D10/220)*C10),2)</f>
        <v>1858.15</v>
      </c>
      <c r="G10" s="352">
        <f>ROUND((((D10/220)*C10)+E10),2)</f>
        <v>1858.15</v>
      </c>
      <c r="H10" s="352">
        <f>Uniforme!H26</f>
        <v>36.03</v>
      </c>
      <c r="I10" s="352"/>
      <c r="J10" s="352"/>
      <c r="K10" s="354"/>
      <c r="L10" s="354"/>
      <c r="M10" s="352"/>
      <c r="N10" s="354"/>
      <c r="O10" s="355">
        <v>9</v>
      </c>
      <c r="P10" s="356">
        <f>ROUND(($Q$7/$O$10),2)</f>
        <v>4.88</v>
      </c>
      <c r="Q10" s="357"/>
    </row>
    <row r="11" spans="1:20" ht="24.95" customHeight="1">
      <c r="A11" s="358" t="s">
        <v>414</v>
      </c>
      <c r="B11" s="350" t="s">
        <v>264</v>
      </c>
      <c r="C11" s="351">
        <v>150</v>
      </c>
      <c r="D11" s="352">
        <v>1830.32</v>
      </c>
      <c r="E11" s="353"/>
      <c r="F11" s="352">
        <f>ROUND(((D11/220)*C11),2)</f>
        <v>1247.95</v>
      </c>
      <c r="G11" s="352">
        <f>ROUND((((D11/220)*C11)+E11),2)</f>
        <v>1247.95</v>
      </c>
      <c r="H11" s="352">
        <f>Uniforme!H18</f>
        <v>32.450000000000003</v>
      </c>
      <c r="I11" s="352"/>
      <c r="J11" s="352"/>
      <c r="K11" s="354"/>
      <c r="L11" s="354"/>
      <c r="M11" s="352"/>
      <c r="N11" s="354"/>
      <c r="O11" s="359"/>
      <c r="P11" s="356">
        <f>ROUND(($Q$7/$O$10),2)</f>
        <v>4.88</v>
      </c>
      <c r="Q11" s="360"/>
    </row>
    <row r="12" spans="1:20" s="364" customFormat="1" ht="24.95" customHeight="1">
      <c r="A12" s="734" t="s">
        <v>415</v>
      </c>
      <c r="B12" s="734"/>
      <c r="C12" s="734"/>
      <c r="D12" s="734"/>
      <c r="E12" s="734"/>
      <c r="F12" s="734"/>
      <c r="G12" s="734"/>
      <c r="H12" s="361"/>
      <c r="I12" s="361"/>
      <c r="J12" s="361"/>
      <c r="K12" s="361"/>
      <c r="L12" s="361"/>
      <c r="M12" s="362"/>
      <c r="N12" s="361"/>
      <c r="O12" s="361"/>
      <c r="P12" s="361"/>
      <c r="Q12" s="363"/>
    </row>
    <row r="13" spans="1:20" ht="24.95" customHeight="1">
      <c r="A13" s="365"/>
      <c r="B13" s="366" t="s">
        <v>416</v>
      </c>
      <c r="C13" s="366"/>
      <c r="D13" s="366"/>
      <c r="E13" s="366"/>
      <c r="F13" s="366"/>
      <c r="G13" s="367">
        <f>Encargos!C57</f>
        <v>0.77159999999999995</v>
      </c>
      <c r="Q13" s="331"/>
    </row>
    <row r="14" spans="1:20" s="364" customFormat="1" ht="24.95" customHeight="1">
      <c r="A14" s="735" t="s">
        <v>417</v>
      </c>
      <c r="B14" s="735"/>
      <c r="C14" s="735"/>
      <c r="D14" s="735"/>
      <c r="E14" s="735"/>
      <c r="F14" s="735"/>
      <c r="G14" s="735"/>
      <c r="Q14" s="368"/>
    </row>
    <row r="15" spans="1:20" ht="24.95" customHeight="1">
      <c r="A15" s="369">
        <v>1</v>
      </c>
      <c r="B15" s="370" t="s">
        <v>418</v>
      </c>
      <c r="C15" s="371"/>
      <c r="D15" s="372"/>
      <c r="E15" s="372"/>
      <c r="F15" s="372"/>
      <c r="G15" s="373">
        <v>4</v>
      </c>
      <c r="K15" s="331"/>
      <c r="Q15" s="331"/>
    </row>
    <row r="16" spans="1:20" ht="24.95" customHeight="1">
      <c r="A16" s="369">
        <v>2</v>
      </c>
      <c r="B16" s="370" t="s">
        <v>419</v>
      </c>
      <c r="C16" s="372"/>
      <c r="D16" s="372"/>
      <c r="E16" s="372"/>
      <c r="F16" s="372"/>
      <c r="G16" s="374"/>
      <c r="K16" s="331"/>
      <c r="Q16" s="331"/>
    </row>
    <row r="17" spans="1:17" ht="24.95" customHeight="1">
      <c r="A17" s="369">
        <v>3</v>
      </c>
      <c r="B17" s="375" t="s">
        <v>420</v>
      </c>
      <c r="C17" s="376">
        <v>0</v>
      </c>
      <c r="D17" s="376"/>
      <c r="E17" s="376"/>
      <c r="F17" s="376"/>
      <c r="G17" s="377">
        <v>4.2</v>
      </c>
      <c r="H17" s="378">
        <v>0.06</v>
      </c>
      <c r="I17" s="736" t="s">
        <v>421</v>
      </c>
      <c r="J17" s="736"/>
      <c r="K17" s="736"/>
      <c r="L17" s="380"/>
      <c r="Q17" s="331"/>
    </row>
    <row r="18" spans="1:17" ht="24.95" customHeight="1">
      <c r="A18" s="369">
        <v>4</v>
      </c>
      <c r="B18" s="737" t="s">
        <v>422</v>
      </c>
      <c r="C18" s="737"/>
      <c r="D18" s="381"/>
      <c r="E18" s="381"/>
      <c r="F18" s="381"/>
      <c r="G18" s="377">
        <v>24.54</v>
      </c>
      <c r="H18" s="378">
        <v>0.2</v>
      </c>
      <c r="I18" s="736" t="s">
        <v>423</v>
      </c>
      <c r="J18" s="736"/>
      <c r="K18" s="736"/>
      <c r="L18" s="380"/>
      <c r="Q18" s="331"/>
    </row>
    <row r="19" spans="1:17" ht="24.95" customHeight="1">
      <c r="A19" s="369">
        <v>5</v>
      </c>
      <c r="B19" s="736" t="s">
        <v>424</v>
      </c>
      <c r="C19" s="736"/>
      <c r="D19" s="379"/>
      <c r="E19" s="379"/>
      <c r="F19" s="379"/>
      <c r="G19" s="382">
        <v>21</v>
      </c>
      <c r="Q19" s="331"/>
    </row>
    <row r="20" spans="1:17" s="364" customFormat="1" ht="24.95" customHeight="1">
      <c r="A20" s="735" t="s">
        <v>425</v>
      </c>
      <c r="B20" s="735"/>
      <c r="C20" s="735"/>
      <c r="D20" s="735"/>
      <c r="E20" s="735"/>
      <c r="F20" s="735"/>
      <c r="G20" s="735"/>
      <c r="Q20" s="368"/>
    </row>
    <row r="21" spans="1:17" ht="24.95" customHeight="1">
      <c r="A21" s="369">
        <v>1</v>
      </c>
      <c r="B21" s="737" t="s">
        <v>426</v>
      </c>
      <c r="C21" s="737"/>
      <c r="D21" s="381"/>
      <c r="E21" s="381"/>
      <c r="F21" s="381"/>
      <c r="G21" s="383">
        <v>0.03</v>
      </c>
      <c r="Q21" s="331"/>
    </row>
    <row r="22" spans="1:17" ht="24.95" customHeight="1">
      <c r="A22" s="369">
        <v>2</v>
      </c>
      <c r="B22" s="737" t="s">
        <v>427</v>
      </c>
      <c r="C22" s="737"/>
      <c r="D22" s="381"/>
      <c r="E22" s="381"/>
      <c r="F22" s="381"/>
      <c r="G22" s="383">
        <v>6.7900000000000002E-2</v>
      </c>
      <c r="H22" s="384"/>
      <c r="Q22" s="331"/>
    </row>
    <row r="23" spans="1:17" s="364" customFormat="1" ht="24.95" customHeight="1">
      <c r="A23" s="735" t="s">
        <v>428</v>
      </c>
      <c r="B23" s="735"/>
      <c r="C23" s="735"/>
      <c r="D23" s="735"/>
      <c r="E23" s="735"/>
      <c r="F23" s="735"/>
      <c r="G23" s="735"/>
      <c r="Q23" s="368"/>
    </row>
    <row r="24" spans="1:17" ht="24.95" customHeight="1">
      <c r="A24" s="369">
        <v>1</v>
      </c>
      <c r="B24" s="737" t="s">
        <v>429</v>
      </c>
      <c r="C24" s="737"/>
      <c r="D24" s="381"/>
      <c r="E24" s="381"/>
      <c r="F24" s="381"/>
      <c r="G24" s="376">
        <v>1320</v>
      </c>
      <c r="N24" s="385"/>
      <c r="Q24" s="331"/>
    </row>
    <row r="25" spans="1:17" ht="24.95" customHeight="1">
      <c r="A25" s="369"/>
      <c r="B25" s="737" t="s">
        <v>430</v>
      </c>
      <c r="C25" s="737"/>
      <c r="D25" s="381"/>
      <c r="E25" s="381"/>
      <c r="F25" s="381"/>
      <c r="G25" s="383">
        <v>7.5999999999999998E-2</v>
      </c>
      <c r="Q25" s="331"/>
    </row>
    <row r="26" spans="1:17" ht="24.95" customHeight="1">
      <c r="A26" s="369"/>
      <c r="B26" s="737" t="s">
        <v>431</v>
      </c>
      <c r="C26" s="737"/>
      <c r="D26" s="381"/>
      <c r="E26" s="381"/>
      <c r="F26" s="381"/>
      <c r="G26" s="383">
        <v>1.6500000000000001E-2</v>
      </c>
      <c r="Q26" s="331"/>
    </row>
    <row r="27" spans="1:17" ht="24.95" customHeight="1">
      <c r="A27" s="386"/>
      <c r="B27" s="738" t="s">
        <v>432</v>
      </c>
      <c r="C27" s="738"/>
      <c r="D27" s="162"/>
      <c r="E27" s="162"/>
      <c r="F27" s="162"/>
      <c r="G27" s="387">
        <v>0.05</v>
      </c>
      <c r="H27" s="388"/>
      <c r="I27" s="388"/>
      <c r="J27" s="388"/>
      <c r="K27" s="388"/>
      <c r="L27" s="388"/>
      <c r="M27" s="388"/>
      <c r="N27" s="388"/>
      <c r="O27" s="388"/>
      <c r="P27" s="388"/>
      <c r="Q27" s="389"/>
    </row>
  </sheetData>
  <mergeCells count="17">
    <mergeCell ref="B26:C26"/>
    <mergeCell ref="B27:C27"/>
    <mergeCell ref="B21:C21"/>
    <mergeCell ref="B22:C22"/>
    <mergeCell ref="A23:G23"/>
    <mergeCell ref="B24:C24"/>
    <mergeCell ref="B25:C25"/>
    <mergeCell ref="I17:K17"/>
    <mergeCell ref="B18:C18"/>
    <mergeCell ref="I18:K18"/>
    <mergeCell ref="B19:C19"/>
    <mergeCell ref="A20:G20"/>
    <mergeCell ref="A4:O4"/>
    <mergeCell ref="D5:O5"/>
    <mergeCell ref="A7:A10"/>
    <mergeCell ref="A12:G12"/>
    <mergeCell ref="A14:G14"/>
  </mergeCells>
  <printOptions horizontalCentered="1"/>
  <pageMargins left="0.196527777777778" right="0.196527777777778" top="0.196527777777778" bottom="0.39374999999999999" header="0.51180555555555496" footer="0.51180555555555496"/>
  <pageSetup paperSize="9" scale="68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99933"/>
  </sheetPr>
  <dimension ref="A1:AMJ76"/>
  <sheetViews>
    <sheetView topLeftCell="A52" zoomScaleNormal="100" workbookViewId="0">
      <selection activeCell="B48" sqref="B48:D48"/>
    </sheetView>
  </sheetViews>
  <sheetFormatPr defaultColWidth="9.140625" defaultRowHeight="12.75"/>
  <cols>
    <col min="1" max="1" width="10.5703125" style="102" customWidth="1"/>
    <col min="2" max="2" width="18.5703125" style="102" customWidth="1"/>
    <col min="3" max="3" width="14.42578125" style="102" customWidth="1"/>
    <col min="4" max="4" width="12.85546875" style="102" customWidth="1"/>
    <col min="5" max="5" width="13.5703125" style="102" customWidth="1"/>
    <col min="6" max="6" width="12.5703125" style="390" customWidth="1"/>
    <col min="7" max="7" width="11" style="102" customWidth="1"/>
    <col min="8" max="8" width="12.5703125" style="390" customWidth="1"/>
    <col min="9" max="9" width="12.5703125" style="102" customWidth="1"/>
    <col min="10" max="1024" width="9.140625" style="102"/>
  </cols>
  <sheetData>
    <row r="1" spans="1:11" ht="20.100000000000001" customHeight="1">
      <c r="A1" s="391"/>
      <c r="B1" s="391" t="s">
        <v>433</v>
      </c>
      <c r="C1" s="392"/>
      <c r="D1" s="392"/>
      <c r="E1" s="392"/>
      <c r="F1" s="393"/>
      <c r="G1" s="100"/>
      <c r="H1" s="393"/>
      <c r="I1" s="225"/>
    </row>
    <row r="2" spans="1:11" ht="20.100000000000001" customHeight="1">
      <c r="A2" s="391"/>
      <c r="B2" s="391" t="s">
        <v>434</v>
      </c>
      <c r="C2" s="394"/>
      <c r="D2" s="394"/>
      <c r="E2" s="394"/>
      <c r="F2" s="395"/>
      <c r="H2" s="395"/>
      <c r="I2" s="226"/>
    </row>
    <row r="3" spans="1:11" ht="20.100000000000001" customHeight="1">
      <c r="A3" s="396"/>
      <c r="B3" s="396" t="s">
        <v>274</v>
      </c>
      <c r="C3" s="394"/>
      <c r="D3" s="394"/>
      <c r="E3" s="394"/>
      <c r="F3" s="395"/>
      <c r="H3" s="395"/>
      <c r="I3" s="226"/>
    </row>
    <row r="4" spans="1:11" ht="20.100000000000001" customHeight="1">
      <c r="A4" s="739" t="s">
        <v>435</v>
      </c>
      <c r="B4" s="739"/>
      <c r="C4" s="739"/>
      <c r="D4" s="739"/>
      <c r="E4" s="739"/>
      <c r="F4" s="739"/>
      <c r="G4" s="739"/>
      <c r="H4" s="739"/>
      <c r="I4" s="739"/>
    </row>
    <row r="5" spans="1:11" ht="20.100000000000001" customHeight="1">
      <c r="A5" s="740" t="s">
        <v>570</v>
      </c>
      <c r="B5" s="740"/>
      <c r="C5" s="740"/>
      <c r="D5" s="740"/>
      <c r="E5" s="740"/>
      <c r="F5" s="740"/>
      <c r="G5" s="740"/>
      <c r="H5" s="740"/>
      <c r="I5" s="740"/>
    </row>
    <row r="6" spans="1:11" ht="20.100000000000001" customHeight="1">
      <c r="A6" s="741" t="s">
        <v>437</v>
      </c>
      <c r="B6" s="741"/>
      <c r="C6" s="741"/>
      <c r="D6" s="741"/>
      <c r="E6" s="397" t="str">
        <f>Dados!B5</f>
        <v>CCT 2022</v>
      </c>
      <c r="F6" s="742" t="s">
        <v>438</v>
      </c>
      <c r="G6" s="743" t="s">
        <v>439</v>
      </c>
      <c r="H6" s="742" t="s">
        <v>440</v>
      </c>
      <c r="I6" s="744" t="s">
        <v>441</v>
      </c>
    </row>
    <row r="7" spans="1:11" ht="20.100000000000001" customHeight="1">
      <c r="A7" s="745" t="s">
        <v>442</v>
      </c>
      <c r="B7" s="745"/>
      <c r="C7" s="745"/>
      <c r="D7" s="745"/>
      <c r="E7" s="398" t="s">
        <v>366</v>
      </c>
      <c r="F7" s="742"/>
      <c r="G7" s="743"/>
      <c r="H7" s="742"/>
      <c r="I7" s="744"/>
    </row>
    <row r="8" spans="1:11" ht="20.100000000000001" customHeight="1">
      <c r="A8" s="746" t="s">
        <v>443</v>
      </c>
      <c r="B8" s="746"/>
      <c r="C8" s="746"/>
      <c r="D8" s="746"/>
      <c r="E8" s="746"/>
      <c r="F8" s="746"/>
      <c r="G8" s="746"/>
      <c r="H8" s="746"/>
      <c r="I8" s="746"/>
    </row>
    <row r="9" spans="1:11" ht="32.25" customHeight="1">
      <c r="A9" s="399" t="s">
        <v>444</v>
      </c>
      <c r="B9" s="747" t="s">
        <v>445</v>
      </c>
      <c r="C9" s="747"/>
      <c r="D9" s="400" t="s">
        <v>446</v>
      </c>
      <c r="E9" s="401" t="s">
        <v>447</v>
      </c>
      <c r="F9" s="748" t="s">
        <v>448</v>
      </c>
      <c r="G9" s="748"/>
      <c r="H9" s="748"/>
      <c r="I9" s="748"/>
    </row>
    <row r="10" spans="1:11" ht="20.100000000000001" customHeight="1">
      <c r="A10" s="749">
        <v>1</v>
      </c>
      <c r="B10" s="750" t="s">
        <v>259</v>
      </c>
      <c r="C10" s="750"/>
      <c r="D10" s="402">
        <v>150</v>
      </c>
      <c r="E10" s="403">
        <f>Dados!D8</f>
        <v>1309.1500000000001</v>
      </c>
      <c r="F10" s="404">
        <f>ROUND(E10/220*D10,2)</f>
        <v>892.6</v>
      </c>
      <c r="G10" s="404"/>
      <c r="H10" s="404"/>
      <c r="I10" s="405"/>
    </row>
    <row r="11" spans="1:11" ht="20.100000000000001" customHeight="1">
      <c r="A11" s="749"/>
      <c r="B11" s="750" t="s">
        <v>449</v>
      </c>
      <c r="C11" s="750"/>
      <c r="D11" s="406">
        <v>0.4</v>
      </c>
      <c r="E11" s="403">
        <f>Dados!G24</f>
        <v>1320</v>
      </c>
      <c r="F11" s="404">
        <f>D11*E11</f>
        <v>528</v>
      </c>
      <c r="G11" s="404"/>
      <c r="H11" s="404"/>
      <c r="I11" s="405">
        <f>F11</f>
        <v>528</v>
      </c>
    </row>
    <row r="12" spans="1:11" ht="27" customHeight="1">
      <c r="A12" s="749"/>
      <c r="B12" s="407" t="s">
        <v>450</v>
      </c>
      <c r="C12" s="408"/>
      <c r="D12" s="406"/>
      <c r="E12" s="403">
        <f>Dados!D8</f>
        <v>1309.1500000000001</v>
      </c>
      <c r="F12" s="404">
        <f>ROUND((((E12/220*D10)*D12)*C12),2)</f>
        <v>0</v>
      </c>
      <c r="G12" s="404">
        <f>F12</f>
        <v>0</v>
      </c>
      <c r="H12" s="404"/>
      <c r="I12" s="405"/>
    </row>
    <row r="13" spans="1:11" ht="20.100000000000001" customHeight="1">
      <c r="A13" s="749"/>
      <c r="B13" s="751" t="s">
        <v>451</v>
      </c>
      <c r="C13" s="751"/>
      <c r="D13" s="751"/>
      <c r="E13" s="751"/>
      <c r="F13" s="409">
        <f>SUM(F10:F12)</f>
        <v>1420.6</v>
      </c>
      <c r="G13" s="409">
        <f>SUM(G10:G12)</f>
        <v>0</v>
      </c>
      <c r="H13" s="409">
        <f>SUM(H10:H12)</f>
        <v>0</v>
      </c>
      <c r="I13" s="410">
        <f>SUM(I10:I12)</f>
        <v>528</v>
      </c>
      <c r="K13" s="411"/>
    </row>
    <row r="14" spans="1:11" ht="20.100000000000001" customHeight="1">
      <c r="A14" s="749"/>
      <c r="B14" s="752" t="s">
        <v>452</v>
      </c>
      <c r="C14" s="752"/>
      <c r="D14" s="752"/>
      <c r="E14" s="412">
        <f>Dados!G13</f>
        <v>0.77159999999999995</v>
      </c>
      <c r="F14" s="413">
        <f>ROUND((E14*F13),2)</f>
        <v>1096.1300000000001</v>
      </c>
      <c r="G14" s="413"/>
      <c r="H14" s="413"/>
      <c r="I14" s="414">
        <f>ROUND((E14*I13),2)</f>
        <v>407.4</v>
      </c>
    </row>
    <row r="15" spans="1:11" ht="20.100000000000001" customHeight="1">
      <c r="A15" s="753" t="s">
        <v>453</v>
      </c>
      <c r="B15" s="753"/>
      <c r="C15" s="753"/>
      <c r="D15" s="753"/>
      <c r="E15" s="753"/>
      <c r="F15" s="415">
        <f>SUM(F13:F14)</f>
        <v>2516.73</v>
      </c>
      <c r="G15" s="415">
        <f>SUM(G13:G14)</f>
        <v>0</v>
      </c>
      <c r="H15" s="415">
        <f>SUM(H13:H14)</f>
        <v>0</v>
      </c>
      <c r="I15" s="416">
        <f>SUM(I13:I14)</f>
        <v>935.4</v>
      </c>
    </row>
    <row r="16" spans="1:11" ht="20.100000000000001" customHeight="1">
      <c r="A16" s="754" t="s">
        <v>454</v>
      </c>
      <c r="B16" s="754"/>
      <c r="C16" s="754"/>
      <c r="D16" s="754"/>
      <c r="E16" s="754"/>
      <c r="F16" s="754"/>
      <c r="G16" s="754"/>
      <c r="H16" s="754"/>
      <c r="I16" s="754"/>
    </row>
    <row r="17" spans="1:11" ht="20.100000000000001" customHeight="1">
      <c r="A17" s="755" t="s">
        <v>455</v>
      </c>
      <c r="B17" s="755"/>
      <c r="C17" s="417" t="s">
        <v>456</v>
      </c>
      <c r="D17" s="756" t="s">
        <v>457</v>
      </c>
      <c r="E17" s="756"/>
      <c r="F17" s="757" t="s">
        <v>448</v>
      </c>
      <c r="G17" s="757"/>
      <c r="H17" s="757"/>
      <c r="I17" s="757"/>
    </row>
    <row r="18" spans="1:11" ht="20.100000000000001" customHeight="1">
      <c r="A18" s="758" t="s">
        <v>400</v>
      </c>
      <c r="B18" s="758"/>
      <c r="C18" s="419"/>
      <c r="D18" s="420"/>
      <c r="E18" s="421"/>
      <c r="F18" s="404">
        <f>Dados!H8</f>
        <v>36.03</v>
      </c>
      <c r="G18" s="404"/>
      <c r="H18" s="404"/>
      <c r="I18" s="405"/>
    </row>
    <row r="19" spans="1:11" ht="20.100000000000001" customHeight="1">
      <c r="A19" s="758" t="s">
        <v>458</v>
      </c>
      <c r="B19" s="758"/>
      <c r="C19" s="419"/>
      <c r="D19" s="420"/>
      <c r="E19" s="420"/>
      <c r="F19" s="404">
        <f>Dados!G15</f>
        <v>4</v>
      </c>
      <c r="G19" s="404"/>
      <c r="H19" s="404"/>
      <c r="I19" s="405"/>
    </row>
    <row r="20" spans="1:11" ht="20.100000000000001" customHeight="1">
      <c r="A20" s="759" t="s">
        <v>419</v>
      </c>
      <c r="B20" s="759"/>
      <c r="C20" s="419"/>
      <c r="D20" s="420"/>
      <c r="E20" s="420"/>
      <c r="F20" s="404">
        <f>Dados!G16</f>
        <v>0</v>
      </c>
      <c r="G20" s="404"/>
      <c r="H20" s="404"/>
      <c r="I20" s="405"/>
    </row>
    <row r="21" spans="1:11" ht="20.100000000000001" customHeight="1">
      <c r="A21" s="758" t="s">
        <v>459</v>
      </c>
      <c r="B21" s="758"/>
      <c r="C21" s="422">
        <f>Dados!G19</f>
        <v>21</v>
      </c>
      <c r="D21" s="404">
        <f>Dados!C17</f>
        <v>0</v>
      </c>
      <c r="E21" s="404">
        <f>Dados!G17</f>
        <v>4.2</v>
      </c>
      <c r="F21" s="404">
        <f>ROUND(((E21+D21)*2*C21)-(F10*6%),2)</f>
        <v>122.84</v>
      </c>
      <c r="G21" s="404"/>
      <c r="H21" s="404">
        <f>F21</f>
        <v>122.84</v>
      </c>
      <c r="I21" s="405"/>
    </row>
    <row r="22" spans="1:11" ht="20.100000000000001" customHeight="1">
      <c r="A22" s="758" t="s">
        <v>422</v>
      </c>
      <c r="B22" s="758"/>
      <c r="C22" s="423">
        <f>Dados!$H$18</f>
        <v>0.2</v>
      </c>
      <c r="D22" s="422">
        <f>Dados!$G$19</f>
        <v>21</v>
      </c>
      <c r="E22" s="404">
        <f>Dados!G18</f>
        <v>24.54</v>
      </c>
      <c r="F22" s="424">
        <f>ROUND((IF(D10&gt;150,((D22*E22)-(C22*(D22*E22))),0)),2)</f>
        <v>0</v>
      </c>
      <c r="G22" s="404"/>
      <c r="H22" s="424"/>
      <c r="I22" s="405"/>
      <c r="J22" s="425"/>
    </row>
    <row r="23" spans="1:11" ht="20.100000000000001" customHeight="1">
      <c r="A23" s="758" t="s">
        <v>460</v>
      </c>
      <c r="B23" s="758"/>
      <c r="C23" s="422"/>
      <c r="D23" s="404"/>
      <c r="E23" s="404"/>
      <c r="F23" s="404">
        <f>Dados!I8</f>
        <v>469.95</v>
      </c>
      <c r="G23" s="404">
        <f>F23</f>
        <v>469.95</v>
      </c>
      <c r="H23" s="404"/>
      <c r="I23" s="405"/>
      <c r="K23" s="426"/>
    </row>
    <row r="24" spans="1:11" ht="20.100000000000001" customHeight="1">
      <c r="A24" s="418" t="s">
        <v>461</v>
      </c>
      <c r="B24" s="427"/>
      <c r="C24" s="422"/>
      <c r="D24" s="404"/>
      <c r="E24" s="404"/>
      <c r="F24" s="404"/>
      <c r="G24" s="404"/>
      <c r="H24" s="404"/>
      <c r="I24" s="405"/>
    </row>
    <row r="25" spans="1:11" ht="20.100000000000001" customHeight="1">
      <c r="A25" s="418" t="s">
        <v>462</v>
      </c>
      <c r="B25" s="427"/>
      <c r="C25" s="428"/>
      <c r="D25" s="404"/>
      <c r="E25" s="404"/>
      <c r="F25" s="404">
        <f>Dados!P8</f>
        <v>4.88</v>
      </c>
      <c r="G25" s="404">
        <f>F25</f>
        <v>4.88</v>
      </c>
      <c r="H25" s="404"/>
      <c r="I25" s="405"/>
    </row>
    <row r="26" spans="1:11" ht="20.100000000000001" customHeight="1">
      <c r="A26" s="760" t="s">
        <v>463</v>
      </c>
      <c r="B26" s="760"/>
      <c r="C26" s="429"/>
      <c r="D26" s="413"/>
      <c r="E26" s="413"/>
      <c r="F26" s="413">
        <f>Dados!M8</f>
        <v>0</v>
      </c>
      <c r="G26" s="413"/>
      <c r="H26" s="413"/>
      <c r="I26" s="414"/>
    </row>
    <row r="27" spans="1:11" ht="20.100000000000001" customHeight="1">
      <c r="A27" s="761" t="s">
        <v>464</v>
      </c>
      <c r="B27" s="761"/>
      <c r="C27" s="761"/>
      <c r="D27" s="761"/>
      <c r="E27" s="761"/>
      <c r="F27" s="415">
        <f>SUM(F18:F26)</f>
        <v>637.69999999999993</v>
      </c>
      <c r="G27" s="415">
        <f>SUM(G18:G26)</f>
        <v>474.83</v>
      </c>
      <c r="H27" s="415">
        <f>SUM(H18:H26)</f>
        <v>122.84</v>
      </c>
      <c r="I27" s="416">
        <f>SUM(I18:I26)</f>
        <v>0</v>
      </c>
    </row>
    <row r="28" spans="1:11" ht="20.100000000000001" customHeight="1">
      <c r="A28" s="761" t="s">
        <v>465</v>
      </c>
      <c r="B28" s="761"/>
      <c r="C28" s="761"/>
      <c r="D28" s="761"/>
      <c r="E28" s="761"/>
      <c r="F28" s="415">
        <f>F15+F27</f>
        <v>3154.43</v>
      </c>
      <c r="G28" s="415">
        <f>G15+G27</f>
        <v>474.83</v>
      </c>
      <c r="H28" s="415">
        <f>(H27+H15)</f>
        <v>122.84</v>
      </c>
      <c r="I28" s="416">
        <f>(I27+I15)</f>
        <v>935.4</v>
      </c>
    </row>
    <row r="29" spans="1:11" ht="20.100000000000001" customHeight="1">
      <c r="A29" s="746" t="s">
        <v>466</v>
      </c>
      <c r="B29" s="746"/>
      <c r="C29" s="746"/>
      <c r="D29" s="746"/>
      <c r="E29" s="746"/>
      <c r="F29" s="746"/>
      <c r="G29" s="746"/>
      <c r="H29" s="746"/>
      <c r="I29" s="746"/>
    </row>
    <row r="30" spans="1:11" ht="20.100000000000001" customHeight="1">
      <c r="A30" s="755" t="s">
        <v>467</v>
      </c>
      <c r="B30" s="755"/>
      <c r="C30" s="755"/>
      <c r="D30" s="430" t="s">
        <v>468</v>
      </c>
      <c r="E30" s="762" t="s">
        <v>448</v>
      </c>
      <c r="F30" s="762"/>
      <c r="G30" s="762"/>
      <c r="H30" s="762"/>
      <c r="I30" s="762"/>
    </row>
    <row r="31" spans="1:11" ht="20.100000000000001" customHeight="1">
      <c r="A31" s="431" t="s">
        <v>469</v>
      </c>
      <c r="B31" s="432"/>
      <c r="C31" s="432"/>
      <c r="D31" s="420">
        <f>Dados!G21</f>
        <v>0.03</v>
      </c>
      <c r="E31" s="433"/>
      <c r="F31" s="404">
        <f>ROUND((F28*D31),2)</f>
        <v>94.63</v>
      </c>
      <c r="G31" s="404">
        <f>ROUND((G28*D31),2)</f>
        <v>14.24</v>
      </c>
      <c r="H31" s="404">
        <f>ROUND((H28*D31),2)</f>
        <v>3.69</v>
      </c>
      <c r="I31" s="405">
        <f>ROUND((I28*D31),2)</f>
        <v>28.06</v>
      </c>
    </row>
    <row r="32" spans="1:11" ht="20.100000000000001" customHeight="1">
      <c r="A32" s="763" t="s">
        <v>470</v>
      </c>
      <c r="B32" s="763"/>
      <c r="C32" s="763"/>
      <c r="D32" s="420"/>
      <c r="E32" s="433"/>
      <c r="F32" s="404">
        <f>F28+F31</f>
        <v>3249.06</v>
      </c>
      <c r="G32" s="404">
        <f>G28+G31</f>
        <v>489.07</v>
      </c>
      <c r="H32" s="404">
        <f>H28+H31</f>
        <v>126.53</v>
      </c>
      <c r="I32" s="405">
        <f>I28+I31</f>
        <v>963.45999999999992</v>
      </c>
    </row>
    <row r="33" spans="1:9" ht="20.100000000000001" customHeight="1">
      <c r="A33" s="434" t="s">
        <v>427</v>
      </c>
      <c r="B33" s="435"/>
      <c r="C33" s="435"/>
      <c r="D33" s="436">
        <f>Dados!G22</f>
        <v>6.7900000000000002E-2</v>
      </c>
      <c r="E33" s="437"/>
      <c r="F33" s="413">
        <f>ROUND((F32*D33),2)</f>
        <v>220.61</v>
      </c>
      <c r="G33" s="413">
        <f>ROUND((G32*D33),2)</f>
        <v>33.21</v>
      </c>
      <c r="H33" s="413">
        <f>ROUND((H32*D33),2)</f>
        <v>8.59</v>
      </c>
      <c r="I33" s="414">
        <f>ROUND((I32*D33),2)</f>
        <v>65.42</v>
      </c>
    </row>
    <row r="34" spans="1:9" ht="20.100000000000001" customHeight="1">
      <c r="A34" s="438" t="s">
        <v>471</v>
      </c>
      <c r="B34" s="439"/>
      <c r="C34" s="439"/>
      <c r="D34" s="440">
        <f>SUM(D31:D33)</f>
        <v>9.7900000000000001E-2</v>
      </c>
      <c r="E34" s="441"/>
      <c r="F34" s="415">
        <f>F31+F33</f>
        <v>315.24</v>
      </c>
      <c r="G34" s="415">
        <f>G31+G33</f>
        <v>47.45</v>
      </c>
      <c r="H34" s="415">
        <f>H31+H33</f>
        <v>12.28</v>
      </c>
      <c r="I34" s="416">
        <f>I31+I33</f>
        <v>93.48</v>
      </c>
    </row>
    <row r="35" spans="1:9" ht="20.100000000000001" customHeight="1">
      <c r="A35" s="764" t="s">
        <v>472</v>
      </c>
      <c r="B35" s="764"/>
      <c r="C35" s="764"/>
      <c r="D35" s="764"/>
      <c r="E35" s="764"/>
      <c r="F35" s="442">
        <f>F15+F27+F34</f>
        <v>3469.67</v>
      </c>
      <c r="G35" s="442">
        <f>G15+G27+G34</f>
        <v>522.28</v>
      </c>
      <c r="H35" s="442">
        <f>H15+H27+H34</f>
        <v>135.12</v>
      </c>
      <c r="I35" s="443">
        <f>I15+I27+I34</f>
        <v>1028.8799999999999</v>
      </c>
    </row>
    <row r="36" spans="1:9" ht="20.100000000000001" customHeight="1">
      <c r="A36" s="765" t="s">
        <v>473</v>
      </c>
      <c r="B36" s="765"/>
      <c r="C36" s="765"/>
      <c r="D36" s="765"/>
      <c r="E36" s="765"/>
      <c r="F36" s="765"/>
      <c r="G36" s="765"/>
      <c r="H36" s="765"/>
      <c r="I36" s="765"/>
    </row>
    <row r="37" spans="1:9" ht="20.100000000000001" customHeight="1">
      <c r="A37" s="758" t="s">
        <v>430</v>
      </c>
      <c r="B37" s="758"/>
      <c r="C37" s="758"/>
      <c r="D37" s="420">
        <f>Dados!G25</f>
        <v>7.5999999999999998E-2</v>
      </c>
      <c r="E37" s="421"/>
      <c r="F37" s="404">
        <f>ROUND((F41*D37),2)</f>
        <v>307.52</v>
      </c>
      <c r="G37" s="404">
        <f>ROUND((G41*D37),2)</f>
        <v>46.29</v>
      </c>
      <c r="H37" s="404">
        <f>ROUND((H41*D37),2)</f>
        <v>11.98</v>
      </c>
      <c r="I37" s="405">
        <f>ROUND((I41*D37),2)</f>
        <v>91.19</v>
      </c>
    </row>
    <row r="38" spans="1:9" ht="20.100000000000001" customHeight="1">
      <c r="A38" s="758" t="s">
        <v>431</v>
      </c>
      <c r="B38" s="758"/>
      <c r="C38" s="758"/>
      <c r="D38" s="420">
        <f>Dados!G26</f>
        <v>1.6500000000000001E-2</v>
      </c>
      <c r="E38" s="421"/>
      <c r="F38" s="404">
        <f>ROUND((F41*D38),2)</f>
        <v>66.760000000000005</v>
      </c>
      <c r="G38" s="404">
        <f>ROUND((G41*D38),2)</f>
        <v>10.050000000000001</v>
      </c>
      <c r="H38" s="404">
        <f>ROUND((H41*D38),2)</f>
        <v>2.6</v>
      </c>
      <c r="I38" s="405">
        <f>ROUND((I41*D38),2)</f>
        <v>19.8</v>
      </c>
    </row>
    <row r="39" spans="1:9" ht="20.100000000000001" customHeight="1">
      <c r="A39" s="758" t="s">
        <v>432</v>
      </c>
      <c r="B39" s="758"/>
      <c r="C39" s="758"/>
      <c r="D39" s="420">
        <f>Dados!G27</f>
        <v>0.05</v>
      </c>
      <c r="E39" s="421"/>
      <c r="F39" s="404">
        <f>ROUND((F41*D39),2)</f>
        <v>202.31</v>
      </c>
      <c r="G39" s="404">
        <f>ROUND((G41*D39),2)</f>
        <v>30.45</v>
      </c>
      <c r="H39" s="404">
        <f>ROUND((H41*D39),2)</f>
        <v>7.88</v>
      </c>
      <c r="I39" s="405">
        <f>ROUND((I41*D39),2)</f>
        <v>59.99</v>
      </c>
    </row>
    <row r="40" spans="1:9" ht="20.100000000000001" customHeight="1">
      <c r="A40" s="444" t="s">
        <v>474</v>
      </c>
      <c r="B40" s="445"/>
      <c r="C40" s="445"/>
      <c r="D40" s="446">
        <f>SUM(D37:D39)</f>
        <v>0.14250000000000002</v>
      </c>
      <c r="E40" s="447"/>
      <c r="F40" s="409">
        <f>SUM(F37:F39)</f>
        <v>576.58999999999992</v>
      </c>
      <c r="G40" s="409">
        <f>SUM(G37:G39)</f>
        <v>86.79</v>
      </c>
      <c r="H40" s="409">
        <f>SUM(H37:H39)</f>
        <v>22.46</v>
      </c>
      <c r="I40" s="410">
        <f>SUM(I37:I39)</f>
        <v>170.98</v>
      </c>
    </row>
    <row r="41" spans="1:9" ht="20.100000000000001" customHeight="1">
      <c r="A41" s="766" t="s">
        <v>475</v>
      </c>
      <c r="B41" s="766"/>
      <c r="C41" s="766"/>
      <c r="D41" s="766"/>
      <c r="E41" s="766"/>
      <c r="F41" s="448">
        <f>ROUND(F35/(1-D40),2)</f>
        <v>4046.26</v>
      </c>
      <c r="G41" s="448">
        <f>ROUND(G35/(1-D40),2)</f>
        <v>609.07000000000005</v>
      </c>
      <c r="H41" s="448">
        <f>ROUND(H35/(1-D40),2)</f>
        <v>157.57</v>
      </c>
      <c r="I41" s="449">
        <f>ROUND(I35/(1-D40),2)</f>
        <v>1199.8599999999999</v>
      </c>
    </row>
    <row r="42" spans="1:9" ht="20.100000000000001" customHeight="1">
      <c r="A42" s="767" t="str">
        <f>"Valor do Custo Mensal"&amp;" - "&amp;A6</f>
        <v>Valor do Custo Mensal - Servente de Limpeza Insalubre - 150h</v>
      </c>
      <c r="B42" s="767"/>
      <c r="C42" s="767"/>
      <c r="D42" s="767"/>
      <c r="E42" s="767"/>
      <c r="F42" s="450">
        <f>F41</f>
        <v>4046.26</v>
      </c>
      <c r="G42" s="450">
        <f>G41</f>
        <v>609.07000000000005</v>
      </c>
      <c r="H42" s="450">
        <f>H41</f>
        <v>157.57</v>
      </c>
      <c r="I42" s="450">
        <f>I41</f>
        <v>1199.8599999999999</v>
      </c>
    </row>
    <row r="43" spans="1:9" ht="20.100000000000001" customHeight="1">
      <c r="A43" s="767" t="str">
        <f>"Valor do Custo Mensal"&amp;" - "&amp;A6</f>
        <v>Valor do Custo Mensal - Servente de Limpeza Insalubre - 150h</v>
      </c>
      <c r="B43" s="767"/>
      <c r="C43" s="767"/>
      <c r="D43" s="767"/>
      <c r="E43" s="767"/>
      <c r="F43" s="451">
        <f>(F42/F13)/100</f>
        <v>2.8482753766014363E-2</v>
      </c>
      <c r="G43" s="452"/>
      <c r="H43" s="453"/>
      <c r="I43" s="454">
        <f>ROUND((I42/30),2)</f>
        <v>40</v>
      </c>
    </row>
    <row r="44" spans="1:9">
      <c r="G44" s="223"/>
      <c r="H44" s="455"/>
      <c r="I44" s="223"/>
    </row>
    <row r="45" spans="1:9" ht="30" customHeight="1">
      <c r="A45" s="768" t="s">
        <v>476</v>
      </c>
      <c r="B45" s="768"/>
      <c r="C45" s="768"/>
      <c r="D45" s="768"/>
      <c r="E45" s="768"/>
      <c r="F45" s="768"/>
      <c r="G45" s="223"/>
      <c r="H45" s="223"/>
      <c r="I45" s="223"/>
    </row>
    <row r="46" spans="1:9" ht="20.100000000000001" customHeight="1">
      <c r="A46" s="740" t="s">
        <v>571</v>
      </c>
      <c r="B46" s="740"/>
      <c r="C46" s="740"/>
      <c r="D46" s="740"/>
      <c r="E46" s="740"/>
      <c r="F46" s="740"/>
      <c r="G46" s="223"/>
      <c r="H46" s="223"/>
      <c r="I46" s="223"/>
    </row>
    <row r="47" spans="1:9" ht="20.100000000000001" customHeight="1">
      <c r="A47" s="769" t="s">
        <v>477</v>
      </c>
      <c r="B47" s="769"/>
      <c r="C47" s="769"/>
      <c r="D47" s="769"/>
      <c r="E47" s="770" t="s">
        <v>468</v>
      </c>
      <c r="F47" s="771" t="s">
        <v>478</v>
      </c>
      <c r="G47" s="223"/>
      <c r="H47" s="772"/>
      <c r="I47" s="223"/>
    </row>
    <row r="48" spans="1:9" ht="29.25" customHeight="1">
      <c r="A48" s="456" t="s">
        <v>479</v>
      </c>
      <c r="B48" s="773" t="s">
        <v>43</v>
      </c>
      <c r="C48" s="773"/>
      <c r="D48" s="773"/>
      <c r="E48" s="770"/>
      <c r="F48" s="771"/>
      <c r="G48" s="223"/>
      <c r="H48" s="772"/>
      <c r="I48" s="223"/>
    </row>
    <row r="49" spans="1:9" ht="20.100000000000001" customHeight="1">
      <c r="A49" s="457">
        <v>1</v>
      </c>
      <c r="B49" s="774" t="s">
        <v>480</v>
      </c>
      <c r="C49" s="774"/>
      <c r="D49" s="774"/>
      <c r="E49" s="774"/>
      <c r="F49" s="458">
        <f>F13</f>
        <v>1420.6</v>
      </c>
      <c r="G49" s="223"/>
      <c r="H49" s="459"/>
      <c r="I49" s="223"/>
    </row>
    <row r="50" spans="1:9" ht="20.100000000000001" customHeight="1">
      <c r="A50" s="460" t="s">
        <v>481</v>
      </c>
      <c r="B50" s="775" t="s">
        <v>44</v>
      </c>
      <c r="C50" s="775"/>
      <c r="D50" s="775"/>
      <c r="E50" s="461">
        <f>Encargos!C39</f>
        <v>9.0899999999999995E-2</v>
      </c>
      <c r="F50" s="462">
        <f>ROUND((E50*F49),2)</f>
        <v>129.13</v>
      </c>
      <c r="G50" s="223"/>
      <c r="H50" s="463"/>
      <c r="I50" s="223"/>
    </row>
    <row r="51" spans="1:9" ht="20.100000000000001" customHeight="1">
      <c r="A51" s="460" t="s">
        <v>482</v>
      </c>
      <c r="B51" s="775" t="s">
        <v>49</v>
      </c>
      <c r="C51" s="775"/>
      <c r="D51" s="775"/>
      <c r="E51" s="464">
        <f>E50*Encargos!C18</f>
        <v>3.6178200000000008E-2</v>
      </c>
      <c r="F51" s="462">
        <f>ROUND((E51*F49),2)</f>
        <v>51.39</v>
      </c>
      <c r="G51" s="223"/>
      <c r="H51" s="463"/>
      <c r="I51" s="223"/>
    </row>
    <row r="52" spans="1:9" ht="20.100000000000001" customHeight="1">
      <c r="A52" s="778" t="s">
        <v>483</v>
      </c>
      <c r="B52" s="778"/>
      <c r="C52" s="778"/>
      <c r="D52" s="778"/>
      <c r="E52" s="465">
        <f>SUM(E50:E51)</f>
        <v>0.1270782</v>
      </c>
      <c r="F52" s="466">
        <f>SUM(F50:F51)</f>
        <v>180.51999999999998</v>
      </c>
      <c r="G52" s="223"/>
      <c r="H52" s="467"/>
      <c r="I52" s="223"/>
    </row>
    <row r="53" spans="1:9" ht="20.100000000000001" customHeight="1">
      <c r="A53" s="779" t="s">
        <v>484</v>
      </c>
      <c r="B53" s="779"/>
      <c r="C53" s="779"/>
      <c r="D53" s="779"/>
      <c r="E53" s="779"/>
      <c r="F53" s="468">
        <f>ROUND((F52*12),2)</f>
        <v>2166.2399999999998</v>
      </c>
      <c r="G53" s="223"/>
      <c r="H53" s="467"/>
      <c r="I53" s="223"/>
    </row>
    <row r="54" spans="1:9" ht="27" customHeight="1">
      <c r="A54" s="469">
        <v>2</v>
      </c>
      <c r="B54" s="470" t="s">
        <v>485</v>
      </c>
      <c r="C54" s="471"/>
      <c r="D54" s="471"/>
      <c r="E54" s="471"/>
      <c r="F54" s="618" t="s">
        <v>478</v>
      </c>
      <c r="G54" s="223"/>
      <c r="H54" s="473"/>
      <c r="I54" s="223"/>
    </row>
    <row r="55" spans="1:9" ht="20.100000000000001" customHeight="1">
      <c r="A55" s="474" t="s">
        <v>481</v>
      </c>
      <c r="B55" s="475" t="s">
        <v>486</v>
      </c>
      <c r="C55" s="476"/>
      <c r="D55" s="476"/>
      <c r="E55" s="477"/>
      <c r="F55" s="478">
        <f>F22</f>
        <v>0</v>
      </c>
      <c r="G55" s="223"/>
      <c r="H55" s="479"/>
      <c r="I55" s="223"/>
    </row>
    <row r="56" spans="1:9" ht="20.100000000000001" customHeight="1">
      <c r="A56" s="474" t="s">
        <v>487</v>
      </c>
      <c r="B56" s="475" t="s">
        <v>488</v>
      </c>
      <c r="C56" s="476"/>
      <c r="D56" s="476"/>
      <c r="E56" s="477"/>
      <c r="F56" s="478">
        <f>F21</f>
        <v>122.84</v>
      </c>
      <c r="G56" s="223"/>
      <c r="H56" s="479"/>
      <c r="I56" s="223"/>
    </row>
    <row r="57" spans="1:9" ht="20.100000000000001" customHeight="1">
      <c r="A57" s="474" t="s">
        <v>489</v>
      </c>
      <c r="B57" s="475" t="s">
        <v>490</v>
      </c>
      <c r="C57" s="476"/>
      <c r="D57" s="476"/>
      <c r="E57" s="477"/>
      <c r="F57" s="480">
        <v>0</v>
      </c>
      <c r="G57" s="223"/>
      <c r="H57" s="481"/>
      <c r="I57" s="223"/>
    </row>
    <row r="58" spans="1:9" ht="20.100000000000001" customHeight="1">
      <c r="A58" s="780" t="s">
        <v>491</v>
      </c>
      <c r="B58" s="780"/>
      <c r="C58" s="780"/>
      <c r="D58" s="780"/>
      <c r="E58" s="780"/>
      <c r="F58" s="482">
        <f>SUM(F55:F57)</f>
        <v>122.84</v>
      </c>
      <c r="G58" s="223"/>
      <c r="H58" s="483"/>
      <c r="I58" s="223"/>
    </row>
    <row r="59" spans="1:9" ht="20.100000000000001" customHeight="1">
      <c r="A59" s="484">
        <v>5</v>
      </c>
      <c r="B59" s="781" t="s">
        <v>492</v>
      </c>
      <c r="C59" s="781"/>
      <c r="D59" s="781"/>
      <c r="E59" s="485" t="s">
        <v>468</v>
      </c>
      <c r="F59" s="486" t="s">
        <v>366</v>
      </c>
      <c r="G59" s="223"/>
      <c r="H59" s="473"/>
      <c r="I59" s="223"/>
    </row>
    <row r="60" spans="1:9" ht="20.100000000000001" customHeight="1">
      <c r="A60" s="474" t="s">
        <v>481</v>
      </c>
      <c r="B60" s="782" t="s">
        <v>493</v>
      </c>
      <c r="C60" s="782"/>
      <c r="D60" s="782"/>
      <c r="E60" s="487">
        <f>D31</f>
        <v>0.03</v>
      </c>
      <c r="F60" s="488">
        <f>ROUND((E60*F73),2)</f>
        <v>68.67</v>
      </c>
      <c r="G60" s="223"/>
      <c r="H60" s="489"/>
      <c r="I60" s="223"/>
    </row>
    <row r="61" spans="1:9" ht="20.100000000000001" customHeight="1">
      <c r="A61" s="474" t="s">
        <v>487</v>
      </c>
      <c r="B61" s="490" t="s">
        <v>427</v>
      </c>
      <c r="C61" s="491"/>
      <c r="D61" s="492"/>
      <c r="E61" s="487">
        <f>D33</f>
        <v>6.7900000000000002E-2</v>
      </c>
      <c r="F61" s="488">
        <f>ROUND((E61*F73),2)</f>
        <v>155.43</v>
      </c>
      <c r="G61" s="223"/>
      <c r="H61" s="489"/>
      <c r="I61" s="223"/>
    </row>
    <row r="62" spans="1:9" ht="20.100000000000001" customHeight="1">
      <c r="A62" s="493" t="s">
        <v>489</v>
      </c>
      <c r="B62" s="490" t="s">
        <v>494</v>
      </c>
      <c r="C62" s="491"/>
      <c r="D62" s="492"/>
      <c r="E62" s="494">
        <f>SUM(E63:E66)</f>
        <v>0.14250000000000002</v>
      </c>
      <c r="F62" s="495">
        <f>ROUND((((F73+F60+F61)/(1-$E$62))-(F73+F60+F61)),2)</f>
        <v>417.64</v>
      </c>
      <c r="G62" s="223"/>
      <c r="H62" s="496"/>
      <c r="I62" s="223"/>
    </row>
    <row r="63" spans="1:9" ht="20.100000000000001" customHeight="1">
      <c r="A63" s="497" t="s">
        <v>495</v>
      </c>
      <c r="B63" s="475" t="s">
        <v>496</v>
      </c>
      <c r="C63" s="491"/>
      <c r="D63" s="492"/>
      <c r="E63" s="487">
        <f>D37+D38</f>
        <v>9.2499999999999999E-2</v>
      </c>
      <c r="F63" s="488">
        <v>741.84</v>
      </c>
      <c r="G63" s="223"/>
      <c r="H63" s="489"/>
      <c r="I63" s="223"/>
    </row>
    <row r="64" spans="1:9" ht="20.100000000000001" customHeight="1">
      <c r="A64" s="474" t="s">
        <v>497</v>
      </c>
      <c r="B64" s="498" t="s">
        <v>498</v>
      </c>
      <c r="C64" s="491"/>
      <c r="D64" s="492"/>
      <c r="E64" s="492">
        <v>0</v>
      </c>
      <c r="F64" s="488">
        <v>0</v>
      </c>
      <c r="G64" s="223"/>
      <c r="H64" s="489"/>
      <c r="I64" s="223"/>
    </row>
    <row r="65" spans="1:9" ht="20.100000000000001" customHeight="1">
      <c r="A65" s="474" t="s">
        <v>499</v>
      </c>
      <c r="B65" s="475" t="s">
        <v>500</v>
      </c>
      <c r="C65" s="491"/>
      <c r="D65" s="492"/>
      <c r="E65" s="487">
        <f>D39</f>
        <v>0.05</v>
      </c>
      <c r="F65" s="488">
        <f>ROUND((E65*F75),2)</f>
        <v>146.54</v>
      </c>
      <c r="G65" s="223"/>
      <c r="H65" s="489"/>
      <c r="I65" s="223"/>
    </row>
    <row r="66" spans="1:9" ht="20.100000000000001" customHeight="1">
      <c r="A66" s="474" t="s">
        <v>501</v>
      </c>
      <c r="B66" s="475" t="s">
        <v>502</v>
      </c>
      <c r="C66" s="491"/>
      <c r="D66" s="492"/>
      <c r="E66" s="492">
        <v>0</v>
      </c>
      <c r="F66" s="488">
        <v>0</v>
      </c>
      <c r="G66" s="223"/>
      <c r="H66" s="489"/>
      <c r="I66" s="223"/>
    </row>
    <row r="67" spans="1:9" ht="20.100000000000001" customHeight="1">
      <c r="A67" s="499" t="s">
        <v>503</v>
      </c>
      <c r="B67" s="500"/>
      <c r="C67" s="501"/>
      <c r="D67" s="502"/>
      <c r="E67" s="502"/>
      <c r="F67" s="503">
        <f>SUM(F60:F62)</f>
        <v>641.74</v>
      </c>
      <c r="G67" s="223"/>
      <c r="H67" s="504"/>
      <c r="I67" s="223"/>
    </row>
    <row r="68" spans="1:9" ht="20.100000000000001" customHeight="1">
      <c r="A68" s="776" t="s">
        <v>504</v>
      </c>
      <c r="B68" s="776"/>
      <c r="C68" s="776"/>
      <c r="D68" s="776"/>
      <c r="E68" s="776"/>
      <c r="F68" s="776"/>
      <c r="G68" s="223"/>
      <c r="H68" s="223"/>
      <c r="I68" s="223"/>
    </row>
    <row r="69" spans="1:9" ht="20.100000000000001" customHeight="1">
      <c r="A69" s="777" t="s">
        <v>505</v>
      </c>
      <c r="B69" s="777"/>
      <c r="C69" s="777"/>
      <c r="D69" s="777"/>
      <c r="E69" s="777"/>
      <c r="F69" s="777"/>
      <c r="G69" s="223"/>
      <c r="H69" s="223"/>
      <c r="I69" s="223"/>
    </row>
    <row r="70" spans="1:9" ht="20.100000000000001" customHeight="1">
      <c r="A70" s="505" t="s">
        <v>506</v>
      </c>
      <c r="B70" s="506"/>
      <c r="C70" s="506"/>
      <c r="D70" s="506"/>
      <c r="E70" s="506"/>
      <c r="F70" s="486" t="s">
        <v>366</v>
      </c>
      <c r="G70" s="223"/>
      <c r="H70" s="473"/>
      <c r="I70" s="223"/>
    </row>
    <row r="71" spans="1:9" ht="20.100000000000001" customHeight="1">
      <c r="A71" s="460" t="s">
        <v>481</v>
      </c>
      <c r="B71" s="507" t="s">
        <v>507</v>
      </c>
      <c r="C71" s="508"/>
      <c r="D71" s="508"/>
      <c r="E71" s="508"/>
      <c r="F71" s="509">
        <f>F53</f>
        <v>2166.2399999999998</v>
      </c>
      <c r="G71" s="223"/>
      <c r="H71" s="510"/>
      <c r="I71" s="223"/>
    </row>
    <row r="72" spans="1:9" ht="20.100000000000001" customHeight="1">
      <c r="A72" s="460" t="s">
        <v>487</v>
      </c>
      <c r="B72" s="507" t="s">
        <v>485</v>
      </c>
      <c r="C72" s="508"/>
      <c r="D72" s="508"/>
      <c r="E72" s="508"/>
      <c r="F72" s="509">
        <f>F58</f>
        <v>122.84</v>
      </c>
      <c r="G72" s="223"/>
      <c r="H72" s="510"/>
      <c r="I72" s="223"/>
    </row>
    <row r="73" spans="1:9" ht="20.100000000000001" customHeight="1">
      <c r="A73" s="511" t="s">
        <v>508</v>
      </c>
      <c r="B73" s="512"/>
      <c r="C73" s="512"/>
      <c r="D73" s="512"/>
      <c r="E73" s="512"/>
      <c r="F73" s="513">
        <f>SUM(F71:F72)</f>
        <v>2289.08</v>
      </c>
      <c r="G73" s="223"/>
      <c r="H73" s="514"/>
      <c r="I73" s="223"/>
    </row>
    <row r="74" spans="1:9" ht="20.100000000000001" customHeight="1">
      <c r="A74" s="515" t="s">
        <v>509</v>
      </c>
      <c r="B74" s="516" t="s">
        <v>510</v>
      </c>
      <c r="C74" s="517"/>
      <c r="D74" s="517"/>
      <c r="E74" s="517"/>
      <c r="F74" s="518">
        <f>F67</f>
        <v>641.74</v>
      </c>
      <c r="G74" s="223"/>
      <c r="H74" s="510"/>
      <c r="I74" s="223"/>
    </row>
    <row r="75" spans="1:9" ht="20.100000000000001" customHeight="1">
      <c r="A75" s="519" t="s">
        <v>511</v>
      </c>
      <c r="B75" s="520"/>
      <c r="C75" s="520"/>
      <c r="D75" s="520"/>
      <c r="E75" s="520"/>
      <c r="F75" s="521">
        <f>SUM(F73:F74)</f>
        <v>2930.8199999999997</v>
      </c>
      <c r="G75" s="223"/>
      <c r="H75" s="514"/>
      <c r="I75" s="223"/>
    </row>
    <row r="76" spans="1:9" ht="20.100000000000001" customHeight="1"/>
  </sheetData>
  <mergeCells count="59">
    <mergeCell ref="A68:F68"/>
    <mergeCell ref="A69:F69"/>
    <mergeCell ref="A52:D52"/>
    <mergeCell ref="A53:E53"/>
    <mergeCell ref="A58:E58"/>
    <mergeCell ref="B59:D59"/>
    <mergeCell ref="B60:D60"/>
    <mergeCell ref="H47:H48"/>
    <mergeCell ref="B48:D48"/>
    <mergeCell ref="B49:E49"/>
    <mergeCell ref="B50:D50"/>
    <mergeCell ref="B51:D51"/>
    <mergeCell ref="A43:E43"/>
    <mergeCell ref="A45:F45"/>
    <mergeCell ref="A46:F46"/>
    <mergeCell ref="A47:D47"/>
    <mergeCell ref="E47:E48"/>
    <mergeCell ref="F47:F48"/>
    <mergeCell ref="A37:C37"/>
    <mergeCell ref="A38:C38"/>
    <mergeCell ref="A39:C39"/>
    <mergeCell ref="A41:E41"/>
    <mergeCell ref="A42:E42"/>
    <mergeCell ref="A30:C30"/>
    <mergeCell ref="E30:I30"/>
    <mergeCell ref="A32:C32"/>
    <mergeCell ref="A35:E35"/>
    <mergeCell ref="A36:I36"/>
    <mergeCell ref="A23:B23"/>
    <mergeCell ref="A26:B26"/>
    <mergeCell ref="A27:E27"/>
    <mergeCell ref="A28:E28"/>
    <mergeCell ref="A29:I29"/>
    <mergeCell ref="A18:B18"/>
    <mergeCell ref="A19:B19"/>
    <mergeCell ref="A20:B20"/>
    <mergeCell ref="A21:B21"/>
    <mergeCell ref="A22:B22"/>
    <mergeCell ref="A15:E15"/>
    <mergeCell ref="A16:I16"/>
    <mergeCell ref="A17:B17"/>
    <mergeCell ref="D17:E17"/>
    <mergeCell ref="F17:I17"/>
    <mergeCell ref="A8:I8"/>
    <mergeCell ref="B9:C9"/>
    <mergeCell ref="F9:I9"/>
    <mergeCell ref="A10:A14"/>
    <mergeCell ref="B10:C10"/>
    <mergeCell ref="B11:C11"/>
    <mergeCell ref="B13:E13"/>
    <mergeCell ref="B14:D14"/>
    <mergeCell ref="A4:I4"/>
    <mergeCell ref="A5:I5"/>
    <mergeCell ref="A6:D6"/>
    <mergeCell ref="F6:F7"/>
    <mergeCell ref="G6:G7"/>
    <mergeCell ref="H6:H7"/>
    <mergeCell ref="I6:I7"/>
    <mergeCell ref="A7:D7"/>
  </mergeCells>
  <pageMargins left="0.39370078740157483" right="0" top="0.39370078740157483" bottom="0" header="0.51181102362204722" footer="0.51181102362204722"/>
  <pageSetup paperSize="9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2</vt:i4>
      </vt:variant>
    </vt:vector>
  </HeadingPairs>
  <TitlesOfParts>
    <vt:vector size="16" baseType="lpstr">
      <vt:lpstr>Encargos</vt:lpstr>
      <vt:lpstr>Uniforme</vt:lpstr>
      <vt:lpstr>Espec.I</vt:lpstr>
      <vt:lpstr>Espc.II</vt:lpstr>
      <vt:lpstr>Especificações</vt:lpstr>
      <vt:lpstr>Mat.Limpeza e EPI COVID</vt:lpstr>
      <vt:lpstr>EPI - COVID 19</vt:lpstr>
      <vt:lpstr>Dados</vt:lpstr>
      <vt:lpstr>Servente-Insalu. 150</vt:lpstr>
      <vt:lpstr>Servente 150</vt:lpstr>
      <vt:lpstr>Servente-copeira 150</vt:lpstr>
      <vt:lpstr>Zelador 220</vt:lpstr>
      <vt:lpstr>Auxiliar Jud. 150</vt:lpstr>
      <vt:lpstr>Resumo </vt:lpstr>
      <vt:lpstr>'Mat.Limpeza e EPI COVID'!Area_de_impressao</vt:lpstr>
      <vt:lpstr>'Mat.Limpeza e EPI COVID'!Print_Area_0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Fabiano de Moura Muniz</dc:creator>
  <cp:lastModifiedBy>mg1010076</cp:lastModifiedBy>
  <cp:revision>15</cp:revision>
  <cp:lastPrinted>2023-03-31T13:46:44Z</cp:lastPrinted>
  <dcterms:created xsi:type="dcterms:W3CDTF">2021-11-11T19:09:03Z</dcterms:created>
  <dcterms:modified xsi:type="dcterms:W3CDTF">2023-03-31T13:51:45Z</dcterms:modified>
  <dc:language>pt-BR</dc:language>
</cp:coreProperties>
</file>