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ORÇAMENTÁRIA" sheetId="1" state="visible" r:id="rId2"/>
    <sheet name="COMPARATIVA COMPRA NOBREAK" sheetId="2" state="visible" r:id="rId3"/>
    <sheet name="DEFINIÇÃO DE LOTES E CUSTO MÁXI" sheetId="3" state="visible" r:id="rId4"/>
  </sheets>
  <definedNames>
    <definedName function="false" hidden="false" localSheetId="0" name="_xlnm.Print_Area" vbProcedure="false">'PLANILHA ORÇAMENTÁRIA'!$E$43:$F$53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<sst xmlns="http://schemas.openxmlformats.org/spreadsheetml/2006/main" count="262" uniqueCount="173">
  <si>
    <t xml:space="preserve">COMPOSIÇÃO DE PREÇOS    -</t>
  </si>
  <si>
    <t xml:space="preserve">PLANILHA ELABORADA COM BASE EM COTAÇÕES REALIZADAS ATRAVÉS DO BANCO DE PREÇOS, UTILIZANDO-SE A MEDIANA  </t>
  </si>
  <si>
    <t xml:space="preserve">ITEM</t>
  </si>
  <si>
    <t xml:space="preserve">LOCALIDADE</t>
  </si>
  <si>
    <t xml:space="preserve">ENDEREÇO</t>
  </si>
  <si>
    <t xml:space="preserve">MARCA DO EQUIPAMENTO E POTÊNCIA</t>
  </si>
  <si>
    <t xml:space="preserve">Nº DE BAT.</t>
  </si>
  <si>
    <t xml:space="preserve">TIPO</t>
  </si>
  <si>
    <t xml:space="preserve">QUANT</t>
  </si>
  <si>
    <t xml:space="preserve">VALOR ESTIMADO R$/UNID.</t>
  </si>
  <si>
    <t xml:space="preserve">ESTIMATIVA VALOR BAT. ( BANCO DE PREÇOS )</t>
  </si>
  <si>
    <t xml:space="preserve">DISTÂNCIA  DE BH  A CADA SUBSEÇÃO</t>
  </si>
  <si>
    <t xml:space="preserve">MÃO DE OBRA, DOC SEI Nº 0596960</t>
  </si>
  <si>
    <t xml:space="preserve">SUBTOTAL</t>
  </si>
  <si>
    <t xml:space="preserve">RESERVA EPP</t>
  </si>
  <si>
    <t xml:space="preserve">VALOR RESERVA EPP</t>
  </si>
  <si>
    <t xml:space="preserve">BH</t>
  </si>
  <si>
    <t xml:space="preserve">TRF6</t>
  </si>
  <si>
    <t xml:space="preserve">BELO HORIZONTE</t>
  </si>
  <si>
    <r>
      <rPr>
        <sz val="10"/>
        <color rgb="FF000000"/>
        <rFont val="Arial Narrow"/>
        <family val="2"/>
        <charset val="1"/>
      </rPr>
      <t xml:space="preserve">Av. Álvares Cabral 1805 - 5º and- Santo Agostinho – </t>
    </r>
    <r>
      <rPr>
        <b val="true"/>
        <sz val="10"/>
        <color rgb="FF000000"/>
        <rFont val="Arial Narrow"/>
        <family val="2"/>
        <charset val="1"/>
      </rPr>
      <t xml:space="preserve">Belo Horizonte</t>
    </r>
    <r>
      <rPr>
        <sz val="10"/>
        <color rgb="FF000000"/>
        <rFont val="Arial Narrow"/>
        <family val="2"/>
        <charset val="1"/>
      </rPr>
      <t xml:space="preserve"> – Cep: 30170-001</t>
    </r>
  </si>
  <si>
    <t xml:space="preserve">ENGETRON – 40 KVA</t>
  </si>
  <si>
    <t xml:space="preserve">38 BAT. 12V/40AH</t>
  </si>
  <si>
    <t xml:space="preserve">40AH</t>
  </si>
  <si>
    <r>
      <rPr>
        <sz val="10"/>
        <color rgb="FF000000"/>
        <rFont val="Arial Narrow"/>
        <family val="2"/>
        <charset val="1"/>
      </rPr>
      <t xml:space="preserve">Av. Álvares Cabral 1741 –</t>
    </r>
    <r>
      <rPr>
        <b val="true"/>
        <sz val="10"/>
        <color rgb="FF000000"/>
        <rFont val="Arial Narrow"/>
        <family val="2"/>
        <charset val="1"/>
      </rPr>
      <t xml:space="preserve"> Belo Horizonte</t>
    </r>
    <r>
      <rPr>
        <sz val="10"/>
        <color rgb="FF000000"/>
        <rFont val="Arial Narrow"/>
        <family val="2"/>
        <charset val="1"/>
      </rPr>
      <t xml:space="preserve"> – Cep: 30170-001</t>
    </r>
  </si>
  <si>
    <t xml:space="preserve">ENGETRON - 10 KVA</t>
  </si>
  <si>
    <t xml:space="preserve">38 BAT. 12V/07AH</t>
  </si>
  <si>
    <t xml:space="preserve">07AH</t>
  </si>
  <si>
    <t xml:space="preserve">LACERDA - 10 KVA</t>
  </si>
  <si>
    <t xml:space="preserve">48 BAT. 12V/09AH</t>
  </si>
  <si>
    <t xml:space="preserve">09AH</t>
  </si>
  <si>
    <r>
      <rPr>
        <sz val="10"/>
        <color rgb="FF000000"/>
        <rFont val="Arial Narrow"/>
        <family val="2"/>
        <charset val="1"/>
      </rPr>
      <t xml:space="preserve">Rua José Américo de Almeida, 88 - Bairro Camargos - </t>
    </r>
    <r>
      <rPr>
        <b val="true"/>
        <sz val="10"/>
        <color rgb="FF000000"/>
        <rFont val="Arial Narrow"/>
        <family val="2"/>
        <charset val="1"/>
      </rPr>
      <t xml:space="preserve">Belo Horizonte</t>
    </r>
    <r>
      <rPr>
        <sz val="10"/>
        <color rgb="FF000000"/>
        <rFont val="Arial Narrow"/>
        <family val="2"/>
        <charset val="1"/>
      </rPr>
      <t xml:space="preserve">– Cep: 30.520-230.</t>
    </r>
  </si>
  <si>
    <r>
      <rPr>
        <sz val="10"/>
        <color rgb="FF000000"/>
        <rFont val="Arial Narrow"/>
        <family val="2"/>
        <charset val="1"/>
      </rPr>
      <t xml:space="preserve">Rua Santos Barreto 161 – Santo Agostinho – </t>
    </r>
    <r>
      <rPr>
        <b val="true"/>
        <sz val="10"/>
        <color rgb="FF000000"/>
        <rFont val="Arial Narrow"/>
        <family val="2"/>
        <charset val="1"/>
      </rPr>
      <t xml:space="preserve">Belo Horizonte</t>
    </r>
    <r>
      <rPr>
        <sz val="10"/>
        <color rgb="FF000000"/>
        <rFont val="Arial Narrow"/>
        <family val="2"/>
        <charset val="1"/>
      </rPr>
      <t xml:space="preserve"> – Cep: 30170-070</t>
    </r>
  </si>
  <si>
    <t xml:space="preserve">ENGETRON – 22 KVA</t>
  </si>
  <si>
    <t xml:space="preserve">64 BAT. 12V/07AH</t>
  </si>
  <si>
    <t xml:space="preserve">DIVINÓPOLIS</t>
  </si>
  <si>
    <r>
      <rPr>
        <sz val="10"/>
        <color rgb="FF000000"/>
        <rFont val="Arial Narrow"/>
        <family val="2"/>
        <charset val="1"/>
      </rPr>
      <t xml:space="preserve">Praça Dom Cristiano, 298 – Centro – </t>
    </r>
    <r>
      <rPr>
        <b val="true"/>
        <sz val="10"/>
        <color rgb="FF000000"/>
        <rFont val="Arial Narrow"/>
        <family val="2"/>
        <charset val="1"/>
      </rPr>
      <t xml:space="preserve">Divinópolis </t>
    </r>
    <r>
      <rPr>
        <sz val="10"/>
        <color rgb="FF000000"/>
        <rFont val="Arial Narrow"/>
        <family val="2"/>
        <charset val="1"/>
      </rPr>
      <t xml:space="preserve">– Cep: 35.500-004</t>
    </r>
  </si>
  <si>
    <t xml:space="preserve">16 BAT. 12V/18AH</t>
  </si>
  <si>
    <t xml:space="preserve">18AH</t>
  </si>
  <si>
    <t xml:space="preserve">IPATINGA</t>
  </si>
  <si>
    <r>
      <rPr>
        <sz val="10"/>
        <color rgb="FF000000"/>
        <rFont val="Arial Narrow"/>
        <family val="2"/>
        <charset val="1"/>
      </rPr>
      <t xml:space="preserve">Av. Selim José de Sales, 895 – Canaã –</t>
    </r>
    <r>
      <rPr>
        <b val="true"/>
        <sz val="10"/>
        <color rgb="FF000000"/>
        <rFont val="Arial Narrow"/>
        <family val="2"/>
        <charset val="1"/>
      </rPr>
      <t xml:space="preserve"> Ipatinga</t>
    </r>
    <r>
      <rPr>
        <sz val="10"/>
        <color rgb="FF000000"/>
        <rFont val="Arial Narrow"/>
        <family val="2"/>
        <charset val="1"/>
      </rPr>
      <t xml:space="preserve"> – Cep: 35.164-213</t>
    </r>
  </si>
  <si>
    <t xml:space="preserve">ENGETRON -10 KVA</t>
  </si>
  <si>
    <t xml:space="preserve">38 BAT. 12V/09AH</t>
  </si>
  <si>
    <t xml:space="preserve">ITUIUTABA</t>
  </si>
  <si>
    <r>
      <rPr>
        <sz val="10"/>
        <color rgb="FF000000"/>
        <rFont val="Arial Narrow"/>
        <family val="2"/>
        <charset val="1"/>
      </rPr>
      <t xml:space="preserve">Rua Vinte e Oito 1155 – Centro – </t>
    </r>
    <r>
      <rPr>
        <b val="true"/>
        <sz val="10"/>
        <color rgb="FF000000"/>
        <rFont val="Arial Narrow"/>
        <family val="2"/>
        <charset val="1"/>
      </rPr>
      <t xml:space="preserve">Ituiutaba</t>
    </r>
    <r>
      <rPr>
        <sz val="10"/>
        <color rgb="FF000000"/>
        <rFont val="Arial Narrow"/>
        <family val="2"/>
        <charset val="1"/>
      </rPr>
      <t xml:space="preserve"> – Cep: 38.300-032</t>
    </r>
  </si>
  <si>
    <t xml:space="preserve">CM COMANDOS – 20 KVA</t>
  </si>
  <si>
    <t xml:space="preserve">24 BAT. 12V/40AH</t>
  </si>
  <si>
    <t xml:space="preserve">JANAÚBA</t>
  </si>
  <si>
    <r>
      <rPr>
        <sz val="10"/>
        <color rgb="FF000000"/>
        <rFont val="Arial Narrow"/>
        <family val="2"/>
        <charset val="1"/>
      </rPr>
      <t xml:space="preserve">Rua São João da Ponte 1332 – São Gonçalo –</t>
    </r>
    <r>
      <rPr>
        <b val="true"/>
        <sz val="10"/>
        <color rgb="FF000000"/>
        <rFont val="Arial Narrow"/>
        <family val="2"/>
        <charset val="1"/>
      </rPr>
      <t xml:space="preserve"> Janaúba</t>
    </r>
    <r>
      <rPr>
        <sz val="10"/>
        <color rgb="FF000000"/>
        <rFont val="Arial Narrow"/>
        <family val="2"/>
        <charset val="1"/>
      </rPr>
      <t xml:space="preserve"> – Cep: 39.440-000</t>
    </r>
  </si>
  <si>
    <t xml:space="preserve">JUIZ DE FORA</t>
  </si>
  <si>
    <r>
      <rPr>
        <sz val="10"/>
        <color rgb="FF000000"/>
        <rFont val="Arial Narrow"/>
        <family val="2"/>
        <charset val="1"/>
      </rPr>
      <t xml:space="preserve">Rua Leopoldo Schmidt, 145 - Centro - </t>
    </r>
    <r>
      <rPr>
        <b val="true"/>
        <sz val="10"/>
        <color rgb="FF000000"/>
        <rFont val="Arial Narrow"/>
        <family val="2"/>
        <charset val="1"/>
      </rPr>
      <t xml:space="preserve">Juiz de Fora</t>
    </r>
    <r>
      <rPr>
        <sz val="10"/>
        <color rgb="FF000000"/>
        <rFont val="Arial Narrow"/>
        <family val="2"/>
        <charset val="1"/>
      </rPr>
      <t xml:space="preserve"> - Cep: 36060-039</t>
    </r>
  </si>
  <si>
    <t xml:space="preserve">ENGETRON - 20 KVA</t>
  </si>
  <si>
    <t xml:space="preserve">152 BAT.12V/09AH</t>
  </si>
  <si>
    <t xml:space="preserve">LAVRAS</t>
  </si>
  <si>
    <r>
      <rPr>
        <sz val="10"/>
        <color rgb="FF000000"/>
        <rFont val="Arial Narrow"/>
        <family val="2"/>
        <charset val="1"/>
      </rPr>
      <t xml:space="preserve">Rua Kennedy dos Santos, 40 – Santa Efigênia –</t>
    </r>
    <r>
      <rPr>
        <b val="true"/>
        <sz val="10"/>
        <color rgb="FF000000"/>
        <rFont val="Arial Narrow"/>
        <family val="2"/>
        <charset val="1"/>
      </rPr>
      <t xml:space="preserve"> Lavras </t>
    </r>
    <r>
      <rPr>
        <sz val="10"/>
        <color rgb="FF000000"/>
        <rFont val="Arial Narrow"/>
        <family val="2"/>
        <charset val="1"/>
      </rPr>
      <t xml:space="preserve">– Cep: 37.200-000</t>
    </r>
  </si>
  <si>
    <t xml:space="preserve">PHD - HTS-10KVA</t>
  </si>
  <si>
    <t xml:space="preserve">60 BAT.12/09AH</t>
  </si>
  <si>
    <t xml:space="preserve">ENGETRON – 10 KVA</t>
  </si>
  <si>
    <t xml:space="preserve">MANHUAÇU</t>
  </si>
  <si>
    <r>
      <rPr>
        <sz val="10"/>
        <color rgb="FF000000"/>
        <rFont val="Arial Narrow"/>
        <family val="2"/>
        <charset val="1"/>
      </rPr>
      <t xml:space="preserve">Rua Duarte Peixoto, 70 – Coqueiro – </t>
    </r>
    <r>
      <rPr>
        <b val="true"/>
        <sz val="10"/>
        <color rgb="FF000000"/>
        <rFont val="Arial Narrow"/>
        <family val="2"/>
        <charset val="1"/>
      </rPr>
      <t xml:space="preserve">Manhuaçu</t>
    </r>
    <r>
      <rPr>
        <sz val="10"/>
        <color rgb="FF000000"/>
        <rFont val="Arial Narrow"/>
        <family val="2"/>
        <charset val="1"/>
      </rPr>
      <t xml:space="preserve"> – Cep: 36.900-000</t>
    </r>
  </si>
  <si>
    <t xml:space="preserve">LACERDA – 15 KVA</t>
  </si>
  <si>
    <t xml:space="preserve">34 BAT. 12V/18AH</t>
  </si>
  <si>
    <t xml:space="preserve">18Ah</t>
  </si>
  <si>
    <t xml:space="preserve">MONTES CLAROS</t>
  </si>
  <si>
    <r>
      <rPr>
        <sz val="10"/>
        <color rgb="FF000000"/>
        <rFont val="Arial Narrow"/>
        <family val="2"/>
        <charset val="1"/>
      </rPr>
      <t xml:space="preserve">Av. Deputado Esteves Rodrigues, 852 – Centro - </t>
    </r>
    <r>
      <rPr>
        <b val="true"/>
        <sz val="10"/>
        <color rgb="FF000000"/>
        <rFont val="Arial Narrow"/>
        <family val="2"/>
        <charset val="1"/>
      </rPr>
      <t xml:space="preserve">Montes Claros</t>
    </r>
    <r>
      <rPr>
        <sz val="10"/>
        <color rgb="FF000000"/>
        <rFont val="Arial Narrow"/>
        <family val="2"/>
        <charset val="1"/>
      </rPr>
      <t xml:space="preserve">– Cep: 39400-215</t>
    </r>
  </si>
  <si>
    <t xml:space="preserve">PHD - HTS-10 KVA</t>
  </si>
  <si>
    <t xml:space="preserve">MURIAÉ</t>
  </si>
  <si>
    <r>
      <rPr>
        <sz val="10"/>
        <color rgb="FF000000"/>
        <rFont val="Arial Narrow"/>
        <family val="2"/>
        <charset val="1"/>
      </rPr>
      <t xml:space="preserve">Av. Dr. Mário Inácio Carneiro, 535 – Centro – </t>
    </r>
    <r>
      <rPr>
        <b val="true"/>
        <sz val="10"/>
        <color rgb="FF000000"/>
        <rFont val="Arial Narrow"/>
        <family val="2"/>
        <charset val="1"/>
      </rPr>
      <t xml:space="preserve">Muriaé </t>
    </r>
    <r>
      <rPr>
        <sz val="10"/>
        <color rgb="FF000000"/>
        <rFont val="Arial Narrow"/>
        <family val="2"/>
        <charset val="1"/>
      </rPr>
      <t xml:space="preserve">– Cep: 36.880-970</t>
    </r>
  </si>
  <si>
    <t xml:space="preserve">PARACATU</t>
  </si>
  <si>
    <r>
      <rPr>
        <sz val="10"/>
        <color rgb="FF000000"/>
        <rFont val="Arial Narrow"/>
        <family val="2"/>
        <charset val="1"/>
      </rPr>
      <t xml:space="preserve">Av. Olegário Maciel 138 - Centro - </t>
    </r>
    <r>
      <rPr>
        <b val="true"/>
        <sz val="10"/>
        <color rgb="FF000000"/>
        <rFont val="Arial Narrow"/>
        <family val="2"/>
        <charset val="1"/>
      </rPr>
      <t xml:space="preserve">Paracatu </t>
    </r>
    <r>
      <rPr>
        <sz val="10"/>
        <color rgb="FF000000"/>
        <rFont val="Arial Narrow"/>
        <family val="2"/>
        <charset val="1"/>
      </rPr>
      <t xml:space="preserve">- CEP: 38.600-000</t>
    </r>
  </si>
  <si>
    <t xml:space="preserve">LACERDA 15 KVA</t>
  </si>
  <si>
    <t xml:space="preserve">34 BAT. 12V/40AH</t>
  </si>
  <si>
    <t xml:space="preserve">PASSOS</t>
  </si>
  <si>
    <r>
      <rPr>
        <sz val="10"/>
        <color rgb="FF000000"/>
        <rFont val="Arial Narrow"/>
        <family val="2"/>
        <charset val="1"/>
      </rPr>
      <t xml:space="preserve">Av. Arlindo Figueiredo, 128 – Centro –</t>
    </r>
    <r>
      <rPr>
        <b val="true"/>
        <sz val="10"/>
        <color rgb="FF000000"/>
        <rFont val="Arial Narrow"/>
        <family val="2"/>
        <charset val="1"/>
      </rPr>
      <t xml:space="preserve"> Passos</t>
    </r>
    <r>
      <rPr>
        <sz val="10"/>
        <color rgb="FF000000"/>
        <rFont val="Arial Narrow"/>
        <family val="2"/>
        <charset val="1"/>
      </rPr>
      <t xml:space="preserve"> – CEP: 37.092-026</t>
    </r>
  </si>
  <si>
    <t xml:space="preserve">PATOS DE MINAS</t>
  </si>
  <si>
    <r>
      <rPr>
        <sz val="10"/>
        <color rgb="FF000000"/>
        <rFont val="Arial Narrow"/>
        <family val="2"/>
        <charset val="1"/>
      </rPr>
      <t xml:space="preserve">Rua José de Santana, 506 – Centro –</t>
    </r>
    <r>
      <rPr>
        <b val="true"/>
        <sz val="10"/>
        <color rgb="FF000000"/>
        <rFont val="Arial Narrow"/>
        <family val="2"/>
        <charset val="1"/>
      </rPr>
      <t xml:space="preserve"> Patos de Minas</t>
    </r>
    <r>
      <rPr>
        <sz val="10"/>
        <color rgb="FF000000"/>
        <rFont val="Arial Narrow"/>
        <family val="2"/>
        <charset val="1"/>
      </rPr>
      <t xml:space="preserve"> – Cep: 38700-052</t>
    </r>
  </si>
  <si>
    <t xml:space="preserve">POÇOS DE CALDAS</t>
  </si>
  <si>
    <r>
      <rPr>
        <sz val="10"/>
        <color rgb="FF000000"/>
        <rFont val="Arial Narrow"/>
        <family val="2"/>
        <charset val="1"/>
      </rPr>
      <t xml:space="preserve">Av. João Pinheiro, 1071 – Centro – </t>
    </r>
    <r>
      <rPr>
        <b val="true"/>
        <sz val="10"/>
        <color rgb="FF000000"/>
        <rFont val="Arial Narrow"/>
        <family val="2"/>
        <charset val="1"/>
      </rPr>
      <t xml:space="preserve">Poços de Caldas</t>
    </r>
    <r>
      <rPr>
        <sz val="10"/>
        <color rgb="FF000000"/>
        <rFont val="Arial Narrow"/>
        <family val="2"/>
        <charset val="1"/>
      </rPr>
      <t xml:space="preserve"> – Cep: 37701-880</t>
    </r>
  </si>
  <si>
    <t xml:space="preserve">PONTE NOVA</t>
  </si>
  <si>
    <r>
      <rPr>
        <sz val="10"/>
        <color rgb="FF000000"/>
        <rFont val="Arial Narrow"/>
        <family val="2"/>
        <charset val="1"/>
      </rPr>
      <t xml:space="preserve">Av. Caetano Marinho, 268 - Centro - </t>
    </r>
    <r>
      <rPr>
        <b val="true"/>
        <sz val="10"/>
        <color rgb="FF000000"/>
        <rFont val="Arial Narrow"/>
        <family val="2"/>
        <charset val="1"/>
      </rPr>
      <t xml:space="preserve">Ponte Nova</t>
    </r>
    <r>
      <rPr>
        <sz val="10"/>
        <color rgb="FF000000"/>
        <rFont val="Arial Narrow"/>
        <family val="2"/>
        <charset val="1"/>
      </rPr>
      <t xml:space="preserve"> - Cep: 35.430-001</t>
    </r>
  </si>
  <si>
    <t xml:space="preserve">LACERDA – 10 KVA</t>
  </si>
  <si>
    <t xml:space="preserve">POUSO ALEGRE</t>
  </si>
  <si>
    <r>
      <rPr>
        <sz val="10"/>
        <color rgb="FF000000"/>
        <rFont val="Arial Narrow"/>
        <family val="2"/>
        <charset val="1"/>
      </rPr>
      <t xml:space="preserve">Rua Santo Antônio, 82 – Centro - </t>
    </r>
    <r>
      <rPr>
        <b val="true"/>
        <sz val="10"/>
        <color rgb="FF000000"/>
        <rFont val="Arial Narrow"/>
        <family val="2"/>
        <charset val="1"/>
      </rPr>
      <t xml:space="preserve">Pouso Alegre</t>
    </r>
    <r>
      <rPr>
        <sz val="10"/>
        <color rgb="FF000000"/>
        <rFont val="Arial Narrow"/>
        <family val="2"/>
        <charset val="1"/>
      </rPr>
      <t xml:space="preserve"> – Cep: 37550-000</t>
    </r>
  </si>
  <si>
    <t xml:space="preserve">LACERDA - 15 KVA</t>
  </si>
  <si>
    <t xml:space="preserve">SÃO JOÃO DEL REI</t>
  </si>
  <si>
    <r>
      <rPr>
        <sz val="10"/>
        <color rgb="FF000000"/>
        <rFont val="Arial Narrow"/>
        <family val="2"/>
        <charset val="1"/>
      </rPr>
      <t xml:space="preserve">Rua Professor Margarida Neves, 170 – Jardim Central –</t>
    </r>
    <r>
      <rPr>
        <b val="true"/>
        <sz val="10"/>
        <color rgb="FF000000"/>
        <rFont val="Arial Narrow"/>
        <family val="2"/>
        <charset val="1"/>
      </rPr>
      <t xml:space="preserve"> São João Del Rei</t>
    </r>
    <r>
      <rPr>
        <sz val="10"/>
        <color rgb="FF000000"/>
        <rFont val="Arial Narrow"/>
        <family val="2"/>
        <charset val="1"/>
      </rPr>
      <t xml:space="preserve"> – Cep: 36037-066</t>
    </r>
  </si>
  <si>
    <t xml:space="preserve">SÃO SEBASTIÃO DO PARAISO</t>
  </si>
  <si>
    <r>
      <rPr>
        <sz val="10"/>
        <color rgb="FF000000"/>
        <rFont val="Arial Narrow"/>
        <family val="2"/>
        <charset val="1"/>
      </rPr>
      <t xml:space="preserve">Av. Oliveira Rezende, 662 - Brás - </t>
    </r>
    <r>
      <rPr>
        <b val="true"/>
        <sz val="10"/>
        <color rgb="FF000000"/>
        <rFont val="Arial Narrow"/>
        <family val="2"/>
        <charset val="1"/>
      </rPr>
      <t xml:space="preserve">São Sebastião do Paraíso</t>
    </r>
    <r>
      <rPr>
        <sz val="10"/>
        <color rgb="FF000000"/>
        <rFont val="Arial Narrow"/>
        <family val="2"/>
        <charset val="1"/>
      </rPr>
      <t xml:space="preserve"> - Cep: 37950-000</t>
    </r>
  </si>
  <si>
    <t xml:space="preserve">SETE LAGOAS</t>
  </si>
  <si>
    <r>
      <rPr>
        <sz val="10"/>
        <color rgb="FF000000"/>
        <rFont val="Arial Narrow"/>
        <family val="2"/>
        <charset val="1"/>
      </rPr>
      <t xml:space="preserve">Rua Santos Dumont, 140 – Bairro Canaã - </t>
    </r>
    <r>
      <rPr>
        <b val="true"/>
        <sz val="10"/>
        <color rgb="FF000000"/>
        <rFont val="Arial Narrow"/>
        <family val="2"/>
        <charset val="1"/>
      </rPr>
      <t xml:space="preserve">Sete Lagoas</t>
    </r>
    <r>
      <rPr>
        <sz val="10"/>
        <color rgb="FF000000"/>
        <rFont val="Arial Narrow"/>
        <family val="2"/>
        <charset val="1"/>
      </rPr>
      <t xml:space="preserve"> - Cep: 35.700-284</t>
    </r>
  </si>
  <si>
    <t xml:space="preserve">ATA - HI POWER -10 KVA</t>
  </si>
  <si>
    <t xml:space="preserve">34 BAT. 12V/09AH</t>
  </si>
  <si>
    <t xml:space="preserve">TÉOFILO OTONI</t>
  </si>
  <si>
    <r>
      <rPr>
        <sz val="10"/>
        <color rgb="FF000000"/>
        <rFont val="Arial Narrow"/>
        <family val="2"/>
        <charset val="1"/>
      </rPr>
      <t xml:space="preserve">Rua Dr. Reinaldo, 105 – Centro – </t>
    </r>
    <r>
      <rPr>
        <b val="true"/>
        <sz val="10"/>
        <color rgb="FF000000"/>
        <rFont val="Arial Narrow"/>
        <family val="2"/>
        <charset val="1"/>
      </rPr>
      <t xml:space="preserve">Teofilo Otoni </t>
    </r>
    <r>
      <rPr>
        <sz val="10"/>
        <color rgb="FF000000"/>
        <rFont val="Arial Narrow"/>
        <family val="2"/>
        <charset val="1"/>
      </rPr>
      <t xml:space="preserve">– Cep: 39800-018</t>
    </r>
  </si>
  <si>
    <t xml:space="preserve">PHD - HTS TRY-10 KVA</t>
  </si>
  <si>
    <t xml:space="preserve">40 BAT. 12V/09AH</t>
  </si>
  <si>
    <t xml:space="preserve">LACERDA – 10KVA</t>
  </si>
  <si>
    <t xml:space="preserve">UBERABA</t>
  </si>
  <si>
    <r>
      <rPr>
        <sz val="10"/>
        <color rgb="FF000000"/>
        <rFont val="Arial Narrow"/>
        <family val="2"/>
        <charset val="1"/>
      </rPr>
      <t xml:space="preserve">Av. Maria Carmelita de Castro Cunha, 30 – Vila Olímpica - </t>
    </r>
    <r>
      <rPr>
        <b val="true"/>
        <sz val="10"/>
        <color rgb="FF000000"/>
        <rFont val="Arial Narrow"/>
        <family val="2"/>
        <charset val="1"/>
      </rPr>
      <t xml:space="preserve">Uberaba</t>
    </r>
    <r>
      <rPr>
        <sz val="10"/>
        <color rgb="FF000000"/>
        <rFont val="Arial Narrow"/>
        <family val="2"/>
        <charset val="1"/>
      </rPr>
      <t xml:space="preserve"> - Cep;38065-320</t>
    </r>
  </si>
  <si>
    <t xml:space="preserve">ENGETRON - 25 KVA</t>
  </si>
  <si>
    <t xml:space="preserve">152 BAT. 12V/09AH</t>
  </si>
  <si>
    <t xml:space="preserve">152 BAT. 12V/07AH</t>
  </si>
  <si>
    <t xml:space="preserve">UBERLÂNDIA</t>
  </si>
  <si>
    <r>
      <rPr>
        <sz val="10"/>
        <color rgb="FF000000"/>
        <rFont val="Arial Narrow"/>
        <family val="2"/>
        <charset val="1"/>
      </rPr>
      <t xml:space="preserve">Av. Cesário Alvim, 3.390 – Bairro Brasil - </t>
    </r>
    <r>
      <rPr>
        <b val="true"/>
        <sz val="10"/>
        <color rgb="FF000000"/>
        <rFont val="Arial Narrow"/>
        <family val="2"/>
        <charset val="1"/>
      </rPr>
      <t xml:space="preserve">Uberlândia</t>
    </r>
    <r>
      <rPr>
        <sz val="10"/>
        <color rgb="FF000000"/>
        <rFont val="Arial Narrow"/>
        <family val="2"/>
        <charset val="1"/>
      </rPr>
      <t xml:space="preserve"> - Cep: 38400-696</t>
    </r>
  </si>
  <si>
    <t xml:space="preserve">40 BAT. 12V/40AH</t>
  </si>
  <si>
    <t xml:space="preserve">UNAI</t>
  </si>
  <si>
    <r>
      <rPr>
        <sz val="10"/>
        <color rgb="FF000000"/>
        <rFont val="Arial Narrow"/>
        <family val="2"/>
        <charset val="1"/>
      </rPr>
      <t xml:space="preserve">Rua João Pinheiro, 548 - Centro -</t>
    </r>
    <r>
      <rPr>
        <b val="true"/>
        <sz val="10"/>
        <color rgb="FF000000"/>
        <rFont val="Arial Narrow"/>
        <family val="2"/>
        <charset val="1"/>
      </rPr>
      <t xml:space="preserve">Unaí </t>
    </r>
    <r>
      <rPr>
        <sz val="10"/>
        <color rgb="FF000000"/>
        <rFont val="Arial Narrow"/>
        <family val="2"/>
        <charset val="1"/>
      </rPr>
      <t xml:space="preserve">- Cep: 38610-079</t>
    </r>
  </si>
  <si>
    <t xml:space="preserve">LACERDA - 15KAV</t>
  </si>
  <si>
    <t xml:space="preserve">VARGINHA</t>
  </si>
  <si>
    <r>
      <rPr>
        <sz val="10"/>
        <color rgb="FF000000"/>
        <rFont val="Arial Narrow"/>
        <family val="2"/>
        <charset val="1"/>
      </rPr>
      <t xml:space="preserve">Av. Princesa do Sul, 1855 – Rezende – </t>
    </r>
    <r>
      <rPr>
        <b val="true"/>
        <sz val="10"/>
        <color rgb="FF000000"/>
        <rFont val="Arial Narrow"/>
        <family val="2"/>
        <charset val="1"/>
      </rPr>
      <t xml:space="preserve">Varginha</t>
    </r>
    <r>
      <rPr>
        <sz val="10"/>
        <color rgb="FF000000"/>
        <rFont val="Arial Narrow"/>
        <family val="2"/>
        <charset val="1"/>
      </rPr>
      <t xml:space="preserve"> – Cep: 37062-447</t>
    </r>
  </si>
  <si>
    <t xml:space="preserve">16 BAT 12V/18AH</t>
  </si>
  <si>
    <t xml:space="preserve">VIÇOSA</t>
  </si>
  <si>
    <r>
      <rPr>
        <sz val="10"/>
        <color rgb="FF000000"/>
        <rFont val="Arial Narrow"/>
        <family val="2"/>
        <charset val="1"/>
      </rPr>
      <t xml:space="preserve">Av. Joaquim Lopes de Faria, 505 – Santo Antônio - </t>
    </r>
    <r>
      <rPr>
        <b val="true"/>
        <sz val="10"/>
        <color rgb="FF000000"/>
        <rFont val="Arial Narrow"/>
        <family val="2"/>
        <charset val="1"/>
      </rPr>
      <t xml:space="preserve">Viçosa</t>
    </r>
    <r>
      <rPr>
        <sz val="10"/>
        <color rgb="FF000000"/>
        <rFont val="Arial Narrow"/>
        <family val="2"/>
        <charset val="1"/>
      </rPr>
      <t xml:space="preserve"> – Cep: 36570-000</t>
    </r>
  </si>
  <si>
    <t xml:space="preserve">LACERDA – 15KVA</t>
  </si>
  <si>
    <t xml:space="preserve">TOTAL</t>
  </si>
  <si>
    <t xml:space="preserve">36 NOBREAKs</t>
  </si>
  <si>
    <t xml:space="preserve">R$/UNID.</t>
  </si>
  <si>
    <t xml:space="preserve">RESUMO       para </t>
  </si>
  <si>
    <t xml:space="preserve">Conferência </t>
  </si>
  <si>
    <t xml:space="preserve">Preço Médio </t>
  </si>
  <si>
    <t xml:space="preserve">QTDE</t>
  </si>
  <si>
    <t xml:space="preserve">PR UNIT </t>
  </si>
  <si>
    <t xml:space="preserve">   Total</t>
  </si>
  <si>
    <t xml:space="preserve">             SERVIÇOS</t>
  </si>
  <si>
    <t xml:space="preserve">  Total (Bat+Serv)</t>
  </si>
  <si>
    <t xml:space="preserve">Total</t>
  </si>
  <si>
    <t xml:space="preserve">Bateria instalada e calibrada</t>
  </si>
  <si>
    <t xml:space="preserve">7AH</t>
  </si>
  <si>
    <t xml:space="preserve">9AH</t>
  </si>
  <si>
    <t xml:space="preserve">GASTO MÉDIO COM BATERIAS INSTALADAS E CALIBRADAS POR NOBREAK</t>
  </si>
  <si>
    <t xml:space="preserve">GASTO MÉDIO POR BATERIAS INSTALADAS E CALIBRADAS </t>
  </si>
  <si>
    <t xml:space="preserve">PREÇOS DE MERCADO PARA AQUISIÇÃO DE NOVOS  NOBREAKS -  20KVA</t>
  </si>
  <si>
    <t xml:space="preserve">MARCA</t>
  </si>
  <si>
    <t xml:space="preserve">CAPACIDADE</t>
  </si>
  <si>
    <t xml:space="preserve">PREÇO</t>
  </si>
  <si>
    <t xml:space="preserve">ELETROTRAFO</t>
  </si>
  <si>
    <t xml:space="preserve">20KVA</t>
  </si>
  <si>
    <t xml:space="preserve">DIMENSIONAL</t>
  </si>
  <si>
    <t xml:space="preserve">APC SMART</t>
  </si>
  <si>
    <t xml:space="preserve">APC EASY</t>
  </si>
  <si>
    <t xml:space="preserve">IFONTEC</t>
  </si>
  <si>
    <t xml:space="preserve">PROCESSTEC</t>
  </si>
  <si>
    <t xml:space="preserve">PREÇO MÉDIO DO NOBREAK NOVO</t>
  </si>
  <si>
    <t xml:space="preserve">TOTAL 36 AQUIS. Conf. planilha</t>
  </si>
  <si>
    <t xml:space="preserve">GASTO MÉDIO COM TROCA BATERIA </t>
  </si>
  <si>
    <t xml:space="preserve">TOTAL 36 TROCAS</t>
  </si>
  <si>
    <t xml:space="preserve">ECONOMIA  (POR UNIDADE)</t>
  </si>
  <si>
    <t xml:space="preserve">ECONOMIA TOTAL FAZENDO A TROCA</t>
  </si>
  <si>
    <t xml:space="preserve">LEVANTAMENTO  DOS CUSTOS MÁXIMOS  DOS LOTES </t>
  </si>
  <si>
    <t xml:space="preserve">Lotes</t>
  </si>
  <si>
    <t xml:space="preserve">REGIÃO   -  CIDADES </t>
  </si>
  <si>
    <t xml:space="preserve">7Ah</t>
  </si>
  <si>
    <t xml:space="preserve">9Ah</t>
  </si>
  <si>
    <t xml:space="preserve">40Ah</t>
  </si>
  <si>
    <t xml:space="preserve">Totais</t>
  </si>
  <si>
    <t xml:space="preserve">         Lote 1</t>
  </si>
  <si>
    <t xml:space="preserve">Ituiutaba  – Uberlândia  – Uberaba  – Patos de Minas - Paracatu – Unaí  – Montes Claros  – Janaúba  – Poços de Caldas – Passos – São Sebastião do Paraíso  </t>
  </si>
  <si>
    <t xml:space="preserve">         Lote 2</t>
  </si>
  <si>
    <t xml:space="preserve">Juiz de Fora – Muriaé  – Ponte Nova -  Varginha  – Pouso Alegre – Lavras -  Teófilo Otoni   –  Ipatinga - Manhuaçu - Viçosa - São João Del Rei</t>
  </si>
  <si>
    <t xml:space="preserve">         Lote 3</t>
  </si>
  <si>
    <t xml:space="preserve"> Belo Horizonte – Divinópolis  – Sete Lagoas  </t>
  </si>
  <si>
    <t xml:space="preserve">CUSTOS  BATERIAS POR TIPO </t>
  </si>
  <si>
    <t xml:space="preserve">1.Totais</t>
  </si>
  <si>
    <t xml:space="preserve">CUSTOS  SERVIÇOS</t>
  </si>
  <si>
    <t xml:space="preserve">LOTES</t>
  </si>
  <si>
    <t xml:space="preserve">Quantidade de serviços de instalação e calibragem por lotes (número de nobreaks)</t>
  </si>
  <si>
    <t xml:space="preserve">2 .  Serviços /número de nobreaks</t>
  </si>
  <si>
    <t xml:space="preserve">TOTAIS</t>
  </si>
  <si>
    <t xml:space="preserve">CUSTOS MÁXIMOS POR LOTE  (1+2)</t>
  </si>
  <si>
    <t xml:space="preserve">TABELA DE VALORES DE DESLOCAMENTOS  -   ANTT</t>
  </si>
  <si>
    <t xml:space="preserve">CÁLCULO DE DESLOCAMENTO  -  CONFORME TABELA ANTT</t>
  </si>
  <si>
    <t xml:space="preserve">Valor do frete – Taxa Fixa:</t>
  </si>
  <si>
    <t xml:space="preserve">Coeficiente Custo de Deslocamento – CCD POR KM: </t>
  </si>
  <si>
    <t xml:space="preserve">FORMA DE CÁLCULO =  (km*ccd)+ Valor do frete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</si>
</sst>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R$ &quot;#,##0.00;[RED]&quot;-R$ &quot;#,##0.00"/>
    <numFmt numFmtId="166" formatCode="0.00%"/>
    <numFmt numFmtId="167" formatCode="0.00"/>
    <numFmt numFmtId="168" formatCode="#,##0"/>
    <numFmt numFmtId="169" formatCode="#.00"/>
    <numFmt numFmtId="170" formatCode="&quot;R$ &quot;#,##0.00"/>
    <numFmt numFmtId="171" formatCode="#,##0.00;[RED]#,##0.00"/>
    <numFmt numFmtId="172" formatCode="#,###.00"/>
    <numFmt numFmtId="173" formatCode="&quot;R$ &quot;#,##0.00_);&quot;(R$ &quot;#,##0.00\)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8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5BE97"/>
        <bgColor rgb="FFB4C7E7"/>
      </patternFill>
    </fill>
    <fill>
      <patternFill patternType="solid">
        <fgColor rgb="FFC6D9F1"/>
        <bgColor rgb="FFB4C7E7"/>
      </patternFill>
    </fill>
    <fill>
      <patternFill patternType="solid">
        <fgColor rgb="FFB4C7E7"/>
        <bgColor rgb="FFC6D9F1"/>
      </patternFill>
    </fill>
    <fill>
      <patternFill patternType="solid">
        <fgColor rgb="FF1C1C1C"/>
        <bgColor rgb="FF333300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double"/>
      <bottom style="medium"/>
      <diagonal/>
    </border>
    <border diagonalUp="false" diagonalDown="false">
      <left/>
      <right/>
      <top style="double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double"/>
      <bottom style="double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double"/>
      <diagonal/>
    </border>
    <border diagonalUp="false" diagonalDown="false">
      <left/>
      <right/>
      <top style="medium"/>
      <bottom style="double"/>
      <diagonal/>
    </border>
    <border diagonalUp="false" diagonalDown="false">
      <left style="medium"/>
      <right/>
      <top style="medium"/>
      <bottom style="double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BE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E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T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1484375" defaultRowHeight="15" zeroHeight="false" outlineLevelRow="0" outlineLevelCol="0"/>
  <cols>
    <col collapsed="false" customWidth="true" hidden="false" outlineLevel="0" max="3" min="3" style="0" width="26.15"/>
    <col collapsed="false" customWidth="true" hidden="false" outlineLevel="0" max="4" min="4" style="0" width="37.57"/>
    <col collapsed="false" customWidth="true" hidden="false" outlineLevel="0" max="5" min="5" style="0" width="19.29"/>
    <col collapsed="false" customWidth="true" hidden="false" outlineLevel="0" max="6" min="6" style="0" width="14.86"/>
    <col collapsed="false" customWidth="true" hidden="false" outlineLevel="0" max="7" min="7" style="0" width="9"/>
    <col collapsed="false" customWidth="true" hidden="false" outlineLevel="0" max="8" min="8" style="0" width="10.71"/>
    <col collapsed="false" customWidth="true" hidden="false" outlineLevel="0" max="9" min="9" style="0" width="14.71"/>
    <col collapsed="false" customWidth="true" hidden="false" outlineLevel="0" max="10" min="10" style="0" width="20"/>
    <col collapsed="false" customWidth="true" hidden="false" outlineLevel="0" max="11" min="11" style="0" width="16.29"/>
    <col collapsed="false" customWidth="true" hidden="false" outlineLevel="0" max="12" min="12" style="0" width="17.86"/>
    <col collapsed="false" customWidth="true" hidden="false" outlineLevel="0" max="13" min="13" style="0" width="29"/>
    <col collapsed="false" customWidth="true" hidden="false" outlineLevel="0" max="15" min="14" style="0" width="11.85"/>
    <col collapsed="false" customWidth="true" hidden="false" outlineLevel="0" max="18" min="18" style="0" width="17.71"/>
    <col collapsed="false" customWidth="true" hidden="false" outlineLevel="0" max="20" min="20" style="0" width="17.29"/>
    <col collapsed="false" customWidth="true" hidden="false" outlineLevel="0" max="16384" min="16382" style="0" width="11.57"/>
  </cols>
  <sheetData>
    <row r="1" customFormat="false" ht="15" hidden="false" customHeight="false" outlineLevel="0" collapsed="false">
      <c r="C1" s="0" t="s">
        <v>0</v>
      </c>
      <c r="D1" s="0" t="s">
        <v>1</v>
      </c>
    </row>
    <row r="3" customFormat="false" ht="29.25" hidden="false" customHeight="true" outlineLevel="0" collapsed="false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R3" s="0" t="s">
        <v>16</v>
      </c>
      <c r="T3" s="0" t="s">
        <v>17</v>
      </c>
    </row>
    <row r="4" customFormat="false" ht="15" hidden="false" customHeight="false" outlineLevel="0" collapsed="false">
      <c r="B4" s="1"/>
      <c r="C4" s="2"/>
      <c r="D4" s="2"/>
      <c r="E4" s="2"/>
      <c r="F4" s="2"/>
      <c r="G4" s="3"/>
      <c r="H4" s="3"/>
      <c r="I4" s="3"/>
      <c r="J4" s="3"/>
      <c r="K4" s="5"/>
      <c r="L4" s="3"/>
      <c r="M4" s="3"/>
      <c r="N4" s="3"/>
      <c r="O4" s="3"/>
    </row>
    <row r="5" customFormat="false" ht="25.5" hidden="false" customHeight="false" outlineLevel="0" collapsed="false">
      <c r="B5" s="6" t="n">
        <v>1</v>
      </c>
      <c r="C5" s="7" t="s">
        <v>18</v>
      </c>
      <c r="D5" s="8" t="s">
        <v>19</v>
      </c>
      <c r="E5" s="9" t="s">
        <v>20</v>
      </c>
      <c r="F5" s="8" t="s">
        <v>21</v>
      </c>
      <c r="G5" s="10" t="s">
        <v>22</v>
      </c>
      <c r="H5" s="11" t="n">
        <v>38</v>
      </c>
      <c r="I5" s="12" t="n">
        <v>637.63</v>
      </c>
      <c r="J5" s="13" t="n">
        <f aca="false">I5*H5</f>
        <v>24229.94</v>
      </c>
      <c r="K5" s="14" t="n">
        <v>0</v>
      </c>
      <c r="L5" s="12" t="n">
        <v>2574.62</v>
      </c>
      <c r="M5" s="12" t="n">
        <f aca="false">L5+J5</f>
        <v>26804.56</v>
      </c>
      <c r="N5" s="15" t="n">
        <f aca="false">(O5*100/M41)/100</f>
        <v>0.170958133346363</v>
      </c>
      <c r="O5" s="16" t="n">
        <f aca="false">M5+M6+M7+M8+M9+M10+M31</f>
        <v>72775.92</v>
      </c>
      <c r="R5" s="0" t="n">
        <f aca="false">M5+M6+M7+M8+M9</f>
        <v>57795.68</v>
      </c>
      <c r="T5" s="0" t="n">
        <f aca="false">M41-R5</f>
        <v>367898.72</v>
      </c>
    </row>
    <row r="6" customFormat="false" ht="19.4" hidden="false" customHeight="false" outlineLevel="0" collapsed="false">
      <c r="B6" s="6" t="n">
        <v>2</v>
      </c>
      <c r="C6" s="7" t="s">
        <v>18</v>
      </c>
      <c r="D6" s="17" t="s">
        <v>23</v>
      </c>
      <c r="E6" s="18" t="s">
        <v>24</v>
      </c>
      <c r="F6" s="17" t="s">
        <v>25</v>
      </c>
      <c r="G6" s="19" t="s">
        <v>26</v>
      </c>
      <c r="H6" s="20" t="n">
        <v>38</v>
      </c>
      <c r="I6" s="21" t="n">
        <v>109.72</v>
      </c>
      <c r="J6" s="22" t="n">
        <f aca="false">I6*H6</f>
        <v>4169.36</v>
      </c>
      <c r="K6" s="23" t="n">
        <v>0</v>
      </c>
      <c r="L6" s="12" t="n">
        <v>2574.62</v>
      </c>
      <c r="M6" s="12" t="n">
        <f aca="false">L6+J6</f>
        <v>6743.98</v>
      </c>
      <c r="N6" s="15"/>
      <c r="O6" s="16"/>
      <c r="R6" s="24"/>
      <c r="S6" s="24"/>
      <c r="T6" s="24"/>
    </row>
    <row r="7" customFormat="false" ht="19.4" hidden="false" customHeight="false" outlineLevel="0" collapsed="false">
      <c r="B7" s="6" t="n">
        <v>3</v>
      </c>
      <c r="C7" s="25" t="s">
        <v>18</v>
      </c>
      <c r="D7" s="17" t="s">
        <v>23</v>
      </c>
      <c r="E7" s="26" t="s">
        <v>27</v>
      </c>
      <c r="F7" s="25" t="s">
        <v>28</v>
      </c>
      <c r="G7" s="19" t="s">
        <v>29</v>
      </c>
      <c r="H7" s="20" t="n">
        <v>48</v>
      </c>
      <c r="I7" s="21" t="n">
        <v>111.08</v>
      </c>
      <c r="J7" s="22" t="n">
        <f aca="false">I7*H7</f>
        <v>5331.84</v>
      </c>
      <c r="K7" s="23" t="n">
        <v>0</v>
      </c>
      <c r="L7" s="12" t="n">
        <v>2574.62</v>
      </c>
      <c r="M7" s="12" t="n">
        <f aca="false">L7+J7</f>
        <v>7906.46</v>
      </c>
      <c r="N7" s="15"/>
      <c r="O7" s="16"/>
    </row>
    <row r="8" customFormat="false" ht="19.4" hidden="false" customHeight="false" outlineLevel="0" collapsed="false">
      <c r="B8" s="6" t="n">
        <v>4</v>
      </c>
      <c r="C8" s="25" t="s">
        <v>18</v>
      </c>
      <c r="D8" s="17" t="s">
        <v>30</v>
      </c>
      <c r="E8" s="18" t="s">
        <v>24</v>
      </c>
      <c r="F8" s="17" t="s">
        <v>25</v>
      </c>
      <c r="G8" s="19" t="s">
        <v>26</v>
      </c>
      <c r="H8" s="20" t="n">
        <v>38</v>
      </c>
      <c r="I8" s="21" t="n">
        <v>109.72</v>
      </c>
      <c r="J8" s="22" t="n">
        <f aca="false">I8*H8</f>
        <v>4169.36</v>
      </c>
      <c r="K8" s="23" t="n">
        <v>10</v>
      </c>
      <c r="L8" s="12" t="n">
        <v>2574.62</v>
      </c>
      <c r="M8" s="12" t="n">
        <f aca="false">L8+J8</f>
        <v>6743.98</v>
      </c>
      <c r="N8" s="15"/>
      <c r="O8" s="16"/>
    </row>
    <row r="9" customFormat="false" ht="19.4" hidden="false" customHeight="false" outlineLevel="0" collapsed="false">
      <c r="B9" s="6" t="n">
        <v>5</v>
      </c>
      <c r="C9" s="25" t="s">
        <v>18</v>
      </c>
      <c r="D9" s="17" t="s">
        <v>31</v>
      </c>
      <c r="E9" s="18" t="s">
        <v>32</v>
      </c>
      <c r="F9" s="17" t="s">
        <v>33</v>
      </c>
      <c r="G9" s="19" t="s">
        <v>26</v>
      </c>
      <c r="H9" s="20" t="n">
        <v>64</v>
      </c>
      <c r="I9" s="21" t="n">
        <v>109.72</v>
      </c>
      <c r="J9" s="22" t="n">
        <f aca="false">I9*H9</f>
        <v>7022.08</v>
      </c>
      <c r="K9" s="23" t="n">
        <v>0</v>
      </c>
      <c r="L9" s="12" t="n">
        <v>2574.62</v>
      </c>
      <c r="M9" s="12" t="n">
        <f aca="false">L9+J9</f>
        <v>9596.7</v>
      </c>
      <c r="N9" s="15"/>
      <c r="O9" s="16"/>
    </row>
    <row r="10" customFormat="false" ht="19.4" hidden="false" customHeight="false" outlineLevel="0" collapsed="false">
      <c r="B10" s="27" t="n">
        <v>6</v>
      </c>
      <c r="C10" s="28" t="s">
        <v>34</v>
      </c>
      <c r="D10" s="29" t="s">
        <v>35</v>
      </c>
      <c r="E10" s="30" t="s">
        <v>24</v>
      </c>
      <c r="F10" s="29" t="s">
        <v>36</v>
      </c>
      <c r="G10" s="31" t="s">
        <v>37</v>
      </c>
      <c r="H10" s="32" t="n">
        <v>16</v>
      </c>
      <c r="I10" s="21" t="n">
        <v>196.62</v>
      </c>
      <c r="J10" s="33" t="n">
        <f aca="false">I10*H10</f>
        <v>3145.92</v>
      </c>
      <c r="K10" s="23" t="n">
        <v>120</v>
      </c>
      <c r="L10" s="12" t="n">
        <v>2574.62</v>
      </c>
      <c r="M10" s="12" t="n">
        <f aca="false">L10+J10</f>
        <v>5720.54</v>
      </c>
      <c r="N10" s="15"/>
      <c r="O10" s="16"/>
    </row>
    <row r="11" customFormat="false" ht="19.4" hidden="false" customHeight="false" outlineLevel="0" collapsed="false">
      <c r="B11" s="34" t="n">
        <v>7</v>
      </c>
      <c r="C11" s="25" t="s">
        <v>38</v>
      </c>
      <c r="D11" s="17" t="s">
        <v>39</v>
      </c>
      <c r="E11" s="18" t="s">
        <v>40</v>
      </c>
      <c r="F11" s="17" t="s">
        <v>41</v>
      </c>
      <c r="G11" s="35" t="s">
        <v>29</v>
      </c>
      <c r="H11" s="36" t="n">
        <v>38</v>
      </c>
      <c r="I11" s="37" t="n">
        <v>111.08</v>
      </c>
      <c r="J11" s="38" t="n">
        <f aca="false">I11*H11</f>
        <v>4221.04</v>
      </c>
      <c r="K11" s="23" t="n">
        <v>215</v>
      </c>
      <c r="L11" s="12" t="n">
        <v>2574.62</v>
      </c>
      <c r="M11" s="12" t="n">
        <f aca="false">L11+J11</f>
        <v>6795.66</v>
      </c>
      <c r="N11" s="39" t="n">
        <f aca="false">(100-17.49)/100</f>
        <v>0.8251</v>
      </c>
      <c r="O11" s="40" t="n">
        <f aca="false">SUM(M11:M40)-M31</f>
        <v>352918.48</v>
      </c>
    </row>
    <row r="12" customFormat="false" ht="19.4" hidden="false" customHeight="false" outlineLevel="0" collapsed="false">
      <c r="B12" s="41" t="n">
        <v>8</v>
      </c>
      <c r="C12" s="25" t="s">
        <v>42</v>
      </c>
      <c r="D12" s="17" t="s">
        <v>43</v>
      </c>
      <c r="E12" s="18" t="s">
        <v>44</v>
      </c>
      <c r="F12" s="17" t="s">
        <v>45</v>
      </c>
      <c r="G12" s="41" t="s">
        <v>22</v>
      </c>
      <c r="H12" s="42" t="n">
        <v>24</v>
      </c>
      <c r="I12" s="43" t="n">
        <v>637.63</v>
      </c>
      <c r="J12" s="44" t="n">
        <f aca="false">I12*H12</f>
        <v>15303.12</v>
      </c>
      <c r="K12" s="23" t="n">
        <v>685</v>
      </c>
      <c r="L12" s="12" t="n">
        <v>2574.62</v>
      </c>
      <c r="M12" s="12" t="n">
        <f aca="false">L12+J12</f>
        <v>17877.74</v>
      </c>
      <c r="N12" s="39"/>
      <c r="O12" s="40"/>
    </row>
    <row r="13" customFormat="false" ht="19.4" hidden="false" customHeight="false" outlineLevel="0" collapsed="false">
      <c r="B13" s="41" t="n">
        <v>9</v>
      </c>
      <c r="C13" s="25" t="s">
        <v>46</v>
      </c>
      <c r="D13" s="17" t="s">
        <v>47</v>
      </c>
      <c r="E13" s="18" t="s">
        <v>44</v>
      </c>
      <c r="F13" s="17" t="s">
        <v>45</v>
      </c>
      <c r="G13" s="41" t="s">
        <v>22</v>
      </c>
      <c r="H13" s="42" t="n">
        <v>24</v>
      </c>
      <c r="I13" s="43" t="n">
        <v>637.63</v>
      </c>
      <c r="J13" s="44" t="n">
        <f aca="false">I13*H13</f>
        <v>15303.12</v>
      </c>
      <c r="K13" s="23" t="n">
        <v>554</v>
      </c>
      <c r="L13" s="12" t="n">
        <v>2574.62</v>
      </c>
      <c r="M13" s="12" t="n">
        <f aca="false">L13+J13</f>
        <v>17877.74</v>
      </c>
      <c r="N13" s="39"/>
      <c r="O13" s="40"/>
    </row>
    <row r="14" customFormat="false" ht="13.5" hidden="false" customHeight="true" outlineLevel="0" collapsed="false">
      <c r="B14" s="45" t="n">
        <v>10</v>
      </c>
      <c r="C14" s="7" t="s">
        <v>48</v>
      </c>
      <c r="D14" s="9" t="s">
        <v>49</v>
      </c>
      <c r="E14" s="18" t="s">
        <v>50</v>
      </c>
      <c r="F14" s="17" t="s">
        <v>51</v>
      </c>
      <c r="G14" s="41" t="s">
        <v>29</v>
      </c>
      <c r="H14" s="42" t="n">
        <v>152</v>
      </c>
      <c r="I14" s="43" t="n">
        <v>111.08</v>
      </c>
      <c r="J14" s="44" t="n">
        <f aca="false">I14*H14</f>
        <v>16884.16</v>
      </c>
      <c r="K14" s="23" t="n">
        <v>265</v>
      </c>
      <c r="L14" s="12" t="n">
        <v>2574.62</v>
      </c>
      <c r="M14" s="12" t="n">
        <f aca="false">L14+J14</f>
        <v>19458.78</v>
      </c>
      <c r="N14" s="39"/>
      <c r="O14" s="40"/>
    </row>
    <row r="15" customFormat="false" ht="13.8" hidden="false" customHeight="false" outlineLevel="0" collapsed="false">
      <c r="B15" s="45"/>
      <c r="C15" s="7"/>
      <c r="D15" s="9"/>
      <c r="E15" s="18" t="s">
        <v>50</v>
      </c>
      <c r="F15" s="17" t="s">
        <v>51</v>
      </c>
      <c r="G15" s="41" t="s">
        <v>29</v>
      </c>
      <c r="H15" s="42" t="n">
        <v>152</v>
      </c>
      <c r="I15" s="43" t="n">
        <v>111.08</v>
      </c>
      <c r="J15" s="44" t="n">
        <f aca="false">I15*H15</f>
        <v>16884.16</v>
      </c>
      <c r="K15" s="23"/>
      <c r="L15" s="12" t="n">
        <v>2574.62</v>
      </c>
      <c r="M15" s="12" t="n">
        <f aca="false">L15+J15</f>
        <v>19458.78</v>
      </c>
      <c r="N15" s="39"/>
      <c r="O15" s="40"/>
    </row>
    <row r="16" customFormat="false" ht="13.5" hidden="false" customHeight="true" outlineLevel="0" collapsed="false">
      <c r="B16" s="41" t="n">
        <v>11</v>
      </c>
      <c r="C16" s="7" t="s">
        <v>52</v>
      </c>
      <c r="D16" s="9" t="s">
        <v>53</v>
      </c>
      <c r="E16" s="26" t="s">
        <v>54</v>
      </c>
      <c r="F16" s="25" t="s">
        <v>55</v>
      </c>
      <c r="G16" s="41" t="s">
        <v>29</v>
      </c>
      <c r="H16" s="42" t="n">
        <v>60</v>
      </c>
      <c r="I16" s="43" t="n">
        <v>111.08</v>
      </c>
      <c r="J16" s="44" t="n">
        <f aca="false">I16*H16</f>
        <v>6664.8</v>
      </c>
      <c r="K16" s="23" t="n">
        <v>239</v>
      </c>
      <c r="L16" s="12" t="n">
        <v>2574.62</v>
      </c>
      <c r="M16" s="12" t="n">
        <f aca="false">L16+J16</f>
        <v>9239.42</v>
      </c>
      <c r="N16" s="39"/>
      <c r="O16" s="40"/>
    </row>
    <row r="17" customFormat="false" ht="13.8" hidden="false" customHeight="false" outlineLevel="0" collapsed="false">
      <c r="B17" s="41"/>
      <c r="C17" s="7"/>
      <c r="D17" s="9"/>
      <c r="E17" s="18" t="s">
        <v>56</v>
      </c>
      <c r="F17" s="17" t="s">
        <v>36</v>
      </c>
      <c r="G17" s="41" t="s">
        <v>37</v>
      </c>
      <c r="H17" s="42" t="n">
        <v>16</v>
      </c>
      <c r="I17" s="43" t="n">
        <v>196.62</v>
      </c>
      <c r="J17" s="44" t="n">
        <f aca="false">I17*H17</f>
        <v>3145.92</v>
      </c>
      <c r="K17" s="23"/>
      <c r="L17" s="12" t="n">
        <v>2574.62</v>
      </c>
      <c r="M17" s="12" t="n">
        <f aca="false">L17+J17</f>
        <v>5720.54</v>
      </c>
      <c r="N17" s="39"/>
      <c r="O17" s="40"/>
    </row>
    <row r="18" customFormat="false" ht="19.4" hidden="false" customHeight="false" outlineLevel="0" collapsed="false">
      <c r="B18" s="41" t="n">
        <v>12</v>
      </c>
      <c r="C18" s="25" t="s">
        <v>57</v>
      </c>
      <c r="D18" s="17" t="s">
        <v>58</v>
      </c>
      <c r="E18" s="18" t="s">
        <v>59</v>
      </c>
      <c r="F18" s="17" t="s">
        <v>60</v>
      </c>
      <c r="G18" s="41" t="s">
        <v>61</v>
      </c>
      <c r="H18" s="42" t="n">
        <v>34</v>
      </c>
      <c r="I18" s="43" t="n">
        <v>196.62</v>
      </c>
      <c r="J18" s="44" t="n">
        <f aca="false">I18*H18</f>
        <v>6685.08</v>
      </c>
      <c r="K18" s="23" t="n">
        <v>283</v>
      </c>
      <c r="L18" s="12" t="n">
        <v>2574.62</v>
      </c>
      <c r="M18" s="12" t="n">
        <f aca="false">L18+J18</f>
        <v>9259.7</v>
      </c>
      <c r="N18" s="39"/>
      <c r="O18" s="40"/>
    </row>
    <row r="19" customFormat="false" ht="13.5" hidden="false" customHeight="true" outlineLevel="0" collapsed="false">
      <c r="B19" s="45" t="n">
        <v>13</v>
      </c>
      <c r="C19" s="7" t="s">
        <v>62</v>
      </c>
      <c r="D19" s="9" t="s">
        <v>63</v>
      </c>
      <c r="E19" s="26" t="s">
        <v>64</v>
      </c>
      <c r="F19" s="25" t="s">
        <v>55</v>
      </c>
      <c r="G19" s="41" t="s">
        <v>29</v>
      </c>
      <c r="H19" s="42" t="n">
        <v>60</v>
      </c>
      <c r="I19" s="43" t="n">
        <v>111.08</v>
      </c>
      <c r="J19" s="44" t="n">
        <f aca="false">I19*H19</f>
        <v>6664.8</v>
      </c>
      <c r="K19" s="23" t="n">
        <v>420</v>
      </c>
      <c r="L19" s="12" t="n">
        <v>2574.62</v>
      </c>
      <c r="M19" s="12" t="n">
        <f aca="false">L19+J19</f>
        <v>9239.42</v>
      </c>
      <c r="N19" s="39"/>
      <c r="O19" s="40"/>
    </row>
    <row r="20" customFormat="false" ht="13.8" hidden="false" customHeight="false" outlineLevel="0" collapsed="false">
      <c r="B20" s="45"/>
      <c r="C20" s="7"/>
      <c r="D20" s="9"/>
      <c r="E20" s="18" t="s">
        <v>56</v>
      </c>
      <c r="F20" s="17" t="s">
        <v>36</v>
      </c>
      <c r="G20" s="41" t="s">
        <v>37</v>
      </c>
      <c r="H20" s="42" t="n">
        <v>16</v>
      </c>
      <c r="I20" s="43" t="n">
        <v>196.62</v>
      </c>
      <c r="J20" s="44" t="n">
        <f aca="false">I20*H20</f>
        <v>3145.92</v>
      </c>
      <c r="K20" s="23"/>
      <c r="L20" s="12" t="n">
        <v>2574.62</v>
      </c>
      <c r="M20" s="12" t="n">
        <f aca="false">L20+J20</f>
        <v>5720.54</v>
      </c>
      <c r="N20" s="39"/>
      <c r="O20" s="40"/>
    </row>
    <row r="21" customFormat="false" ht="19.4" hidden="false" customHeight="false" outlineLevel="0" collapsed="false">
      <c r="B21" s="41" t="n">
        <v>14</v>
      </c>
      <c r="C21" s="25" t="s">
        <v>65</v>
      </c>
      <c r="D21" s="17" t="s">
        <v>66</v>
      </c>
      <c r="E21" s="18" t="s">
        <v>59</v>
      </c>
      <c r="F21" s="17" t="s">
        <v>60</v>
      </c>
      <c r="G21" s="41" t="s">
        <v>37</v>
      </c>
      <c r="H21" s="42" t="n">
        <v>34</v>
      </c>
      <c r="I21" s="43" t="n">
        <v>196.62</v>
      </c>
      <c r="J21" s="44" t="n">
        <f aca="false">I21*H21</f>
        <v>6685.08</v>
      </c>
      <c r="K21" s="23" t="n">
        <v>370</v>
      </c>
      <c r="L21" s="12" t="n">
        <v>2574.62</v>
      </c>
      <c r="M21" s="12" t="n">
        <f aca="false">L21+J21</f>
        <v>9259.7</v>
      </c>
      <c r="N21" s="39"/>
      <c r="O21" s="40"/>
    </row>
    <row r="22" customFormat="false" ht="19.4" hidden="false" customHeight="false" outlineLevel="0" collapsed="false">
      <c r="B22" s="45" t="n">
        <v>15</v>
      </c>
      <c r="C22" s="25" t="s">
        <v>67</v>
      </c>
      <c r="D22" s="17" t="s">
        <v>68</v>
      </c>
      <c r="E22" s="18" t="s">
        <v>69</v>
      </c>
      <c r="F22" s="17" t="s">
        <v>70</v>
      </c>
      <c r="G22" s="41" t="s">
        <v>22</v>
      </c>
      <c r="H22" s="42" t="n">
        <v>34</v>
      </c>
      <c r="I22" s="43" t="n">
        <v>637.63</v>
      </c>
      <c r="J22" s="44" t="n">
        <f aca="false">I22*H22</f>
        <v>21679.42</v>
      </c>
      <c r="K22" s="23" t="n">
        <v>502</v>
      </c>
      <c r="L22" s="12" t="n">
        <v>2574.62</v>
      </c>
      <c r="M22" s="12" t="n">
        <f aca="false">L22+J22</f>
        <v>24254.04</v>
      </c>
      <c r="N22" s="39"/>
      <c r="O22" s="40"/>
    </row>
    <row r="23" customFormat="false" ht="19.4" hidden="false" customHeight="false" outlineLevel="0" collapsed="false">
      <c r="B23" s="45" t="n">
        <v>16</v>
      </c>
      <c r="C23" s="25" t="s">
        <v>71</v>
      </c>
      <c r="D23" s="17" t="s">
        <v>72</v>
      </c>
      <c r="E23" s="18" t="s">
        <v>56</v>
      </c>
      <c r="F23" s="17" t="s">
        <v>36</v>
      </c>
      <c r="G23" s="41" t="s">
        <v>37</v>
      </c>
      <c r="H23" s="42" t="n">
        <v>16</v>
      </c>
      <c r="I23" s="43" t="n">
        <v>196.62</v>
      </c>
      <c r="J23" s="44" t="n">
        <f aca="false">I23*H23</f>
        <v>3145.92</v>
      </c>
      <c r="K23" s="23" t="n">
        <v>337</v>
      </c>
      <c r="L23" s="12" t="n">
        <v>2574.62</v>
      </c>
      <c r="M23" s="12" t="n">
        <f aca="false">L23+J23</f>
        <v>5720.54</v>
      </c>
      <c r="N23" s="39"/>
      <c r="O23" s="40"/>
    </row>
    <row r="24" customFormat="false" ht="19.4" hidden="false" customHeight="false" outlineLevel="0" collapsed="false">
      <c r="B24" s="45" t="n">
        <v>17</v>
      </c>
      <c r="C24" s="25" t="s">
        <v>73</v>
      </c>
      <c r="D24" s="17" t="s">
        <v>74</v>
      </c>
      <c r="E24" s="18" t="s">
        <v>56</v>
      </c>
      <c r="F24" s="17" t="s">
        <v>36</v>
      </c>
      <c r="G24" s="41" t="s">
        <v>37</v>
      </c>
      <c r="H24" s="42" t="n">
        <v>16</v>
      </c>
      <c r="I24" s="43" t="n">
        <v>196.62</v>
      </c>
      <c r="J24" s="44" t="n">
        <f aca="false">I24*H24</f>
        <v>3145.92</v>
      </c>
      <c r="K24" s="23" t="n">
        <v>390</v>
      </c>
      <c r="L24" s="12" t="n">
        <v>2574.62</v>
      </c>
      <c r="M24" s="12" t="n">
        <f aca="false">L24+J24</f>
        <v>5720.54</v>
      </c>
      <c r="N24" s="39"/>
      <c r="O24" s="40"/>
    </row>
    <row r="25" customFormat="false" ht="19.4" hidden="false" customHeight="false" outlineLevel="0" collapsed="false">
      <c r="B25" s="45" t="n">
        <v>18</v>
      </c>
      <c r="C25" s="25" t="s">
        <v>75</v>
      </c>
      <c r="D25" s="17" t="s">
        <v>76</v>
      </c>
      <c r="E25" s="18" t="s">
        <v>56</v>
      </c>
      <c r="F25" s="17" t="s">
        <v>41</v>
      </c>
      <c r="G25" s="41" t="s">
        <v>29</v>
      </c>
      <c r="H25" s="42" t="n">
        <v>38</v>
      </c>
      <c r="I25" s="43" t="n">
        <v>111.08</v>
      </c>
      <c r="J25" s="44" t="n">
        <f aca="false">I25*H25</f>
        <v>4221.04</v>
      </c>
      <c r="K25" s="23" t="n">
        <v>460</v>
      </c>
      <c r="L25" s="12" t="n">
        <v>2574.62</v>
      </c>
      <c r="M25" s="12" t="n">
        <f aca="false">L25+J25</f>
        <v>6795.66</v>
      </c>
      <c r="N25" s="39"/>
      <c r="O25" s="40"/>
    </row>
    <row r="26" customFormat="false" ht="19.4" hidden="false" customHeight="false" outlineLevel="0" collapsed="false">
      <c r="B26" s="45" t="n">
        <v>19</v>
      </c>
      <c r="C26" s="25" t="s">
        <v>77</v>
      </c>
      <c r="D26" s="17" t="s">
        <v>78</v>
      </c>
      <c r="E26" s="26" t="s">
        <v>79</v>
      </c>
      <c r="F26" s="25" t="s">
        <v>28</v>
      </c>
      <c r="G26" s="41" t="s">
        <v>29</v>
      </c>
      <c r="H26" s="42" t="n">
        <v>48</v>
      </c>
      <c r="I26" s="43" t="n">
        <v>111.08</v>
      </c>
      <c r="J26" s="44" t="n">
        <f aca="false">I26*H26</f>
        <v>5331.84</v>
      </c>
      <c r="K26" s="23" t="n">
        <v>182</v>
      </c>
      <c r="L26" s="12" t="n">
        <v>2574.62</v>
      </c>
      <c r="M26" s="12" t="n">
        <f aca="false">L26+J26</f>
        <v>7906.46</v>
      </c>
      <c r="N26" s="39"/>
      <c r="O26" s="40"/>
    </row>
    <row r="27" customFormat="false" ht="13.5" hidden="false" customHeight="true" outlineLevel="0" collapsed="false">
      <c r="B27" s="45" t="n">
        <v>20</v>
      </c>
      <c r="C27" s="7" t="s">
        <v>80</v>
      </c>
      <c r="D27" s="9" t="s">
        <v>81</v>
      </c>
      <c r="E27" s="18" t="s">
        <v>50</v>
      </c>
      <c r="F27" s="17" t="s">
        <v>36</v>
      </c>
      <c r="G27" s="41" t="s">
        <v>37</v>
      </c>
      <c r="H27" s="42" t="n">
        <v>16</v>
      </c>
      <c r="I27" s="43" t="n">
        <v>196.62</v>
      </c>
      <c r="J27" s="44" t="n">
        <f aca="false">I27*H27</f>
        <v>3145.92</v>
      </c>
      <c r="K27" s="23" t="n">
        <v>385</v>
      </c>
      <c r="L27" s="12" t="n">
        <v>2574.62</v>
      </c>
      <c r="M27" s="12" t="n">
        <f aca="false">L27+J27</f>
        <v>5720.54</v>
      </c>
      <c r="N27" s="39"/>
      <c r="O27" s="40"/>
    </row>
    <row r="28" customFormat="false" ht="13.8" hidden="false" customHeight="false" outlineLevel="0" collapsed="false">
      <c r="B28" s="45"/>
      <c r="C28" s="7"/>
      <c r="D28" s="9"/>
      <c r="E28" s="18" t="s">
        <v>82</v>
      </c>
      <c r="F28" s="17" t="s">
        <v>60</v>
      </c>
      <c r="G28" s="41" t="s">
        <v>37</v>
      </c>
      <c r="H28" s="42" t="n">
        <v>34</v>
      </c>
      <c r="I28" s="43" t="n">
        <v>196.62</v>
      </c>
      <c r="J28" s="44" t="n">
        <f aca="false">I28*H28</f>
        <v>6685.08</v>
      </c>
      <c r="K28" s="23"/>
      <c r="L28" s="12" t="n">
        <v>2574.62</v>
      </c>
      <c r="M28" s="12" t="n">
        <f aca="false">L28+J28</f>
        <v>9259.7</v>
      </c>
      <c r="N28" s="39"/>
      <c r="O28" s="40"/>
    </row>
    <row r="29" customFormat="false" ht="19.4" hidden="false" customHeight="false" outlineLevel="0" collapsed="false">
      <c r="B29" s="41" t="n">
        <v>21</v>
      </c>
      <c r="C29" s="25" t="s">
        <v>83</v>
      </c>
      <c r="D29" s="17" t="s">
        <v>84</v>
      </c>
      <c r="E29" s="18" t="s">
        <v>56</v>
      </c>
      <c r="F29" s="17" t="s">
        <v>36</v>
      </c>
      <c r="G29" s="41" t="s">
        <v>37</v>
      </c>
      <c r="H29" s="42" t="n">
        <v>16</v>
      </c>
      <c r="I29" s="43" t="n">
        <v>196.62</v>
      </c>
      <c r="J29" s="44" t="n">
        <f aca="false">I29*H29</f>
        <v>3145.92</v>
      </c>
      <c r="K29" s="23" t="n">
        <v>188</v>
      </c>
      <c r="L29" s="12" t="n">
        <v>2574.62</v>
      </c>
      <c r="M29" s="12" t="n">
        <f aca="false">L29+J29</f>
        <v>5720.54</v>
      </c>
      <c r="N29" s="39"/>
      <c r="O29" s="40"/>
    </row>
    <row r="30" customFormat="false" ht="19.4" hidden="false" customHeight="false" outlineLevel="0" collapsed="false">
      <c r="B30" s="41" t="n">
        <v>22</v>
      </c>
      <c r="C30" s="25" t="s">
        <v>85</v>
      </c>
      <c r="D30" s="17" t="s">
        <v>86</v>
      </c>
      <c r="E30" s="18" t="s">
        <v>44</v>
      </c>
      <c r="F30" s="17" t="s">
        <v>45</v>
      </c>
      <c r="G30" s="41" t="s">
        <v>22</v>
      </c>
      <c r="H30" s="42" t="n">
        <v>24</v>
      </c>
      <c r="I30" s="43" t="n">
        <v>637.63</v>
      </c>
      <c r="J30" s="44" t="n">
        <f aca="false">I30*H30</f>
        <v>15303.12</v>
      </c>
      <c r="K30" s="23" t="n">
        <v>396</v>
      </c>
      <c r="L30" s="12" t="n">
        <v>2574.62</v>
      </c>
      <c r="M30" s="12" t="n">
        <f aca="false">L30+J30</f>
        <v>17877.74</v>
      </c>
      <c r="N30" s="39"/>
      <c r="O30" s="40"/>
    </row>
    <row r="31" customFormat="false" ht="19.4" hidden="false" customHeight="false" outlineLevel="0" collapsed="false">
      <c r="B31" s="41" t="n">
        <v>23</v>
      </c>
      <c r="C31" s="25" t="s">
        <v>87</v>
      </c>
      <c r="D31" s="17" t="s">
        <v>88</v>
      </c>
      <c r="E31" s="46" t="s">
        <v>89</v>
      </c>
      <c r="F31" s="25" t="s">
        <v>90</v>
      </c>
      <c r="G31" s="41" t="s">
        <v>37</v>
      </c>
      <c r="H31" s="42" t="n">
        <v>34</v>
      </c>
      <c r="I31" s="43" t="n">
        <v>196.62</v>
      </c>
      <c r="J31" s="44" t="n">
        <f aca="false">I31*H31</f>
        <v>6685.08</v>
      </c>
      <c r="K31" s="23" t="n">
        <v>73</v>
      </c>
      <c r="L31" s="12" t="n">
        <v>2574.62</v>
      </c>
      <c r="M31" s="12" t="n">
        <f aca="false">L31+J31</f>
        <v>9259.7</v>
      </c>
      <c r="N31" s="39"/>
      <c r="O31" s="40"/>
    </row>
    <row r="32" customFormat="false" ht="13.5" hidden="false" customHeight="true" outlineLevel="0" collapsed="false">
      <c r="B32" s="45" t="n">
        <v>24</v>
      </c>
      <c r="C32" s="7" t="s">
        <v>91</v>
      </c>
      <c r="D32" s="9" t="s">
        <v>92</v>
      </c>
      <c r="E32" s="41" t="s">
        <v>93</v>
      </c>
      <c r="F32" s="17" t="s">
        <v>94</v>
      </c>
      <c r="G32" s="41" t="s">
        <v>29</v>
      </c>
      <c r="H32" s="42" t="n">
        <v>40</v>
      </c>
      <c r="I32" s="43" t="n">
        <v>111.08</v>
      </c>
      <c r="J32" s="44" t="n">
        <f aca="false">I32*H32</f>
        <v>4443.2</v>
      </c>
      <c r="K32" s="23" t="n">
        <v>446</v>
      </c>
      <c r="L32" s="12" t="n">
        <v>2574.62</v>
      </c>
      <c r="M32" s="12" t="n">
        <f aca="false">L32+J32</f>
        <v>7017.82</v>
      </c>
      <c r="N32" s="39"/>
      <c r="O32" s="40"/>
    </row>
    <row r="33" customFormat="false" ht="13.8" hidden="false" customHeight="false" outlineLevel="0" collapsed="false">
      <c r="B33" s="45"/>
      <c r="C33" s="7"/>
      <c r="D33" s="9"/>
      <c r="E33" s="26" t="s">
        <v>95</v>
      </c>
      <c r="F33" s="25" t="s">
        <v>28</v>
      </c>
      <c r="G33" s="41" t="s">
        <v>29</v>
      </c>
      <c r="H33" s="42" t="n">
        <v>48</v>
      </c>
      <c r="I33" s="43" t="n">
        <v>111.08</v>
      </c>
      <c r="J33" s="44" t="n">
        <f aca="false">I33*H33</f>
        <v>5331.84</v>
      </c>
      <c r="K33" s="23"/>
      <c r="L33" s="12" t="n">
        <v>2574.62</v>
      </c>
      <c r="M33" s="12" t="n">
        <f aca="false">L33+J33</f>
        <v>7906.46</v>
      </c>
      <c r="N33" s="39"/>
      <c r="O33" s="40"/>
    </row>
    <row r="34" customFormat="false" ht="13.5" hidden="false" customHeight="true" outlineLevel="0" collapsed="false">
      <c r="B34" s="45" t="n">
        <v>25</v>
      </c>
      <c r="C34" s="7" t="s">
        <v>96</v>
      </c>
      <c r="D34" s="9" t="s">
        <v>97</v>
      </c>
      <c r="E34" s="9" t="s">
        <v>98</v>
      </c>
      <c r="F34" s="8" t="s">
        <v>99</v>
      </c>
      <c r="G34" s="41" t="s">
        <v>29</v>
      </c>
      <c r="H34" s="45" t="n">
        <v>152</v>
      </c>
      <c r="I34" s="43" t="n">
        <v>111.08</v>
      </c>
      <c r="J34" s="44" t="n">
        <f aca="false">I34*H34</f>
        <v>16884.16</v>
      </c>
      <c r="K34" s="47" t="n">
        <v>479</v>
      </c>
      <c r="L34" s="12" t="n">
        <v>2574.62</v>
      </c>
      <c r="M34" s="12" t="n">
        <f aca="false">L34+J34</f>
        <v>19458.78</v>
      </c>
      <c r="N34" s="39"/>
      <c r="O34" s="40"/>
    </row>
    <row r="35" customFormat="false" ht="13.8" hidden="false" customHeight="false" outlineLevel="0" collapsed="false">
      <c r="B35" s="45"/>
      <c r="C35" s="7"/>
      <c r="D35" s="9"/>
      <c r="E35" s="9" t="s">
        <v>98</v>
      </c>
      <c r="F35" s="8" t="s">
        <v>100</v>
      </c>
      <c r="G35" s="45" t="s">
        <v>26</v>
      </c>
      <c r="H35" s="48" t="n">
        <v>152</v>
      </c>
      <c r="I35" s="43" t="n">
        <v>109.72</v>
      </c>
      <c r="J35" s="44" t="n">
        <f aca="false">I35*H35</f>
        <v>16677.44</v>
      </c>
      <c r="K35" s="9"/>
      <c r="L35" s="12" t="n">
        <v>2574.62</v>
      </c>
      <c r="M35" s="12" t="n">
        <f aca="false">L35+J35</f>
        <v>19252.06</v>
      </c>
      <c r="N35" s="39"/>
      <c r="O35" s="40"/>
    </row>
    <row r="36" customFormat="false" ht="13.5" hidden="false" customHeight="true" outlineLevel="0" collapsed="false">
      <c r="B36" s="45" t="n">
        <v>26</v>
      </c>
      <c r="C36" s="7" t="s">
        <v>101</v>
      </c>
      <c r="D36" s="9" t="s">
        <v>102</v>
      </c>
      <c r="E36" s="49" t="s">
        <v>50</v>
      </c>
      <c r="F36" s="50" t="s">
        <v>103</v>
      </c>
      <c r="G36" s="41" t="s">
        <v>22</v>
      </c>
      <c r="H36" s="51" t="n">
        <v>40</v>
      </c>
      <c r="I36" s="52" t="n">
        <v>637.63</v>
      </c>
      <c r="J36" s="44" t="n">
        <f aca="false">I36*H36</f>
        <v>25505.2</v>
      </c>
      <c r="K36" s="53" t="n">
        <v>536</v>
      </c>
      <c r="L36" s="12" t="n">
        <v>2574.62</v>
      </c>
      <c r="M36" s="12" t="n">
        <f aca="false">L36+J36</f>
        <v>28079.82</v>
      </c>
      <c r="N36" s="39"/>
      <c r="O36" s="40"/>
    </row>
    <row r="37" customFormat="false" ht="13.8" hidden="false" customHeight="false" outlineLevel="0" collapsed="false">
      <c r="B37" s="45"/>
      <c r="C37" s="7"/>
      <c r="D37" s="9"/>
      <c r="E37" s="49" t="s">
        <v>50</v>
      </c>
      <c r="F37" s="54" t="s">
        <v>103</v>
      </c>
      <c r="G37" s="41" t="s">
        <v>22</v>
      </c>
      <c r="H37" s="55" t="n">
        <v>40</v>
      </c>
      <c r="I37" s="56" t="n">
        <v>637.63</v>
      </c>
      <c r="J37" s="44" t="n">
        <f aca="false">I37*H37</f>
        <v>25505.2</v>
      </c>
      <c r="K37" s="23"/>
      <c r="L37" s="12" t="n">
        <v>2574.62</v>
      </c>
      <c r="M37" s="12" t="n">
        <f aca="false">L37+J37</f>
        <v>28079.82</v>
      </c>
      <c r="N37" s="39"/>
      <c r="O37" s="40"/>
    </row>
    <row r="38" customFormat="false" ht="19.4" hidden="false" customHeight="false" outlineLevel="0" collapsed="false">
      <c r="B38" s="41" t="n">
        <v>27</v>
      </c>
      <c r="C38" s="25" t="s">
        <v>104</v>
      </c>
      <c r="D38" s="17" t="s">
        <v>105</v>
      </c>
      <c r="E38" s="49" t="s">
        <v>106</v>
      </c>
      <c r="F38" s="54" t="s">
        <v>60</v>
      </c>
      <c r="G38" s="41" t="s">
        <v>37</v>
      </c>
      <c r="H38" s="51" t="n">
        <v>34</v>
      </c>
      <c r="I38" s="57" t="n">
        <v>196.62</v>
      </c>
      <c r="J38" s="44" t="n">
        <f aca="false">I38*H38</f>
        <v>6685.08</v>
      </c>
      <c r="K38" s="23" t="n">
        <v>599</v>
      </c>
      <c r="L38" s="12" t="n">
        <v>2574.62</v>
      </c>
      <c r="M38" s="12" t="n">
        <f aca="false">L38+J38</f>
        <v>9259.7</v>
      </c>
      <c r="N38" s="39"/>
      <c r="O38" s="40"/>
    </row>
    <row r="39" customFormat="false" ht="19.4" hidden="false" customHeight="false" outlineLevel="0" collapsed="false">
      <c r="B39" s="41" t="n">
        <v>28</v>
      </c>
      <c r="C39" s="25" t="s">
        <v>107</v>
      </c>
      <c r="D39" s="50" t="s">
        <v>108</v>
      </c>
      <c r="E39" s="45" t="s">
        <v>24</v>
      </c>
      <c r="F39" s="54" t="s">
        <v>109</v>
      </c>
      <c r="G39" s="41" t="s">
        <v>37</v>
      </c>
      <c r="H39" s="51" t="n">
        <v>16</v>
      </c>
      <c r="I39" s="57" t="n">
        <v>196.62</v>
      </c>
      <c r="J39" s="44" t="n">
        <f aca="false">I39*H39</f>
        <v>3145.92</v>
      </c>
      <c r="K39" s="23" t="n">
        <v>314</v>
      </c>
      <c r="L39" s="12" t="n">
        <v>2574.62</v>
      </c>
      <c r="M39" s="12" t="n">
        <f aca="false">L39+J39</f>
        <v>5720.54</v>
      </c>
      <c r="N39" s="39"/>
      <c r="O39" s="40"/>
    </row>
    <row r="40" customFormat="false" ht="19.4" hidden="false" customHeight="false" outlineLevel="0" collapsed="false">
      <c r="B40" s="41" t="n">
        <v>29</v>
      </c>
      <c r="C40" s="28" t="s">
        <v>110</v>
      </c>
      <c r="D40" s="58" t="s">
        <v>111</v>
      </c>
      <c r="E40" s="30" t="s">
        <v>112</v>
      </c>
      <c r="F40" s="58" t="s">
        <v>60</v>
      </c>
      <c r="G40" s="59" t="s">
        <v>37</v>
      </c>
      <c r="H40" s="60" t="n">
        <v>34</v>
      </c>
      <c r="I40" s="61" t="n">
        <v>196.62</v>
      </c>
      <c r="J40" s="62" t="n">
        <f aca="false">I40*H40</f>
        <v>6685.08</v>
      </c>
      <c r="K40" s="23" t="n">
        <v>230</v>
      </c>
      <c r="L40" s="12" t="n">
        <v>2574.62</v>
      </c>
      <c r="M40" s="12" t="n">
        <f aca="false">L40+J40</f>
        <v>9259.7</v>
      </c>
      <c r="N40" s="39"/>
      <c r="O40" s="40"/>
      <c r="T40" s="0" t="n">
        <f aca="false">425694.4*0.25</f>
        <v>106423.6</v>
      </c>
    </row>
    <row r="41" customFormat="false" ht="17.25" hidden="false" customHeight="true" outlineLevel="0" collapsed="false">
      <c r="B41" s="63" t="s">
        <v>113</v>
      </c>
      <c r="C41" s="63"/>
      <c r="D41" s="63"/>
      <c r="E41" s="64" t="s">
        <v>114</v>
      </c>
      <c r="F41" s="65"/>
      <c r="G41" s="66"/>
      <c r="H41" s="67" t="n">
        <v>1684</v>
      </c>
      <c r="I41" s="68" t="s">
        <v>115</v>
      </c>
      <c r="J41" s="69" t="n">
        <f aca="false">SUM(J5:J40)</f>
        <v>333008.08</v>
      </c>
      <c r="K41" s="70" t="n">
        <f aca="false">SUM(K5:K40)/29</f>
        <v>299.241379310345</v>
      </c>
      <c r="L41" s="71" t="n">
        <f aca="false">SUM(L5:L40)</f>
        <v>92686.32</v>
      </c>
      <c r="M41" s="71" t="n">
        <f aca="false">SUM(M5:M40)</f>
        <v>425694.4</v>
      </c>
      <c r="N41" s="72" t="n">
        <v>1</v>
      </c>
      <c r="O41" s="71" t="n">
        <f aca="false">SUM(O5:O40)</f>
        <v>425694.4</v>
      </c>
    </row>
    <row r="42" customFormat="false" ht="18.75" hidden="false" customHeight="false" outlineLevel="0" collapsed="false">
      <c r="B42" s="73"/>
      <c r="C42" s="73"/>
      <c r="D42" s="73"/>
      <c r="E42" s="73"/>
      <c r="F42" s="73"/>
      <c r="G42" s="73"/>
      <c r="H42" s="73"/>
      <c r="I42" s="73"/>
      <c r="J42" s="73"/>
      <c r="K42" s="73" t="n">
        <f aca="false">SUM(K5:K40)</f>
        <v>8678</v>
      </c>
      <c r="L42" s="73"/>
      <c r="M42" s="73"/>
      <c r="N42" s="73"/>
      <c r="O42" s="73"/>
    </row>
    <row r="43" customFormat="false" ht="15" hidden="false" customHeight="false" outlineLevel="0" collapsed="false">
      <c r="E43" s="74" t="s">
        <v>116</v>
      </c>
      <c r="F43" s="75" t="s">
        <v>117</v>
      </c>
      <c r="G43" s="76"/>
      <c r="H43" s="76"/>
      <c r="I43" s="76"/>
      <c r="J43" s="76"/>
      <c r="K43" s="76"/>
      <c r="L43" s="75"/>
      <c r="M43" s="77"/>
    </row>
    <row r="44" customFormat="false" ht="15" hidden="false" customHeight="false" outlineLevel="0" collapsed="false">
      <c r="E44" s="78"/>
      <c r="F44" s="79"/>
      <c r="L44" s="79"/>
      <c r="M44" s="80"/>
    </row>
    <row r="45" customFormat="false" ht="15" hidden="false" customHeight="false" outlineLevel="0" collapsed="false">
      <c r="E45" s="78"/>
      <c r="F45" s="79"/>
      <c r="L45" s="79"/>
      <c r="M45" s="81" t="s">
        <v>118</v>
      </c>
    </row>
    <row r="46" customFormat="false" ht="15" hidden="false" customHeight="false" outlineLevel="0" collapsed="false">
      <c r="E46" s="82" t="s">
        <v>7</v>
      </c>
      <c r="F46" s="83" t="s">
        <v>119</v>
      </c>
      <c r="G46" s="0" t="s">
        <v>120</v>
      </c>
      <c r="H46" s="0" t="s">
        <v>121</v>
      </c>
      <c r="I46" s="0" t="s">
        <v>122</v>
      </c>
      <c r="J46" s="0" t="s">
        <v>123</v>
      </c>
      <c r="L46" s="83" t="s">
        <v>124</v>
      </c>
      <c r="M46" s="81" t="s">
        <v>125</v>
      </c>
    </row>
    <row r="47" customFormat="false" ht="15" hidden="false" customHeight="false" outlineLevel="0" collapsed="false">
      <c r="E47" s="78" t="s">
        <v>126</v>
      </c>
      <c r="F47" s="79" t="n">
        <f aca="false">38+38+64+152</f>
        <v>292</v>
      </c>
      <c r="G47" s="0" t="n">
        <v>109.72</v>
      </c>
      <c r="H47" s="0" t="n">
        <f aca="false">G47*F47</f>
        <v>32038.24</v>
      </c>
      <c r="I47" s="0" t="n">
        <v>2574.62</v>
      </c>
      <c r="J47" s="0" t="n">
        <f aca="false">(F47*G47)+(I47*4)</f>
        <v>42336.72</v>
      </c>
      <c r="L47" s="84" t="n">
        <f aca="false">J47</f>
        <v>42336.72</v>
      </c>
      <c r="M47" s="85" t="n">
        <f aca="false">L47/F47</f>
        <v>144.988767123288</v>
      </c>
    </row>
    <row r="48" customFormat="false" ht="15" hidden="false" customHeight="false" outlineLevel="0" collapsed="false">
      <c r="E48" s="78" t="s">
        <v>127</v>
      </c>
      <c r="F48" s="79" t="n">
        <f aca="false">48+38+152+152+60+60+38+48+40+48+152</f>
        <v>836</v>
      </c>
      <c r="G48" s="0" t="n">
        <v>111.08</v>
      </c>
      <c r="H48" s="0" t="n">
        <f aca="false">G48*F48</f>
        <v>92862.88</v>
      </c>
      <c r="I48" s="0" t="n">
        <v>2574.62</v>
      </c>
      <c r="J48" s="0" t="n">
        <f aca="false">(F48*G48)+(I48*11)</f>
        <v>121183.7</v>
      </c>
      <c r="L48" s="84" t="n">
        <f aca="false">J48</f>
        <v>121183.7</v>
      </c>
      <c r="M48" s="85" t="n">
        <f aca="false">L48/F48</f>
        <v>144.956578947368</v>
      </c>
    </row>
    <row r="49" customFormat="false" ht="15" hidden="false" customHeight="false" outlineLevel="0" collapsed="false">
      <c r="E49" s="78" t="s">
        <v>37</v>
      </c>
      <c r="F49" s="79" t="n">
        <v>332</v>
      </c>
      <c r="G49" s="0" t="n">
        <v>196.62</v>
      </c>
      <c r="H49" s="0" t="n">
        <f aca="false">G49*F49</f>
        <v>65277.84</v>
      </c>
      <c r="I49" s="0" t="n">
        <v>2574.62</v>
      </c>
      <c r="J49" s="0" t="n">
        <f aca="false">(F49*G49)+(I49*14)</f>
        <v>101322.52</v>
      </c>
      <c r="L49" s="84" t="n">
        <f aca="false">J49</f>
        <v>101322.52</v>
      </c>
      <c r="M49" s="85" t="n">
        <f aca="false">L49/F49</f>
        <v>305.188313253012</v>
      </c>
    </row>
    <row r="50" customFormat="false" ht="15" hidden="false" customHeight="false" outlineLevel="0" collapsed="false">
      <c r="E50" s="78" t="s">
        <v>22</v>
      </c>
      <c r="F50" s="79" t="n">
        <f aca="false">38+24+24+34+24+40+40</f>
        <v>224</v>
      </c>
      <c r="G50" s="0" t="n">
        <v>637.63</v>
      </c>
      <c r="H50" s="0" t="n">
        <f aca="false">G50*F50</f>
        <v>142829.12</v>
      </c>
      <c r="I50" s="0" t="n">
        <v>2574.62</v>
      </c>
      <c r="J50" s="0" t="n">
        <f aca="false">(F50*G50)+(I50*7)</f>
        <v>160851.46</v>
      </c>
      <c r="L50" s="84" t="n">
        <f aca="false">J50</f>
        <v>160851.46</v>
      </c>
      <c r="M50" s="85" t="n">
        <f aca="false">L50/F50</f>
        <v>718.086875</v>
      </c>
    </row>
    <row r="51" customFormat="false" ht="15" hidden="false" customHeight="false" outlineLevel="0" collapsed="false">
      <c r="E51" s="78"/>
      <c r="F51" s="79"/>
      <c r="L51" s="84"/>
      <c r="M51" s="81"/>
    </row>
    <row r="52" customFormat="false" ht="15" hidden="false" customHeight="false" outlineLevel="0" collapsed="false">
      <c r="E52" s="78" t="s">
        <v>113</v>
      </c>
      <c r="F52" s="79" t="n">
        <f aca="false">SUM(F47+F48+F49+F50)</f>
        <v>1684</v>
      </c>
      <c r="H52" s="0" t="n">
        <f aca="false">SUM(H47:H50)</f>
        <v>333008.08</v>
      </c>
      <c r="J52" s="86" t="n">
        <f aca="false">SUM(J47:J50)</f>
        <v>425694.4</v>
      </c>
      <c r="L52" s="84" t="n">
        <f aca="false">SUM(L47:L50)</f>
        <v>425694.4</v>
      </c>
      <c r="M52" s="81"/>
    </row>
    <row r="53" customFormat="false" ht="15" hidden="false" customHeight="false" outlineLevel="0" collapsed="false">
      <c r="E53" s="87"/>
      <c r="F53" s="88"/>
      <c r="G53" s="89"/>
      <c r="H53" s="89"/>
      <c r="I53" s="89"/>
      <c r="J53" s="90" t="n">
        <f aca="false">J41+L41</f>
        <v>425694.4</v>
      </c>
      <c r="K53" s="89"/>
      <c r="L53" s="88"/>
      <c r="M53" s="91"/>
    </row>
    <row r="61" customFormat="false" ht="15" hidden="false" customHeight="false" outlineLevel="0" collapsed="false">
      <c r="E61" s="0" t="s">
        <v>128</v>
      </c>
      <c r="J61" s="86" t="n">
        <f aca="false">M41/36</f>
        <v>11824.8444444444</v>
      </c>
    </row>
    <row r="63" customFormat="false" ht="15" hidden="false" customHeight="false" outlineLevel="0" collapsed="false">
      <c r="E63" s="0" t="s">
        <v>129</v>
      </c>
      <c r="J63" s="92" t="n">
        <v>425</v>
      </c>
    </row>
    <row r="65" customFormat="false" ht="15" hidden="false" customHeight="false" outlineLevel="0" collapsed="false">
      <c r="F65" s="92"/>
    </row>
    <row r="66" customFormat="false" ht="15" hidden="false" customHeight="false" outlineLevel="0" collapsed="false">
      <c r="F66" s="92"/>
    </row>
    <row r="67" customFormat="false" ht="15" hidden="false" customHeight="false" outlineLevel="0" collapsed="false">
      <c r="F67" s="92"/>
    </row>
    <row r="68" customFormat="false" ht="15" hidden="false" customHeight="false" outlineLevel="0" collapsed="false">
      <c r="F68" s="92"/>
    </row>
    <row r="69" customFormat="false" ht="15" hidden="false" customHeight="false" outlineLevel="0" collapsed="false">
      <c r="F69" s="92"/>
    </row>
    <row r="70" customFormat="false" ht="15" hidden="false" customHeight="false" outlineLevel="0" collapsed="false">
      <c r="F70" s="92"/>
    </row>
    <row r="71" customFormat="false" ht="15" hidden="false" customHeight="false" outlineLevel="0" collapsed="false">
      <c r="F71" s="92"/>
    </row>
    <row r="72" customFormat="false" ht="15" hidden="false" customHeight="false" outlineLevel="0" collapsed="false">
      <c r="F72" s="92"/>
    </row>
  </sheetData>
  <mergeCells count="39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  <mergeCell ref="N3:N4"/>
    <mergeCell ref="O3:O4"/>
    <mergeCell ref="N5:N10"/>
    <mergeCell ref="O5:O10"/>
    <mergeCell ref="N11:N40"/>
    <mergeCell ref="O11:O40"/>
    <mergeCell ref="B14:B15"/>
    <mergeCell ref="C14:C15"/>
    <mergeCell ref="D14:D15"/>
    <mergeCell ref="B16:B17"/>
    <mergeCell ref="C16:C17"/>
    <mergeCell ref="D16:D17"/>
    <mergeCell ref="B19:B20"/>
    <mergeCell ref="C19:C20"/>
    <mergeCell ref="D19:D20"/>
    <mergeCell ref="B27:B28"/>
    <mergeCell ref="C27:C28"/>
    <mergeCell ref="D27:D28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41:D4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23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33" activeCellId="0" sqref="E33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25.71"/>
    <col collapsed="false" customWidth="true" hidden="false" outlineLevel="0" max="2" min="2" style="0" width="14.57"/>
    <col collapsed="false" customWidth="true" hidden="false" outlineLevel="0" max="3" min="3" style="0" width="17.57"/>
    <col collapsed="false" customWidth="true" hidden="false" outlineLevel="0" max="4" min="4" style="0" width="17.42"/>
    <col collapsed="false" customWidth="true" hidden="false" outlineLevel="0" max="5" min="5" style="0" width="18.86"/>
  </cols>
  <sheetData>
    <row r="2" customFormat="false" ht="15" hidden="false" customHeight="false" outlineLevel="0" collapsed="false">
      <c r="A2" s="93" t="s">
        <v>130</v>
      </c>
      <c r="B2" s="93"/>
      <c r="C2" s="93"/>
      <c r="D2" s="93"/>
      <c r="E2" s="93"/>
    </row>
    <row r="3" customFormat="false" ht="15" hidden="false" customHeight="false" outlineLevel="0" collapsed="false">
      <c r="A3" s="94"/>
      <c r="B3" s="94"/>
      <c r="C3" s="94"/>
      <c r="D3" s="94"/>
      <c r="E3" s="94"/>
    </row>
    <row r="4" customFormat="false" ht="15" hidden="false" customHeight="false" outlineLevel="0" collapsed="false">
      <c r="A4" s="95" t="s">
        <v>131</v>
      </c>
      <c r="B4" s="95" t="s">
        <v>132</v>
      </c>
      <c r="C4" s="95" t="s">
        <v>133</v>
      </c>
      <c r="D4" s="96"/>
      <c r="E4" s="96"/>
    </row>
    <row r="5" customFormat="false" ht="15" hidden="false" customHeight="false" outlineLevel="0" collapsed="false">
      <c r="A5" s="97"/>
      <c r="B5" s="97"/>
      <c r="C5" s="97"/>
      <c r="D5" s="96"/>
      <c r="E5" s="96"/>
    </row>
    <row r="6" customFormat="false" ht="15" hidden="false" customHeight="false" outlineLevel="0" collapsed="false">
      <c r="A6" s="97" t="s">
        <v>134</v>
      </c>
      <c r="B6" s="97" t="s">
        <v>135</v>
      </c>
      <c r="C6" s="98" t="n">
        <v>17599.99</v>
      </c>
      <c r="D6" s="96"/>
      <c r="E6" s="96"/>
    </row>
    <row r="7" customFormat="false" ht="15" hidden="false" customHeight="false" outlineLevel="0" collapsed="false">
      <c r="A7" s="97" t="s">
        <v>136</v>
      </c>
      <c r="B7" s="97" t="s">
        <v>135</v>
      </c>
      <c r="C7" s="98" t="n">
        <v>43700</v>
      </c>
      <c r="D7" s="96"/>
      <c r="E7" s="96"/>
    </row>
    <row r="8" customFormat="false" ht="15" hidden="false" customHeight="false" outlineLevel="0" collapsed="false">
      <c r="A8" s="97" t="s">
        <v>137</v>
      </c>
      <c r="B8" s="97" t="s">
        <v>135</v>
      </c>
      <c r="C8" s="98" t="n">
        <v>42999</v>
      </c>
      <c r="D8" s="96"/>
      <c r="E8" s="96"/>
    </row>
    <row r="9" customFormat="false" ht="15" hidden="false" customHeight="false" outlineLevel="0" collapsed="false">
      <c r="A9" s="97" t="s">
        <v>138</v>
      </c>
      <c r="B9" s="97" t="s">
        <v>135</v>
      </c>
      <c r="C9" s="98" t="n">
        <v>70300</v>
      </c>
      <c r="D9" s="96"/>
      <c r="E9" s="96"/>
    </row>
    <row r="10" customFormat="false" ht="15" hidden="false" customHeight="false" outlineLevel="0" collapsed="false">
      <c r="A10" s="97" t="s">
        <v>139</v>
      </c>
      <c r="B10" s="97" t="s">
        <v>135</v>
      </c>
      <c r="C10" s="98" t="n">
        <v>22499</v>
      </c>
      <c r="D10" s="96"/>
      <c r="E10" s="96"/>
    </row>
    <row r="11" customFormat="false" ht="15" hidden="false" customHeight="false" outlineLevel="0" collapsed="false">
      <c r="A11" s="97" t="s">
        <v>140</v>
      </c>
      <c r="B11" s="97" t="s">
        <v>135</v>
      </c>
      <c r="C11" s="98" t="n">
        <v>33246.68</v>
      </c>
      <c r="D11" s="96"/>
      <c r="E11" s="96"/>
    </row>
    <row r="12" customFormat="false" ht="15" hidden="false" customHeight="false" outlineLevel="0" collapsed="false">
      <c r="A12" s="78"/>
      <c r="B12" s="78"/>
      <c r="C12" s="99" t="n">
        <v>230344.67</v>
      </c>
      <c r="D12" s="96"/>
      <c r="E12" s="96"/>
    </row>
    <row r="13" customFormat="false" ht="15" hidden="false" customHeight="false" outlineLevel="0" collapsed="false">
      <c r="A13" s="78"/>
      <c r="B13" s="78"/>
      <c r="C13" s="99"/>
      <c r="D13" s="96"/>
      <c r="E13" s="96"/>
    </row>
    <row r="14" customFormat="false" ht="15" hidden="false" customHeight="false" outlineLevel="0" collapsed="false">
      <c r="A14" s="78"/>
      <c r="B14" s="78"/>
      <c r="C14" s="99"/>
      <c r="D14" s="96"/>
      <c r="E14" s="96"/>
    </row>
    <row r="15" customFormat="false" ht="13.5" hidden="false" customHeight="true" outlineLevel="0" collapsed="false">
      <c r="A15" s="100" t="s">
        <v>141</v>
      </c>
      <c r="B15" s="100"/>
      <c r="C15" s="101" t="n">
        <v>38390.78</v>
      </c>
      <c r="D15" s="102" t="s">
        <v>142</v>
      </c>
      <c r="E15" s="103" t="n">
        <f aca="false">C15*36</f>
        <v>1382068.08</v>
      </c>
    </row>
    <row r="16" customFormat="false" ht="15" hidden="false" customHeight="false" outlineLevel="0" collapsed="false">
      <c r="A16" s="100"/>
      <c r="B16" s="100"/>
      <c r="C16" s="101"/>
      <c r="D16" s="102"/>
      <c r="E16" s="103"/>
    </row>
    <row r="17" customFormat="false" ht="15" hidden="false" customHeight="false" outlineLevel="0" collapsed="false">
      <c r="A17" s="104" t="s">
        <v>143</v>
      </c>
      <c r="B17" s="104"/>
      <c r="C17" s="105" t="n">
        <f aca="false">'PLANILHA ORÇAMENTÁRIA'!J61</f>
        <v>11824.8444444444</v>
      </c>
      <c r="D17" s="106" t="s">
        <v>144</v>
      </c>
      <c r="E17" s="107" t="n">
        <f aca="false">'PLANILHA ORÇAMENTÁRIA'!M41</f>
        <v>425694.4</v>
      </c>
    </row>
    <row r="18" customFormat="false" ht="15" hidden="false" customHeight="false" outlineLevel="0" collapsed="false">
      <c r="A18" s="104"/>
      <c r="B18" s="104"/>
      <c r="C18" s="105"/>
      <c r="D18" s="106"/>
      <c r="E18" s="107"/>
    </row>
    <row r="19" customFormat="false" ht="15" hidden="false" customHeight="false" outlineLevel="0" collapsed="false">
      <c r="A19" s="100" t="s">
        <v>145</v>
      </c>
      <c r="B19" s="100"/>
      <c r="C19" s="101" t="n">
        <f aca="false">C15-C17</f>
        <v>26565.9355555556</v>
      </c>
      <c r="D19" s="108"/>
      <c r="E19" s="103"/>
    </row>
    <row r="20" customFormat="false" ht="15" hidden="false" customHeight="false" outlineLevel="0" collapsed="false">
      <c r="A20" s="100"/>
      <c r="B20" s="100"/>
      <c r="C20" s="101"/>
      <c r="D20" s="101"/>
      <c r="E20" s="103"/>
    </row>
    <row r="21" customFormat="false" ht="15" hidden="false" customHeight="false" outlineLevel="0" collapsed="false">
      <c r="A21" s="104" t="s">
        <v>146</v>
      </c>
      <c r="B21" s="104"/>
      <c r="C21" s="106"/>
      <c r="D21" s="106"/>
      <c r="E21" s="107" t="n">
        <f aca="false">E15-E17</f>
        <v>956373.68</v>
      </c>
    </row>
    <row r="22" customFormat="false" ht="15" hidden="false" customHeight="false" outlineLevel="0" collapsed="false">
      <c r="A22" s="104"/>
      <c r="B22" s="104"/>
      <c r="C22" s="106"/>
      <c r="D22" s="106"/>
      <c r="E22" s="107"/>
    </row>
    <row r="23" customFormat="false" ht="15" hidden="false" customHeight="false" outlineLevel="0" collapsed="false">
      <c r="A23" s="87"/>
      <c r="B23" s="89"/>
      <c r="C23" s="109"/>
      <c r="D23" s="109"/>
      <c r="E23" s="109"/>
    </row>
  </sheetData>
  <mergeCells count="22">
    <mergeCell ref="A2:E2"/>
    <mergeCell ref="A3:E3"/>
    <mergeCell ref="D4:E11"/>
    <mergeCell ref="A12:B14"/>
    <mergeCell ref="C12:C14"/>
    <mergeCell ref="D12:E14"/>
    <mergeCell ref="A15:B16"/>
    <mergeCell ref="C15:C16"/>
    <mergeCell ref="D15:D16"/>
    <mergeCell ref="E15:E16"/>
    <mergeCell ref="A17:B18"/>
    <mergeCell ref="C17:C18"/>
    <mergeCell ref="D17:D18"/>
    <mergeCell ref="E17:E18"/>
    <mergeCell ref="A19:B20"/>
    <mergeCell ref="C19:C20"/>
    <mergeCell ref="D19:D20"/>
    <mergeCell ref="E19:E20"/>
    <mergeCell ref="A21:B22"/>
    <mergeCell ref="C21:C22"/>
    <mergeCell ref="D21:D22"/>
    <mergeCell ref="E21:E2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H56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B52" activeCellId="0" sqref="B52"/>
    </sheetView>
  </sheetViews>
  <sheetFormatPr defaultColWidth="8.71484375" defaultRowHeight="15" zeroHeight="false" outlineLevelRow="0" outlineLevelCol="0"/>
  <cols>
    <col collapsed="false" customWidth="true" hidden="false" outlineLevel="0" max="2" min="2" style="0" width="12.57"/>
    <col collapsed="false" customWidth="true" hidden="false" outlineLevel="0" max="3" min="3" style="0" width="85"/>
    <col collapsed="false" customWidth="true" hidden="false" outlineLevel="0" max="4" min="4" style="0" width="13.86"/>
    <col collapsed="false" customWidth="true" hidden="false" outlineLevel="0" max="5" min="5" style="0" width="15.85"/>
    <col collapsed="false" customWidth="true" hidden="false" outlineLevel="0" max="6" min="6" style="0" width="13.57"/>
    <col collapsed="false" customWidth="true" hidden="false" outlineLevel="0" max="7" min="7" style="0" width="14.29"/>
    <col collapsed="false" customWidth="true" hidden="false" outlineLevel="0" max="8" min="8" style="0" width="13.71"/>
    <col collapsed="false" customWidth="true" hidden="false" outlineLevel="0" max="16384" min="16381" style="0" width="11.57"/>
  </cols>
  <sheetData>
    <row r="1" customFormat="false" ht="15" hidden="false" customHeight="false" outlineLevel="0" collapsed="false">
      <c r="C1" s="0" t="s">
        <v>147</v>
      </c>
    </row>
    <row r="4" customFormat="false" ht="15" hidden="false" customHeight="false" outlineLevel="0" collapsed="false">
      <c r="B4" s="100" t="s">
        <v>148</v>
      </c>
      <c r="C4" s="110" t="s">
        <v>149</v>
      </c>
      <c r="D4" s="111" t="s">
        <v>150</v>
      </c>
      <c r="E4" s="112" t="s">
        <v>151</v>
      </c>
      <c r="F4" s="112" t="s">
        <v>61</v>
      </c>
      <c r="G4" s="113" t="s">
        <v>152</v>
      </c>
      <c r="H4" s="95" t="s">
        <v>153</v>
      </c>
    </row>
    <row r="5" customFormat="false" ht="31.5" hidden="false" customHeight="false" outlineLevel="0" collapsed="false">
      <c r="B5" s="114" t="s">
        <v>154</v>
      </c>
      <c r="C5" s="115" t="s">
        <v>155</v>
      </c>
      <c r="D5" s="95" t="n">
        <v>152</v>
      </c>
      <c r="E5" s="95" t="n">
        <v>250</v>
      </c>
      <c r="F5" s="95" t="n">
        <v>82</v>
      </c>
      <c r="G5" s="112" t="n">
        <v>186</v>
      </c>
      <c r="H5" s="95" t="n">
        <f aca="false">SUM(D5:G5)</f>
        <v>670</v>
      </c>
    </row>
    <row r="6" customFormat="false" ht="31.5" hidden="false" customHeight="false" outlineLevel="0" collapsed="false">
      <c r="B6" s="114" t="s">
        <v>156</v>
      </c>
      <c r="C6" s="115" t="s">
        <v>157</v>
      </c>
      <c r="D6" s="95"/>
      <c r="E6" s="95" t="n">
        <v>538</v>
      </c>
      <c r="F6" s="95" t="n">
        <v>200</v>
      </c>
      <c r="G6" s="112" t="n">
        <v>0</v>
      </c>
      <c r="H6" s="95" t="n">
        <f aca="false">SUM(D6:G6)</f>
        <v>738</v>
      </c>
    </row>
    <row r="7" customFormat="false" ht="15.75" hidden="false" customHeight="false" outlineLevel="0" collapsed="false">
      <c r="B7" s="116" t="s">
        <v>158</v>
      </c>
      <c r="C7" s="117" t="s">
        <v>159</v>
      </c>
      <c r="D7" s="118" t="n">
        <v>140</v>
      </c>
      <c r="E7" s="118" t="n">
        <v>48</v>
      </c>
      <c r="F7" s="118" t="n">
        <v>50</v>
      </c>
      <c r="G7" s="119" t="n">
        <v>38</v>
      </c>
      <c r="H7" s="118" t="n">
        <f aca="false">SUM(D7:G7)</f>
        <v>276</v>
      </c>
    </row>
    <row r="8" customFormat="false" ht="15.75" hidden="false" customHeight="false" outlineLevel="0" collapsed="false">
      <c r="B8" s="120"/>
      <c r="C8" s="121"/>
      <c r="D8" s="122"/>
      <c r="E8" s="122"/>
      <c r="F8" s="122"/>
      <c r="G8" s="123"/>
      <c r="H8" s="122"/>
    </row>
    <row r="9" customFormat="false" ht="15" hidden="false" customHeight="false" outlineLevel="0" collapsed="false">
      <c r="B9" s="78"/>
      <c r="D9" s="124"/>
      <c r="E9" s="124"/>
      <c r="F9" s="124"/>
      <c r="G9" s="125"/>
      <c r="H9" s="124"/>
    </row>
    <row r="10" customFormat="false" ht="15" hidden="false" customHeight="false" outlineLevel="0" collapsed="false">
      <c r="B10" s="78"/>
      <c r="D10" s="124" t="n">
        <f aca="false">SUM(D5:D8)</f>
        <v>292</v>
      </c>
      <c r="E10" s="124" t="n">
        <f aca="false">SUM(E5:E8)</f>
        <v>836</v>
      </c>
      <c r="F10" s="124" t="n">
        <f aca="false">SUM(F5:F8)</f>
        <v>332</v>
      </c>
      <c r="G10" s="125" t="n">
        <f aca="false">SUM(G5:G8)</f>
        <v>224</v>
      </c>
      <c r="H10" s="95" t="n">
        <f aca="false">SUM(D10:G10)</f>
        <v>1684</v>
      </c>
    </row>
    <row r="11" customFormat="false" ht="15" hidden="false" customHeight="false" outlineLevel="0" collapsed="false">
      <c r="B11" s="87"/>
      <c r="C11" s="89"/>
      <c r="D11" s="126"/>
      <c r="E11" s="126"/>
      <c r="F11" s="126"/>
      <c r="G11" s="89"/>
      <c r="H11" s="126"/>
    </row>
    <row r="17" customFormat="false" ht="15.75" hidden="false" customHeight="false" outlineLevel="0" collapsed="false"/>
    <row r="18" customFormat="false" ht="15.75" hidden="false" customHeight="false" outlineLevel="0" collapsed="false">
      <c r="C18" s="127" t="s">
        <v>160</v>
      </c>
      <c r="D18" s="128"/>
      <c r="E18" s="128"/>
      <c r="F18" s="128"/>
      <c r="G18" s="128"/>
      <c r="H18" s="129"/>
    </row>
    <row r="19" customFormat="false" ht="15.75" hidden="false" customHeight="false" outlineLevel="0" collapsed="false">
      <c r="C19" s="130" t="s">
        <v>148</v>
      </c>
      <c r="D19" s="131" t="s">
        <v>150</v>
      </c>
      <c r="E19" s="131" t="s">
        <v>151</v>
      </c>
      <c r="F19" s="131" t="s">
        <v>61</v>
      </c>
      <c r="G19" s="131" t="s">
        <v>152</v>
      </c>
      <c r="H19" s="132" t="s">
        <v>161</v>
      </c>
    </row>
    <row r="20" customFormat="false" ht="15" hidden="false" customHeight="false" outlineLevel="0" collapsed="false">
      <c r="C20" s="78" t="n">
        <v>1</v>
      </c>
      <c r="D20" s="133" t="n">
        <f aca="false">D5*'PLANILHA ORÇAMENTÁRIA'!G47</f>
        <v>16677.44</v>
      </c>
      <c r="E20" s="133" t="n">
        <f aca="false">E5*'PLANILHA ORÇAMENTÁRIA'!G48</f>
        <v>27770</v>
      </c>
      <c r="F20" s="133" t="n">
        <f aca="false">F5*'PLANILHA ORÇAMENTÁRIA'!$G$49</f>
        <v>16122.84</v>
      </c>
      <c r="G20" s="133" t="n">
        <f aca="false">G5*'PLANILHA ORÇAMENTÁRIA'!$G$50</f>
        <v>118599.18</v>
      </c>
      <c r="H20" s="134" t="n">
        <f aca="false">D20+E20+F20+G20</f>
        <v>179169.46</v>
      </c>
    </row>
    <row r="21" customFormat="false" ht="15" hidden="false" customHeight="false" outlineLevel="0" collapsed="false">
      <c r="C21" s="78" t="n">
        <v>2</v>
      </c>
      <c r="D21" s="133"/>
      <c r="E21" s="133" t="n">
        <f aca="false">E6*'PLANILHA ORÇAMENTÁRIA'!G48</f>
        <v>59761.04</v>
      </c>
      <c r="F21" s="133" t="n">
        <f aca="false">F6*'PLANILHA ORÇAMENTÁRIA'!$G$49</f>
        <v>39324</v>
      </c>
      <c r="G21" s="133" t="n">
        <f aca="false">G6*'PLANILHA ORÇAMENTÁRIA'!$G$50</f>
        <v>0</v>
      </c>
      <c r="H21" s="134" t="n">
        <f aca="false">D21+E21+F21+G21</f>
        <v>99085.04</v>
      </c>
    </row>
    <row r="22" customFormat="false" ht="15" hidden="false" customHeight="false" outlineLevel="0" collapsed="false">
      <c r="C22" s="78" t="n">
        <v>3</v>
      </c>
      <c r="D22" s="133" t="n">
        <f aca="false">D7*'PLANILHA ORÇAMENTÁRIA'!G47</f>
        <v>15360.8</v>
      </c>
      <c r="E22" s="133" t="n">
        <f aca="false">E7*'PLANILHA ORÇAMENTÁRIA'!G48</f>
        <v>5331.84</v>
      </c>
      <c r="F22" s="133" t="n">
        <f aca="false">F7*'PLANILHA ORÇAMENTÁRIA'!$G$49</f>
        <v>9831</v>
      </c>
      <c r="G22" s="133" t="n">
        <f aca="false">G7*'PLANILHA ORÇAMENTÁRIA'!$G$50</f>
        <v>24229.94</v>
      </c>
      <c r="H22" s="134" t="n">
        <f aca="false">D22+E22+F22+G22</f>
        <v>54753.58</v>
      </c>
    </row>
    <row r="23" customFormat="false" ht="15" hidden="false" customHeight="false" outlineLevel="0" collapsed="false">
      <c r="C23" s="78"/>
      <c r="D23" s="133"/>
      <c r="E23" s="133"/>
      <c r="F23" s="133"/>
      <c r="G23" s="133"/>
      <c r="H23" s="134" t="n">
        <f aca="false">D23+E23+F23+G23</f>
        <v>0</v>
      </c>
    </row>
    <row r="24" customFormat="false" ht="15" hidden="false" customHeight="false" outlineLevel="0" collapsed="false">
      <c r="C24" s="135" t="s">
        <v>153</v>
      </c>
      <c r="D24" s="136" t="n">
        <f aca="false">D20+D22</f>
        <v>32038.24</v>
      </c>
      <c r="E24" s="136" t="n">
        <f aca="false">SUM(E20:E23)</f>
        <v>92862.88</v>
      </c>
      <c r="F24" s="136" t="n">
        <f aca="false">SUM(F20:F23)</f>
        <v>65277.84</v>
      </c>
      <c r="G24" s="136" t="n">
        <f aca="false">SUM(G20:G23)</f>
        <v>142829.12</v>
      </c>
      <c r="H24" s="137" t="n">
        <f aca="false">D24+E24+F24+G24</f>
        <v>333008.08</v>
      </c>
    </row>
    <row r="27" customFormat="false" ht="15.75" hidden="false" customHeight="false" outlineLevel="0" collapsed="false"/>
    <row r="28" customFormat="false" ht="15.75" hidden="false" customHeight="false" outlineLevel="0" collapsed="false">
      <c r="B28" s="127"/>
      <c r="C28" s="128" t="s">
        <v>162</v>
      </c>
      <c r="D28" s="138"/>
      <c r="E28" s="139"/>
      <c r="F28" s="139"/>
    </row>
    <row r="29" customFormat="false" ht="45" hidden="false" customHeight="false" outlineLevel="0" collapsed="false">
      <c r="B29" s="140" t="s">
        <v>163</v>
      </c>
      <c r="C29" s="139" t="s">
        <v>164</v>
      </c>
      <c r="D29" s="141" t="s">
        <v>165</v>
      </c>
      <c r="E29" s="142"/>
      <c r="F29" s="143"/>
    </row>
    <row r="30" customFormat="false" ht="15" hidden="false" customHeight="false" outlineLevel="0" collapsed="false">
      <c r="B30" s="140" t="n">
        <v>1</v>
      </c>
      <c r="C30" s="139" t="n">
        <v>14</v>
      </c>
      <c r="D30" s="144" t="n">
        <f aca="false">C30*'PLANILHA ORÇAMENTÁRIA'!I47</f>
        <v>36044.68</v>
      </c>
      <c r="E30" s="145"/>
      <c r="F30" s="145"/>
    </row>
    <row r="31" customFormat="false" ht="15" hidden="false" customHeight="false" outlineLevel="0" collapsed="false">
      <c r="B31" s="140" t="n">
        <v>2</v>
      </c>
      <c r="C31" s="139" t="n">
        <v>15</v>
      </c>
      <c r="D31" s="144" t="n">
        <f aca="false">C31*'PLANILHA ORÇAMENTÁRIA'!I48</f>
        <v>38619.3</v>
      </c>
      <c r="E31" s="145"/>
      <c r="F31" s="145"/>
    </row>
    <row r="32" customFormat="false" ht="15" hidden="false" customHeight="false" outlineLevel="0" collapsed="false">
      <c r="B32" s="140" t="n">
        <v>3</v>
      </c>
      <c r="C32" s="139" t="n">
        <v>7</v>
      </c>
      <c r="D32" s="144" t="n">
        <f aca="false">C32*'PLANILHA ORÇAMENTÁRIA'!I49</f>
        <v>18022.34</v>
      </c>
      <c r="E32" s="145"/>
      <c r="F32" s="145"/>
    </row>
    <row r="33" customFormat="false" ht="15" hidden="false" customHeight="false" outlineLevel="0" collapsed="false">
      <c r="B33" s="140"/>
      <c r="C33" s="139"/>
      <c r="D33" s="144" t="n">
        <f aca="false">C33*'PLANILHA ORÇAMENTÁRIA'!I50</f>
        <v>0</v>
      </c>
      <c r="E33" s="145"/>
      <c r="F33" s="145"/>
    </row>
    <row r="34" customFormat="false" ht="15.75" hidden="false" customHeight="false" outlineLevel="0" collapsed="false">
      <c r="B34" s="146" t="s">
        <v>166</v>
      </c>
      <c r="C34" s="147"/>
      <c r="D34" s="148" t="n">
        <f aca="false">SUM(D30:D33)</f>
        <v>92686.32</v>
      </c>
      <c r="E34" s="139"/>
      <c r="F34" s="145"/>
    </row>
    <row r="37" customFormat="false" ht="15.75" hidden="false" customHeight="false" outlineLevel="0" collapsed="false"/>
    <row r="38" customFormat="false" ht="15.75" hidden="false" customHeight="false" outlineLevel="0" collapsed="false">
      <c r="B38" s="127"/>
      <c r="C38" s="138" t="s">
        <v>167</v>
      </c>
    </row>
    <row r="39" customFormat="false" ht="15" hidden="false" customHeight="false" outlineLevel="0" collapsed="false">
      <c r="B39" s="140" t="s">
        <v>163</v>
      </c>
      <c r="C39" s="79"/>
    </row>
    <row r="40" customFormat="false" ht="15" hidden="false" customHeight="false" outlineLevel="0" collapsed="false">
      <c r="B40" s="140" t="n">
        <v>1</v>
      </c>
      <c r="C40" s="84" t="n">
        <f aca="false">H20+D30</f>
        <v>215214.14</v>
      </c>
    </row>
    <row r="41" customFormat="false" ht="15" hidden="false" customHeight="false" outlineLevel="0" collapsed="false">
      <c r="B41" s="140" t="n">
        <v>2</v>
      </c>
      <c r="C41" s="84" t="n">
        <f aca="false">H21+D31</f>
        <v>137704.34</v>
      </c>
    </row>
    <row r="42" customFormat="false" ht="15" hidden="false" customHeight="false" outlineLevel="0" collapsed="false">
      <c r="B42" s="140" t="n">
        <v>3</v>
      </c>
      <c r="C42" s="84" t="n">
        <f aca="false">H22+D32</f>
        <v>72775.92</v>
      </c>
    </row>
    <row r="43" customFormat="false" ht="15" hidden="false" customHeight="false" outlineLevel="0" collapsed="false">
      <c r="B43" s="140"/>
      <c r="C43" s="84"/>
    </row>
    <row r="44" customFormat="false" ht="15" hidden="false" customHeight="false" outlineLevel="0" collapsed="false">
      <c r="B44" s="140"/>
      <c r="C44" s="84"/>
    </row>
    <row r="45" customFormat="false" ht="15" hidden="false" customHeight="false" outlineLevel="0" collapsed="false">
      <c r="B45" s="140"/>
      <c r="C45" s="79"/>
    </row>
    <row r="46" customFormat="false" ht="15.75" hidden="false" customHeight="false" outlineLevel="0" collapsed="false">
      <c r="B46" s="146" t="s">
        <v>166</v>
      </c>
      <c r="C46" s="149" t="n">
        <f aca="false">SUM(C40:C45)</f>
        <v>425694.4</v>
      </c>
    </row>
    <row r="52" customFormat="false" ht="15" hidden="false" customHeight="false" outlineLevel="0" collapsed="false">
      <c r="B52" s="0" t="s">
        <v>168</v>
      </c>
    </row>
    <row r="53" customFormat="false" ht="15" hidden="false" customHeight="false" outlineLevel="0" collapsed="false">
      <c r="B53" s="150" t="s">
        <v>169</v>
      </c>
      <c r="C53" s="151"/>
      <c r="D53" s="151"/>
      <c r="E53" s="151"/>
      <c r="F53" s="152"/>
    </row>
    <row r="54" customFormat="false" ht="15" hidden="false" customHeight="false" outlineLevel="0" collapsed="false">
      <c r="B54" s="140" t="s">
        <v>170</v>
      </c>
      <c r="D54" s="0" t="n">
        <v>153.41</v>
      </c>
      <c r="F54" s="79" t="n">
        <v>153.41</v>
      </c>
    </row>
    <row r="55" customFormat="false" ht="15" hidden="false" customHeight="false" outlineLevel="0" collapsed="false">
      <c r="B55" s="146" t="s">
        <v>171</v>
      </c>
      <c r="C55" s="147"/>
      <c r="D55" s="147"/>
      <c r="E55" s="147"/>
      <c r="F55" s="153" t="n">
        <v>3.791</v>
      </c>
    </row>
    <row r="56" customFormat="false" ht="15" hidden="false" customHeight="false" outlineLevel="0" collapsed="false">
      <c r="B56" s="0" t="s">
        <v>172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2023-09-08T17:20:09Z</dcterms:created>
  <dc:creator>mg1010100</dc:creator>
  <dc:description/>
  <dc:language>pt-BR</dc:language>
  <cp:lastModifiedBy/>
  <cp:lastPrinted>2024-01-06T23:30:48Z</cp:lastPrinted>
  <dcterms:modified xsi:type="dcterms:W3CDTF">2024-01-11T12:40:45Z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